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drawings/drawing5.xml" ContentType="application/vnd.openxmlformats-officedocument.drawing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277077-2241-47DB-9916-D344DBB45215}" xr6:coauthVersionLast="47" xr6:coauthVersionMax="47" xr10:uidLastSave="{00000000-0000-0000-0000-000000000000}"/>
  <bookViews>
    <workbookView xWindow="-120" yWindow="-120" windowWidth="38640" windowHeight="15720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J5" i="14"/>
  <c r="H6" i="14"/>
  <c r="J6" i="14"/>
  <c r="H7" i="14"/>
  <c r="J7" i="14"/>
  <c r="H8" i="14"/>
  <c r="H9" i="14"/>
  <c r="H10" i="14"/>
  <c r="H11" i="14"/>
  <c r="J11" i="14"/>
  <c r="Q11" i="14"/>
  <c r="H12" i="14"/>
  <c r="J12" i="14"/>
  <c r="Q12" i="14"/>
  <c r="H13" i="14"/>
  <c r="J13" i="14"/>
  <c r="Q13" i="14"/>
  <c r="H14" i="14"/>
  <c r="J14" i="14"/>
  <c r="Q14" i="14"/>
  <c r="H15" i="14"/>
  <c r="J15" i="14"/>
  <c r="Q15" i="14"/>
  <c r="H16" i="14"/>
  <c r="J16" i="14"/>
  <c r="Q16" i="14"/>
  <c r="H17" i="14"/>
  <c r="J17" i="14"/>
  <c r="Q17" i="14"/>
  <c r="H18" i="14"/>
  <c r="H19" i="14"/>
  <c r="H20" i="14"/>
  <c r="J20" i="14"/>
  <c r="Q20" i="14"/>
  <c r="H21" i="14"/>
  <c r="Q21" i="14"/>
  <c r="H22" i="14"/>
  <c r="J22" i="14"/>
  <c r="Q22" i="14"/>
  <c r="H23" i="14"/>
  <c r="J23" i="14"/>
  <c r="Q23" i="14"/>
  <c r="H24" i="14"/>
  <c r="J24" i="14"/>
  <c r="Q24" i="14"/>
  <c r="H25" i="14"/>
  <c r="J25" i="14"/>
  <c r="Q25" i="14"/>
  <c r="H26" i="14"/>
  <c r="J26" i="14"/>
  <c r="Q26" i="14"/>
  <c r="H27" i="14"/>
  <c r="J27" i="14"/>
  <c r="Q27" i="14"/>
  <c r="H28" i="14"/>
  <c r="J28" i="14"/>
  <c r="Q28" i="14"/>
  <c r="H29" i="14"/>
  <c r="J29" i="14"/>
  <c r="Q29" i="14"/>
  <c r="H30" i="14"/>
  <c r="J30" i="14"/>
  <c r="Q30" i="14"/>
  <c r="H31" i="14"/>
  <c r="J31" i="14"/>
  <c r="Q31" i="14"/>
  <c r="H32" i="14"/>
  <c r="J32" i="14"/>
  <c r="Q32" i="14"/>
  <c r="H33" i="14"/>
  <c r="J33" i="14"/>
  <c r="Q33" i="14"/>
  <c r="H34" i="14"/>
  <c r="J34" i="14"/>
  <c r="Q34" i="14"/>
  <c r="H35" i="14"/>
  <c r="J35" i="14"/>
  <c r="Q35" i="14"/>
  <c r="H36" i="14"/>
  <c r="J36" i="14"/>
  <c r="Q36" i="14"/>
  <c r="H37" i="14"/>
  <c r="J37" i="14"/>
  <c r="Q37" i="14"/>
  <c r="H38" i="14"/>
  <c r="J38" i="14"/>
  <c r="Q38" i="14"/>
  <c r="H39" i="14"/>
  <c r="J39" i="14"/>
  <c r="Q39" i="14"/>
  <c r="H40" i="14"/>
  <c r="J40" i="14"/>
  <c r="Q40" i="14"/>
  <c r="H41" i="14"/>
  <c r="J41" i="14"/>
  <c r="Q41" i="14"/>
  <c r="H42" i="14"/>
  <c r="J42" i="14"/>
  <c r="Q42" i="14"/>
  <c r="H43" i="14"/>
  <c r="J43" i="14"/>
  <c r="Q43" i="14"/>
  <c r="H44" i="14"/>
  <c r="J44" i="14"/>
  <c r="Q44" i="14"/>
  <c r="H45" i="14"/>
  <c r="J45" i="14"/>
  <c r="Q45" i="14"/>
  <c r="H46" i="14"/>
  <c r="J46" i="14"/>
  <c r="Q46" i="14"/>
  <c r="H47" i="14"/>
  <c r="J47" i="14"/>
  <c r="Q47" i="14"/>
  <c r="H48" i="14"/>
  <c r="J48" i="14"/>
  <c r="Q48" i="14"/>
  <c r="H49" i="14"/>
  <c r="J49" i="14"/>
  <c r="Q49" i="14"/>
  <c r="H50" i="14"/>
  <c r="J50" i="14"/>
  <c r="Q50" i="14"/>
  <c r="H51" i="14"/>
  <c r="J51" i="14"/>
  <c r="Q51" i="14"/>
  <c r="H52" i="14"/>
  <c r="J52" i="14"/>
  <c r="Q52" i="14"/>
  <c r="H53" i="14"/>
  <c r="J53" i="14"/>
  <c r="Q53" i="14"/>
  <c r="H54" i="14"/>
  <c r="J54" i="14"/>
  <c r="Q54" i="14"/>
  <c r="H55" i="14"/>
  <c r="J55" i="14"/>
  <c r="Q55" i="14"/>
  <c r="H56" i="14"/>
  <c r="J56" i="14"/>
  <c r="Q56" i="14"/>
  <c r="H57" i="14"/>
  <c r="J57" i="14"/>
  <c r="Q57" i="14"/>
  <c r="H58" i="14"/>
  <c r="J58" i="14"/>
  <c r="Q58" i="14"/>
  <c r="H59" i="14"/>
  <c r="J59" i="14"/>
  <c r="Q59" i="14"/>
  <c r="H60" i="14"/>
  <c r="J60" i="14"/>
  <c r="Q60" i="14"/>
  <c r="H61" i="14"/>
  <c r="J61" i="14"/>
  <c r="Q61" i="14"/>
  <c r="H62" i="14"/>
  <c r="J62" i="14"/>
  <c r="Q62" i="14"/>
  <c r="H63" i="14"/>
  <c r="J63" i="14"/>
  <c r="Q63" i="14"/>
  <c r="H64" i="14"/>
  <c r="J64" i="14"/>
  <c r="Q64" i="14"/>
  <c r="H65" i="14"/>
  <c r="J65" i="14"/>
  <c r="Q65" i="14"/>
  <c r="H66" i="14"/>
  <c r="J66" i="14"/>
  <c r="Q66" i="14"/>
  <c r="H67" i="14"/>
  <c r="J67" i="14"/>
  <c r="Q67" i="14"/>
  <c r="H68" i="14"/>
  <c r="J68" i="14"/>
  <c r="Q68" i="14"/>
  <c r="H69" i="14"/>
  <c r="J69" i="14"/>
  <c r="Q69" i="14"/>
  <c r="H70" i="14"/>
  <c r="J70" i="14"/>
  <c r="Q70" i="14"/>
  <c r="H71" i="14"/>
  <c r="J71" i="14"/>
  <c r="Q71" i="14"/>
  <c r="F5" i="8"/>
  <c r="G5" i="8"/>
  <c r="H5" i="8"/>
  <c r="H2" i="5"/>
  <c r="M2" i="5"/>
  <c r="H3" i="5"/>
  <c r="I3" i="5"/>
  <c r="M3" i="5"/>
  <c r="H4" i="5"/>
  <c r="M4" i="5"/>
  <c r="N4" i="5"/>
  <c r="H5" i="5"/>
  <c r="I5" i="5"/>
  <c r="X5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T10" i="5"/>
  <c r="U10" i="5"/>
  <c r="V10" i="5"/>
  <c r="W10" i="5"/>
  <c r="X10" i="5"/>
  <c r="Y10" i="5"/>
  <c r="Z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T11" i="5"/>
  <c r="U11" i="5"/>
  <c r="V11" i="5"/>
  <c r="W11" i="5"/>
  <c r="X11" i="5"/>
  <c r="Y11" i="5"/>
  <c r="Z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T12" i="5"/>
  <c r="U12" i="5"/>
  <c r="V12" i="5"/>
  <c r="W12" i="5"/>
  <c r="X12" i="5"/>
  <c r="Y12" i="5"/>
  <c r="Z12" i="5"/>
  <c r="AM12" i="5"/>
  <c r="AN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T13" i="5"/>
  <c r="U13" i="5"/>
  <c r="V13" i="5"/>
  <c r="W13" i="5"/>
  <c r="X13" i="5"/>
  <c r="Y13" i="5"/>
  <c r="Z13" i="5"/>
  <c r="AM13" i="5"/>
  <c r="AN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T14" i="5"/>
  <c r="U14" i="5"/>
  <c r="V14" i="5"/>
  <c r="W14" i="5"/>
  <c r="X14" i="5"/>
  <c r="Y14" i="5"/>
  <c r="Z14" i="5"/>
  <c r="AM14" i="5"/>
  <c r="AN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T15" i="5"/>
  <c r="U15" i="5"/>
  <c r="V15" i="5"/>
  <c r="W15" i="5"/>
  <c r="X15" i="5"/>
  <c r="Y15" i="5"/>
  <c r="Z15" i="5"/>
  <c r="AM15" i="5"/>
  <c r="AN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T16" i="5"/>
  <c r="U16" i="5"/>
  <c r="V16" i="5"/>
  <c r="W16" i="5"/>
  <c r="X16" i="5"/>
  <c r="Y16" i="5"/>
  <c r="Z16" i="5"/>
  <c r="AM16" i="5"/>
  <c r="AN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T17" i="5"/>
  <c r="U17" i="5"/>
  <c r="V17" i="5"/>
  <c r="W17" i="5"/>
  <c r="X17" i="5"/>
  <c r="Y17" i="5"/>
  <c r="Z17" i="5"/>
  <c r="AM17" i="5"/>
  <c r="AN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T18" i="5"/>
  <c r="U18" i="5"/>
  <c r="V18" i="5"/>
  <c r="W18" i="5"/>
  <c r="X18" i="5"/>
  <c r="Y18" i="5"/>
  <c r="Z18" i="5"/>
  <c r="AM18" i="5"/>
  <c r="AN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T19" i="5"/>
  <c r="U19" i="5"/>
  <c r="V19" i="5"/>
  <c r="W19" i="5"/>
  <c r="X19" i="5"/>
  <c r="Y19" i="5"/>
  <c r="Z19" i="5"/>
  <c r="AM19" i="5"/>
  <c r="AN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T20" i="5"/>
  <c r="U20" i="5"/>
  <c r="V20" i="5"/>
  <c r="W20" i="5"/>
  <c r="X20" i="5"/>
  <c r="Y20" i="5"/>
  <c r="Z20" i="5"/>
  <c r="AM20" i="5"/>
  <c r="AN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T21" i="5"/>
  <c r="U21" i="5"/>
  <c r="V21" i="5"/>
  <c r="W21" i="5"/>
  <c r="X21" i="5"/>
  <c r="Y21" i="5"/>
  <c r="Z21" i="5"/>
  <c r="AM21" i="5"/>
  <c r="AN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T22" i="5"/>
  <c r="U22" i="5"/>
  <c r="V22" i="5"/>
  <c r="W22" i="5"/>
  <c r="X22" i="5"/>
  <c r="Y22" i="5"/>
  <c r="Z22" i="5"/>
  <c r="AM22" i="5"/>
  <c r="AN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T23" i="5"/>
  <c r="U23" i="5"/>
  <c r="V23" i="5"/>
  <c r="W23" i="5"/>
  <c r="X23" i="5"/>
  <c r="Y23" i="5"/>
  <c r="Z23" i="5"/>
  <c r="AM23" i="5"/>
  <c r="AN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T24" i="5"/>
  <c r="U24" i="5"/>
  <c r="V24" i="5"/>
  <c r="W24" i="5"/>
  <c r="X24" i="5"/>
  <c r="Y24" i="5"/>
  <c r="Z24" i="5"/>
  <c r="AM24" i="5"/>
  <c r="AN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T25" i="5"/>
  <c r="U25" i="5"/>
  <c r="V25" i="5"/>
  <c r="W25" i="5"/>
  <c r="X25" i="5"/>
  <c r="Y25" i="5"/>
  <c r="Z25" i="5"/>
  <c r="AM25" i="5"/>
  <c r="AN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T26" i="5"/>
  <c r="U26" i="5"/>
  <c r="V26" i="5"/>
  <c r="W26" i="5"/>
  <c r="X26" i="5"/>
  <c r="Y26" i="5"/>
  <c r="Z26" i="5"/>
  <c r="AM26" i="5"/>
  <c r="AN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T27" i="5"/>
  <c r="U27" i="5"/>
  <c r="V27" i="5"/>
  <c r="W27" i="5"/>
  <c r="X27" i="5"/>
  <c r="Y27" i="5"/>
  <c r="Z27" i="5"/>
  <c r="AM27" i="5"/>
  <c r="AN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T28" i="5"/>
  <c r="U28" i="5"/>
  <c r="V28" i="5"/>
  <c r="W28" i="5"/>
  <c r="X28" i="5"/>
  <c r="Y28" i="5"/>
  <c r="Z28" i="5"/>
  <c r="AM28" i="5"/>
  <c r="AN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T29" i="5"/>
  <c r="U29" i="5"/>
  <c r="V29" i="5"/>
  <c r="W29" i="5"/>
  <c r="X29" i="5"/>
  <c r="Y29" i="5"/>
  <c r="Z29" i="5"/>
  <c r="AM29" i="5"/>
  <c r="AN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T30" i="5"/>
  <c r="U30" i="5"/>
  <c r="V30" i="5"/>
  <c r="W30" i="5"/>
  <c r="X30" i="5"/>
  <c r="Y30" i="5"/>
  <c r="Z30" i="5"/>
  <c r="AM30" i="5"/>
  <c r="AN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R31" i="5"/>
  <c r="S31" i="5"/>
  <c r="T31" i="5"/>
  <c r="U31" i="5"/>
  <c r="V31" i="5"/>
  <c r="W31" i="5"/>
  <c r="X31" i="5"/>
  <c r="Y31" i="5"/>
  <c r="Z31" i="5"/>
  <c r="AM31" i="5"/>
  <c r="AN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R32" i="5"/>
  <c r="S32" i="5"/>
  <c r="T32" i="5"/>
  <c r="U32" i="5"/>
  <c r="V32" i="5"/>
  <c r="W32" i="5"/>
  <c r="X32" i="5"/>
  <c r="Y32" i="5"/>
  <c r="Z32" i="5"/>
  <c r="AM32" i="5"/>
  <c r="AN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R33" i="5"/>
  <c r="S33" i="5"/>
  <c r="T33" i="5"/>
  <c r="U33" i="5"/>
  <c r="V33" i="5"/>
  <c r="W33" i="5"/>
  <c r="X33" i="5"/>
  <c r="Y33" i="5"/>
  <c r="Z33" i="5"/>
  <c r="AM33" i="5"/>
  <c r="AN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R34" i="5"/>
  <c r="S34" i="5"/>
  <c r="T34" i="5"/>
  <c r="U34" i="5"/>
  <c r="V34" i="5"/>
  <c r="W34" i="5"/>
  <c r="X34" i="5"/>
  <c r="Y34" i="5"/>
  <c r="Z34" i="5"/>
  <c r="AM34" i="5"/>
  <c r="AN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R35" i="5"/>
  <c r="S35" i="5"/>
  <c r="T35" i="5"/>
  <c r="U35" i="5"/>
  <c r="V35" i="5"/>
  <c r="W35" i="5"/>
  <c r="X35" i="5"/>
  <c r="Y35" i="5"/>
  <c r="Z35" i="5"/>
  <c r="AM35" i="5"/>
  <c r="AN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R36" i="5"/>
  <c r="S36" i="5"/>
  <c r="T36" i="5"/>
  <c r="U36" i="5"/>
  <c r="V36" i="5"/>
  <c r="W36" i="5"/>
  <c r="X36" i="5"/>
  <c r="Y36" i="5"/>
  <c r="Z36" i="5"/>
  <c r="AM36" i="5"/>
  <c r="AN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R37" i="5"/>
  <c r="S37" i="5"/>
  <c r="T37" i="5"/>
  <c r="U37" i="5"/>
  <c r="V37" i="5"/>
  <c r="W37" i="5"/>
  <c r="X37" i="5"/>
  <c r="Y37" i="5"/>
  <c r="Z37" i="5"/>
  <c r="AM37" i="5"/>
  <c r="AN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R38" i="5"/>
  <c r="S38" i="5"/>
  <c r="T38" i="5"/>
  <c r="U38" i="5"/>
  <c r="V38" i="5"/>
  <c r="W38" i="5"/>
  <c r="X38" i="5"/>
  <c r="Y38" i="5"/>
  <c r="Z38" i="5"/>
  <c r="AN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R39" i="5"/>
  <c r="S39" i="5"/>
  <c r="T39" i="5"/>
  <c r="U39" i="5"/>
  <c r="V39" i="5"/>
  <c r="W39" i="5"/>
  <c r="X39" i="5"/>
  <c r="Y39" i="5"/>
  <c r="Z39" i="5"/>
  <c r="AN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R40" i="5"/>
  <c r="S40" i="5"/>
  <c r="T40" i="5"/>
  <c r="U40" i="5"/>
  <c r="V40" i="5"/>
  <c r="W40" i="5"/>
  <c r="X40" i="5"/>
  <c r="Y40" i="5"/>
  <c r="Z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R41" i="5"/>
  <c r="S41" i="5"/>
  <c r="T41" i="5"/>
  <c r="U41" i="5"/>
  <c r="V41" i="5"/>
  <c r="W41" i="5"/>
  <c r="X41" i="5"/>
  <c r="Y41" i="5"/>
  <c r="Z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R42" i="5"/>
  <c r="S42" i="5"/>
  <c r="T42" i="5"/>
  <c r="U42" i="5"/>
  <c r="V42" i="5"/>
  <c r="W42" i="5"/>
  <c r="X42" i="5"/>
  <c r="Y42" i="5"/>
  <c r="Z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R43" i="5"/>
  <c r="S43" i="5"/>
  <c r="T43" i="5"/>
  <c r="U43" i="5"/>
  <c r="V43" i="5"/>
  <c r="W43" i="5"/>
  <c r="X43" i="5"/>
  <c r="Y43" i="5"/>
  <c r="Z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R44" i="5"/>
  <c r="S44" i="5"/>
  <c r="T44" i="5"/>
  <c r="U44" i="5"/>
  <c r="V44" i="5"/>
  <c r="W44" i="5"/>
  <c r="X44" i="5"/>
  <c r="Y44" i="5"/>
  <c r="Z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R45" i="5"/>
  <c r="S45" i="5"/>
  <c r="T45" i="5"/>
  <c r="U45" i="5"/>
  <c r="V45" i="5"/>
  <c r="W45" i="5"/>
  <c r="X45" i="5"/>
  <c r="Y45" i="5"/>
  <c r="Z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R46" i="5"/>
  <c r="S46" i="5"/>
  <c r="T46" i="5"/>
  <c r="U46" i="5"/>
  <c r="V46" i="5"/>
  <c r="W46" i="5"/>
  <c r="X46" i="5"/>
  <c r="Y46" i="5"/>
  <c r="Z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R47" i="5"/>
  <c r="S47" i="5"/>
  <c r="T47" i="5"/>
  <c r="U47" i="5"/>
  <c r="V47" i="5"/>
  <c r="W47" i="5"/>
  <c r="X47" i="5"/>
  <c r="Y47" i="5"/>
  <c r="Z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R48" i="5"/>
  <c r="S48" i="5"/>
  <c r="T48" i="5"/>
  <c r="U48" i="5"/>
  <c r="V48" i="5"/>
  <c r="W48" i="5"/>
  <c r="X48" i="5"/>
  <c r="Y48" i="5"/>
  <c r="Z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R49" i="5"/>
  <c r="S49" i="5"/>
  <c r="T49" i="5"/>
  <c r="U49" i="5"/>
  <c r="V49" i="5"/>
  <c r="W49" i="5"/>
  <c r="X49" i="5"/>
  <c r="Y49" i="5"/>
  <c r="Z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R50" i="5"/>
  <c r="S50" i="5"/>
  <c r="T50" i="5"/>
  <c r="U50" i="5"/>
  <c r="V50" i="5"/>
  <c r="W50" i="5"/>
  <c r="X50" i="5"/>
  <c r="Y50" i="5"/>
  <c r="Z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R51" i="5"/>
  <c r="S51" i="5"/>
  <c r="T51" i="5"/>
  <c r="U51" i="5"/>
  <c r="V51" i="5"/>
  <c r="W51" i="5"/>
  <c r="X51" i="5"/>
  <c r="Y51" i="5"/>
  <c r="Z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R52" i="5"/>
  <c r="S52" i="5"/>
  <c r="T52" i="5"/>
  <c r="U52" i="5"/>
  <c r="V52" i="5"/>
  <c r="W52" i="5"/>
  <c r="X52" i="5"/>
  <c r="Y52" i="5"/>
  <c r="Z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R53" i="5"/>
  <c r="S53" i="5"/>
  <c r="T53" i="5"/>
  <c r="U53" i="5"/>
  <c r="V53" i="5"/>
  <c r="W53" i="5"/>
  <c r="X53" i="5"/>
  <c r="Y53" i="5"/>
  <c r="Z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R54" i="5"/>
  <c r="S54" i="5"/>
  <c r="T54" i="5"/>
  <c r="U54" i="5"/>
  <c r="V54" i="5"/>
  <c r="W54" i="5"/>
  <c r="X54" i="5"/>
  <c r="Y54" i="5"/>
  <c r="Z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R55" i="5"/>
  <c r="S55" i="5"/>
  <c r="T55" i="5"/>
  <c r="U55" i="5"/>
  <c r="V55" i="5"/>
  <c r="W55" i="5"/>
  <c r="X55" i="5"/>
  <c r="Y55" i="5"/>
  <c r="Z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R56" i="5"/>
  <c r="S56" i="5"/>
  <c r="T56" i="5"/>
  <c r="U56" i="5"/>
  <c r="V56" i="5"/>
  <c r="W56" i="5"/>
  <c r="X56" i="5"/>
  <c r="Y56" i="5"/>
  <c r="Z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R57" i="5"/>
  <c r="S57" i="5"/>
  <c r="T57" i="5"/>
  <c r="U57" i="5"/>
  <c r="V57" i="5"/>
  <c r="W57" i="5"/>
  <c r="X57" i="5"/>
  <c r="Y57" i="5"/>
  <c r="Z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R58" i="5"/>
  <c r="S58" i="5"/>
  <c r="T58" i="5"/>
  <c r="U58" i="5"/>
  <c r="V58" i="5"/>
  <c r="W58" i="5"/>
  <c r="X58" i="5"/>
  <c r="Y58" i="5"/>
  <c r="Z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R59" i="5"/>
  <c r="S59" i="5"/>
  <c r="T59" i="5"/>
  <c r="U59" i="5"/>
  <c r="V59" i="5"/>
  <c r="W59" i="5"/>
  <c r="X59" i="5"/>
  <c r="Y59" i="5"/>
  <c r="Z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R60" i="5"/>
  <c r="S60" i="5"/>
  <c r="T60" i="5"/>
  <c r="U60" i="5"/>
  <c r="V60" i="5"/>
  <c r="W60" i="5"/>
  <c r="X60" i="5"/>
  <c r="Y60" i="5"/>
  <c r="Z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R61" i="5"/>
  <c r="S61" i="5"/>
  <c r="T61" i="5"/>
  <c r="U61" i="5"/>
  <c r="V61" i="5"/>
  <c r="W61" i="5"/>
  <c r="X61" i="5"/>
  <c r="Y61" i="5"/>
  <c r="Z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R62" i="5"/>
  <c r="S62" i="5"/>
  <c r="T62" i="5"/>
  <c r="U62" i="5"/>
  <c r="V62" i="5"/>
  <c r="W62" i="5"/>
  <c r="X62" i="5"/>
  <c r="Y62" i="5"/>
  <c r="Z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R63" i="5"/>
  <c r="S63" i="5"/>
  <c r="T63" i="5"/>
  <c r="U63" i="5"/>
  <c r="V63" i="5"/>
  <c r="W63" i="5"/>
  <c r="X63" i="5"/>
  <c r="Y63" i="5"/>
  <c r="Z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R64" i="5"/>
  <c r="S64" i="5"/>
  <c r="T64" i="5"/>
  <c r="U64" i="5"/>
  <c r="V64" i="5"/>
  <c r="W64" i="5"/>
  <c r="X64" i="5"/>
  <c r="Y64" i="5"/>
  <c r="Z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R65" i="5"/>
  <c r="S65" i="5"/>
  <c r="T65" i="5"/>
  <c r="U65" i="5"/>
  <c r="V65" i="5"/>
  <c r="W65" i="5"/>
  <c r="X65" i="5"/>
  <c r="Y65" i="5"/>
  <c r="Z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R66" i="5"/>
  <c r="S66" i="5"/>
  <c r="T66" i="5"/>
  <c r="U66" i="5"/>
  <c r="V66" i="5"/>
  <c r="W66" i="5"/>
  <c r="X66" i="5"/>
  <c r="Y66" i="5"/>
  <c r="Z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R67" i="5"/>
  <c r="S67" i="5"/>
  <c r="T67" i="5"/>
  <c r="U67" i="5"/>
  <c r="V67" i="5"/>
  <c r="W67" i="5"/>
  <c r="X67" i="5"/>
  <c r="Y67" i="5"/>
  <c r="Z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R68" i="5"/>
  <c r="S68" i="5"/>
  <c r="T68" i="5"/>
  <c r="U68" i="5"/>
  <c r="V68" i="5"/>
  <c r="W68" i="5"/>
  <c r="X68" i="5"/>
  <c r="Y68" i="5"/>
  <c r="Z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R69" i="5"/>
  <c r="S69" i="5"/>
  <c r="T69" i="5"/>
  <c r="U69" i="5"/>
  <c r="V69" i="5"/>
  <c r="W69" i="5"/>
  <c r="X69" i="5"/>
  <c r="Y69" i="5"/>
  <c r="Z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R70" i="5"/>
  <c r="S70" i="5"/>
  <c r="T70" i="5"/>
  <c r="U70" i="5"/>
  <c r="V70" i="5"/>
  <c r="W70" i="5"/>
  <c r="X70" i="5"/>
  <c r="Y70" i="5"/>
  <c r="Z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R71" i="5"/>
  <c r="S71" i="5"/>
  <c r="T71" i="5"/>
  <c r="U71" i="5"/>
  <c r="V71" i="5"/>
  <c r="W71" i="5"/>
  <c r="X71" i="5"/>
  <c r="Y71" i="5"/>
  <c r="Z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R72" i="5"/>
  <c r="S72" i="5"/>
  <c r="T72" i="5"/>
  <c r="U72" i="5"/>
  <c r="V72" i="5"/>
  <c r="W72" i="5"/>
  <c r="X72" i="5"/>
  <c r="Y72" i="5"/>
  <c r="Z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R73" i="5"/>
  <c r="S73" i="5"/>
  <c r="T73" i="5"/>
  <c r="U73" i="5"/>
  <c r="V73" i="5"/>
  <c r="W73" i="5"/>
  <c r="X73" i="5"/>
  <c r="Y73" i="5"/>
  <c r="Z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R74" i="5"/>
  <c r="S74" i="5"/>
  <c r="T74" i="5"/>
  <c r="U74" i="5"/>
  <c r="V74" i="5"/>
  <c r="W74" i="5"/>
  <c r="X74" i="5"/>
  <c r="Y74" i="5"/>
  <c r="Z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R75" i="5"/>
  <c r="S75" i="5"/>
  <c r="T75" i="5"/>
  <c r="U75" i="5"/>
  <c r="V75" i="5"/>
  <c r="W75" i="5"/>
  <c r="X75" i="5"/>
  <c r="Y75" i="5"/>
  <c r="Z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R76" i="5"/>
  <c r="S76" i="5"/>
  <c r="T76" i="5"/>
  <c r="U76" i="5"/>
  <c r="V76" i="5"/>
  <c r="W76" i="5"/>
  <c r="X76" i="5"/>
  <c r="Y76" i="5"/>
  <c r="Z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R77" i="5"/>
  <c r="S77" i="5"/>
  <c r="T77" i="5"/>
  <c r="U77" i="5"/>
  <c r="V77" i="5"/>
  <c r="W77" i="5"/>
  <c r="X77" i="5"/>
  <c r="Y77" i="5"/>
  <c r="Z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R78" i="5"/>
  <c r="S78" i="5"/>
  <c r="T78" i="5"/>
  <c r="U78" i="5"/>
  <c r="V78" i="5"/>
  <c r="W78" i="5"/>
  <c r="X78" i="5"/>
  <c r="Y78" i="5"/>
  <c r="Z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R79" i="5"/>
  <c r="S79" i="5"/>
  <c r="T79" i="5"/>
  <c r="U79" i="5"/>
  <c r="V79" i="5"/>
  <c r="W79" i="5"/>
  <c r="X79" i="5"/>
  <c r="Y79" i="5"/>
  <c r="Z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R80" i="5"/>
  <c r="S80" i="5"/>
  <c r="T80" i="5"/>
  <c r="U80" i="5"/>
  <c r="V80" i="5"/>
  <c r="W80" i="5"/>
  <c r="X80" i="5"/>
  <c r="Y80" i="5"/>
  <c r="Z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R81" i="5"/>
  <c r="S81" i="5"/>
  <c r="T81" i="5"/>
  <c r="U81" i="5"/>
  <c r="V81" i="5"/>
  <c r="W81" i="5"/>
  <c r="X81" i="5"/>
  <c r="Y81" i="5"/>
  <c r="Z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R82" i="5"/>
  <c r="S82" i="5"/>
  <c r="T82" i="5"/>
  <c r="U82" i="5"/>
  <c r="V82" i="5"/>
  <c r="W82" i="5"/>
  <c r="X82" i="5"/>
  <c r="Y82" i="5"/>
  <c r="Z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R83" i="5"/>
  <c r="S83" i="5"/>
  <c r="T83" i="5"/>
  <c r="U83" i="5"/>
  <c r="V83" i="5"/>
  <c r="W83" i="5"/>
  <c r="X83" i="5"/>
  <c r="Y83" i="5"/>
  <c r="Z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R84" i="5"/>
  <c r="S84" i="5"/>
  <c r="T84" i="5"/>
  <c r="U84" i="5"/>
  <c r="V84" i="5"/>
  <c r="W84" i="5"/>
  <c r="X84" i="5"/>
  <c r="Y84" i="5"/>
  <c r="Z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R85" i="5"/>
  <c r="S85" i="5"/>
  <c r="T85" i="5"/>
  <c r="U85" i="5"/>
  <c r="V85" i="5"/>
  <c r="W85" i="5"/>
  <c r="X85" i="5"/>
  <c r="Y85" i="5"/>
  <c r="Z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R86" i="5"/>
  <c r="S86" i="5"/>
  <c r="T86" i="5"/>
  <c r="U86" i="5"/>
  <c r="V86" i="5"/>
  <c r="W86" i="5"/>
  <c r="X86" i="5"/>
  <c r="Y86" i="5"/>
  <c r="Z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R87" i="5"/>
  <c r="S87" i="5"/>
  <c r="T87" i="5"/>
  <c r="U87" i="5"/>
  <c r="V87" i="5"/>
  <c r="W87" i="5"/>
  <c r="X87" i="5"/>
  <c r="Y87" i="5"/>
  <c r="Z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R88" i="5"/>
  <c r="S88" i="5"/>
  <c r="T88" i="5"/>
  <c r="U88" i="5"/>
  <c r="V88" i="5"/>
  <c r="W88" i="5"/>
  <c r="X88" i="5"/>
  <c r="Y88" i="5"/>
  <c r="Z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R89" i="5"/>
  <c r="S89" i="5"/>
  <c r="T89" i="5"/>
  <c r="U89" i="5"/>
  <c r="V89" i="5"/>
  <c r="W89" i="5"/>
  <c r="X89" i="5"/>
  <c r="Y89" i="5"/>
  <c r="Z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R90" i="5"/>
  <c r="S90" i="5"/>
  <c r="T90" i="5"/>
  <c r="U90" i="5"/>
  <c r="V90" i="5"/>
  <c r="W90" i="5"/>
  <c r="X90" i="5"/>
  <c r="Y90" i="5"/>
  <c r="Z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R91" i="5"/>
  <c r="S91" i="5"/>
  <c r="T91" i="5"/>
  <c r="U91" i="5"/>
  <c r="V91" i="5"/>
  <c r="W91" i="5"/>
  <c r="X91" i="5"/>
  <c r="Y91" i="5"/>
  <c r="Z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R92" i="5"/>
  <c r="S92" i="5"/>
  <c r="T92" i="5"/>
  <c r="U92" i="5"/>
  <c r="V92" i="5"/>
  <c r="W92" i="5"/>
  <c r="X92" i="5"/>
  <c r="Y92" i="5"/>
  <c r="Z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R93" i="5"/>
  <c r="S93" i="5"/>
  <c r="T93" i="5"/>
  <c r="U93" i="5"/>
  <c r="V93" i="5"/>
  <c r="W93" i="5"/>
  <c r="X93" i="5"/>
  <c r="Y93" i="5"/>
  <c r="Z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R94" i="5"/>
  <c r="S94" i="5"/>
  <c r="T94" i="5"/>
  <c r="U94" i="5"/>
  <c r="V94" i="5"/>
  <c r="W94" i="5"/>
  <c r="X94" i="5"/>
  <c r="Y94" i="5"/>
  <c r="Z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R95" i="5"/>
  <c r="S95" i="5"/>
  <c r="T95" i="5"/>
  <c r="U95" i="5"/>
  <c r="V95" i="5"/>
  <c r="W95" i="5"/>
  <c r="X95" i="5"/>
  <c r="Y95" i="5"/>
  <c r="Z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R96" i="5"/>
  <c r="S96" i="5"/>
  <c r="T96" i="5"/>
  <c r="U96" i="5"/>
  <c r="V96" i="5"/>
  <c r="W96" i="5"/>
  <c r="X96" i="5"/>
  <c r="Y96" i="5"/>
  <c r="Z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R97" i="5"/>
  <c r="S97" i="5"/>
  <c r="T97" i="5"/>
  <c r="U97" i="5"/>
  <c r="V97" i="5"/>
  <c r="W97" i="5"/>
  <c r="X97" i="5"/>
  <c r="Y97" i="5"/>
  <c r="Z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R98" i="5"/>
  <c r="S98" i="5"/>
  <c r="T98" i="5"/>
  <c r="U98" i="5"/>
  <c r="V98" i="5"/>
  <c r="W98" i="5"/>
  <c r="X98" i="5"/>
  <c r="Y98" i="5"/>
  <c r="Z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R99" i="5"/>
  <c r="S99" i="5"/>
  <c r="T99" i="5"/>
  <c r="U99" i="5"/>
  <c r="V99" i="5"/>
  <c r="W99" i="5"/>
  <c r="X99" i="5"/>
  <c r="Y99" i="5"/>
  <c r="Z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R100" i="5"/>
  <c r="S100" i="5"/>
  <c r="T100" i="5"/>
  <c r="U100" i="5"/>
  <c r="V100" i="5"/>
  <c r="W100" i="5"/>
  <c r="X100" i="5"/>
  <c r="Y100" i="5"/>
  <c r="Z100" i="5"/>
  <c r="B107" i="5"/>
  <c r="B107" i="5" a="1"/>
  <c r="C107" i="5"/>
  <c r="C107" i="5" a="1"/>
  <c r="D107" i="5"/>
  <c r="B108" i="5"/>
  <c r="B108" i="5" a="1"/>
  <c r="C108" i="5"/>
  <c r="C108" i="5" a="1"/>
  <c r="D108" i="5"/>
  <c r="B109" i="5"/>
  <c r="B109" i="5" a="1"/>
  <c r="C109" i="5"/>
  <c r="C109" i="5" a="1"/>
  <c r="D109" i="5"/>
  <c r="B110" i="5"/>
  <c r="B110" i="5" a="1"/>
  <c r="C110" i="5"/>
  <c r="C110" i="5" a="1"/>
  <c r="D110" i="5"/>
  <c r="B111" i="5"/>
  <c r="B111" i="5" a="1"/>
  <c r="C111" i="5"/>
  <c r="C111" i="5" a="1"/>
  <c r="D111" i="5"/>
  <c r="B112" i="5"/>
  <c r="B112" i="5" a="1"/>
  <c r="C112" i="5"/>
  <c r="C112" i="5" a="1"/>
  <c r="D112" i="5"/>
  <c r="B113" i="5"/>
  <c r="B113" i="5" a="1"/>
  <c r="C113" i="5"/>
  <c r="C113" i="5" a="1"/>
  <c r="D113" i="5"/>
  <c r="B114" i="5"/>
  <c r="C114" i="5"/>
  <c r="D114" i="5"/>
  <c r="X5" i="6"/>
  <c r="X6" i="6"/>
  <c r="W8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A367" i="6"/>
  <c r="AB367" i="6"/>
  <c r="AC367" i="6"/>
  <c r="B1" i="12"/>
  <c r="J1" i="12"/>
  <c r="K1" i="12"/>
  <c r="L1" i="12"/>
  <c r="M1" i="12"/>
  <c r="N1" i="12"/>
  <c r="C2" i="12"/>
  <c r="D2" i="12"/>
  <c r="E2" i="12"/>
  <c r="F2" i="12"/>
  <c r="G2" i="12"/>
  <c r="H2" i="12"/>
  <c r="J2" i="12"/>
  <c r="K2" i="12"/>
  <c r="M2" i="12"/>
  <c r="A3" i="12"/>
  <c r="C3" i="12"/>
  <c r="D3" i="12"/>
  <c r="E3" i="12"/>
  <c r="F3" i="12"/>
  <c r="G3" i="12"/>
  <c r="H3" i="12"/>
  <c r="J3" i="12"/>
  <c r="K3" i="12"/>
  <c r="L3" i="12"/>
  <c r="C4" i="12"/>
  <c r="D4" i="12"/>
  <c r="E4" i="12"/>
  <c r="F4" i="12"/>
  <c r="G4" i="12"/>
  <c r="H4" i="12"/>
  <c r="J4" i="12"/>
  <c r="K4" i="12"/>
  <c r="L4" i="12"/>
  <c r="M4" i="12"/>
  <c r="N4" i="12"/>
  <c r="A5" i="12"/>
  <c r="J5" i="12"/>
  <c r="K5" i="12"/>
  <c r="M5" i="12"/>
  <c r="N5" i="12"/>
  <c r="R5" i="12"/>
  <c r="J6" i="12"/>
  <c r="O6" i="12"/>
  <c r="AX7" i="12"/>
  <c r="AZ7" i="12"/>
  <c r="U8" i="12"/>
  <c r="W8" i="12"/>
  <c r="X8" i="12"/>
  <c r="AB8" i="12"/>
  <c r="AF8" i="12"/>
  <c r="AG8" i="12"/>
  <c r="H9" i="12"/>
  <c r="U9" i="12"/>
  <c r="W9" i="12"/>
  <c r="X9" i="12"/>
  <c r="AB9" i="12"/>
  <c r="AF9" i="12"/>
  <c r="AG9" i="12"/>
  <c r="U10" i="12"/>
  <c r="W10" i="12"/>
  <c r="X10" i="12"/>
  <c r="AB10" i="12"/>
  <c r="AF10" i="12"/>
  <c r="AG10" i="12"/>
  <c r="AX10" i="12"/>
  <c r="AZ10" i="12"/>
  <c r="H11" i="12"/>
  <c r="I11" i="12"/>
  <c r="K11" i="12"/>
  <c r="M11" i="12"/>
  <c r="U11" i="12"/>
  <c r="W11" i="12"/>
  <c r="X11" i="12"/>
  <c r="AB11" i="12"/>
  <c r="AF11" i="12"/>
  <c r="AG11" i="12"/>
  <c r="B12" i="12"/>
  <c r="G12" i="12"/>
  <c r="H12" i="12"/>
  <c r="I12" i="12"/>
  <c r="M12" i="12"/>
  <c r="N12" i="12"/>
  <c r="P12" i="12"/>
  <c r="Q12" i="12"/>
  <c r="S12" i="12"/>
  <c r="U12" i="12"/>
  <c r="W12" i="12"/>
  <c r="X12" i="12"/>
  <c r="AB12" i="12"/>
  <c r="AF12" i="12"/>
  <c r="AG12" i="12"/>
  <c r="B13" i="12"/>
  <c r="H13" i="12"/>
  <c r="I13" i="12"/>
  <c r="K13" i="12"/>
  <c r="Q13" i="12"/>
  <c r="S13" i="12"/>
  <c r="U13" i="12"/>
  <c r="W13" i="12"/>
  <c r="X13" i="12"/>
  <c r="AB13" i="12"/>
  <c r="AF13" i="12"/>
  <c r="AG13" i="12"/>
  <c r="AX13" i="12"/>
  <c r="AZ13" i="12"/>
  <c r="K14" i="12"/>
  <c r="M14" i="12"/>
  <c r="N14" i="12"/>
  <c r="Q14" i="12"/>
  <c r="S14" i="12"/>
  <c r="U14" i="12"/>
  <c r="V14" i="12"/>
  <c r="W14" i="12"/>
  <c r="X14" i="12"/>
  <c r="Y14" i="12"/>
  <c r="Z14" i="12"/>
  <c r="AB14" i="12"/>
  <c r="AC14" i="12"/>
  <c r="AD14" i="12"/>
  <c r="AF14" i="12"/>
  <c r="AG14" i="12"/>
  <c r="AX14" i="12"/>
  <c r="AZ14" i="12"/>
  <c r="B15" i="12"/>
  <c r="E15" i="12"/>
  <c r="G15" i="12"/>
  <c r="H15" i="12"/>
  <c r="I15" i="12"/>
  <c r="K15" i="12"/>
  <c r="M15" i="12"/>
  <c r="P15" i="12"/>
  <c r="Q15" i="12"/>
  <c r="R15" i="12"/>
  <c r="S15" i="12"/>
  <c r="U15" i="12"/>
  <c r="W15" i="12"/>
  <c r="X15" i="12"/>
  <c r="AB15" i="12"/>
  <c r="AF15" i="12"/>
  <c r="AG15" i="12"/>
  <c r="AX15" i="12"/>
  <c r="AZ15" i="12"/>
  <c r="G16" i="12"/>
  <c r="K16" i="12"/>
  <c r="M16" i="12"/>
  <c r="N16" i="12"/>
  <c r="P16" i="12"/>
  <c r="Q16" i="12"/>
  <c r="R16" i="12"/>
  <c r="S16" i="12"/>
  <c r="U16" i="12"/>
  <c r="W16" i="12"/>
  <c r="X16" i="12"/>
  <c r="AB16" i="12"/>
  <c r="AF16" i="12"/>
  <c r="AG16" i="12"/>
  <c r="AX16" i="12"/>
  <c r="AZ16" i="12"/>
  <c r="B17" i="12"/>
  <c r="C17" i="12"/>
  <c r="D17" i="12"/>
  <c r="G17" i="12"/>
  <c r="H17" i="12"/>
  <c r="I17" i="12"/>
  <c r="K17" i="12"/>
  <c r="M17" i="12"/>
  <c r="N17" i="12"/>
  <c r="P17" i="12"/>
  <c r="Q17" i="12"/>
  <c r="R17" i="12"/>
  <c r="S17" i="12"/>
  <c r="U17" i="12"/>
  <c r="W17" i="12"/>
  <c r="X17" i="12"/>
  <c r="AB17" i="12"/>
  <c r="AF17" i="12"/>
  <c r="AG17" i="12"/>
  <c r="AX17" i="12"/>
  <c r="AZ17" i="12"/>
  <c r="B18" i="12"/>
  <c r="C18" i="12"/>
  <c r="D18" i="12"/>
  <c r="G18" i="12"/>
  <c r="H18" i="12"/>
  <c r="I18" i="12"/>
  <c r="K18" i="12"/>
  <c r="L18" i="12"/>
  <c r="M18" i="12"/>
  <c r="P18" i="12"/>
  <c r="Q18" i="12"/>
  <c r="R18" i="12"/>
  <c r="S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B19" i="12"/>
  <c r="C19" i="12"/>
  <c r="D19" i="12"/>
  <c r="G19" i="12"/>
  <c r="H19" i="12"/>
  <c r="I19" i="12"/>
  <c r="K19" i="12"/>
  <c r="L19" i="12"/>
  <c r="M19" i="12"/>
  <c r="N19" i="12"/>
  <c r="R19" i="12"/>
  <c r="S19" i="12"/>
  <c r="U19" i="12"/>
  <c r="W19" i="12"/>
  <c r="X19" i="12"/>
  <c r="AB19" i="12"/>
  <c r="AF19" i="12"/>
  <c r="AG19" i="12"/>
  <c r="B20" i="12"/>
  <c r="C20" i="12"/>
  <c r="D20" i="12"/>
  <c r="G20" i="12"/>
  <c r="H20" i="12"/>
  <c r="I20" i="12"/>
  <c r="K20" i="12"/>
  <c r="L20" i="12"/>
  <c r="M20" i="12"/>
  <c r="N20" i="12"/>
  <c r="R20" i="12"/>
  <c r="S20" i="12"/>
  <c r="U20" i="12"/>
  <c r="V20" i="12"/>
  <c r="W20" i="12"/>
  <c r="X20" i="12"/>
  <c r="Y20" i="12"/>
  <c r="Z20" i="12"/>
  <c r="AB20" i="12"/>
  <c r="AC20" i="12"/>
  <c r="AD20" i="12"/>
  <c r="AF20" i="12"/>
  <c r="B21" i="12"/>
  <c r="C21" i="12"/>
  <c r="D21" i="12"/>
  <c r="E21" i="12"/>
  <c r="G21" i="12"/>
  <c r="H21" i="12"/>
  <c r="I21" i="12"/>
  <c r="J21" i="12"/>
  <c r="K21" i="12"/>
  <c r="L21" i="12"/>
  <c r="M21" i="12"/>
  <c r="N21" i="12"/>
  <c r="U21" i="12"/>
  <c r="W21" i="12"/>
  <c r="X21" i="12"/>
  <c r="AB21" i="12"/>
  <c r="AF21" i="12"/>
  <c r="AG21" i="12"/>
  <c r="AX21" i="12"/>
  <c r="AZ21" i="12"/>
  <c r="B22" i="12"/>
  <c r="U22" i="12"/>
  <c r="V22" i="12"/>
  <c r="W22" i="12"/>
  <c r="X22" i="12"/>
  <c r="Y22" i="12"/>
  <c r="Z22" i="12"/>
  <c r="AB22" i="12"/>
  <c r="AC22" i="12"/>
  <c r="AD22" i="12"/>
  <c r="AF22" i="12"/>
  <c r="B23" i="12"/>
  <c r="C23" i="12"/>
  <c r="D23" i="12"/>
  <c r="E23" i="12"/>
  <c r="K23" i="12"/>
  <c r="M23" i="12"/>
  <c r="N23" i="12"/>
  <c r="U23" i="12"/>
  <c r="W23" i="12"/>
  <c r="X23" i="12"/>
  <c r="AB23" i="12"/>
  <c r="AF23" i="12"/>
  <c r="AG23" i="12"/>
  <c r="AJ23" i="12"/>
  <c r="B24" i="12"/>
  <c r="C24" i="12"/>
  <c r="D24" i="12"/>
  <c r="E24" i="12"/>
  <c r="K24" i="12"/>
  <c r="M24" i="12"/>
  <c r="N24" i="12"/>
  <c r="U24" i="12"/>
  <c r="W24" i="12"/>
  <c r="X24" i="12"/>
  <c r="AB24" i="12"/>
  <c r="AF24" i="12"/>
  <c r="B25" i="12"/>
  <c r="C25" i="12"/>
  <c r="D25" i="12"/>
  <c r="F25" i="12"/>
  <c r="G25" i="12"/>
  <c r="H25" i="12"/>
  <c r="I25" i="12"/>
  <c r="K25" i="12"/>
  <c r="L25" i="12"/>
  <c r="M25" i="12"/>
  <c r="N25" i="12"/>
  <c r="P25" i="12"/>
  <c r="Q25" i="12"/>
  <c r="R25" i="12"/>
  <c r="S25" i="12"/>
  <c r="U25" i="12"/>
  <c r="W25" i="12"/>
  <c r="X25" i="12"/>
  <c r="AB25" i="12"/>
  <c r="AF25" i="12"/>
  <c r="B26" i="12"/>
  <c r="C26" i="12"/>
  <c r="D26" i="12"/>
  <c r="E26" i="12"/>
  <c r="K26" i="12"/>
  <c r="L26" i="12"/>
  <c r="M26" i="12"/>
  <c r="N26" i="12"/>
  <c r="Q26" i="12"/>
  <c r="R26" i="12"/>
  <c r="U26" i="12"/>
  <c r="V26" i="12"/>
  <c r="W26" i="12"/>
  <c r="X26" i="12"/>
  <c r="Y26" i="12"/>
  <c r="Z26" i="12"/>
  <c r="AB26" i="12"/>
  <c r="AC26" i="12"/>
  <c r="AD26" i="12"/>
  <c r="AF26" i="12"/>
  <c r="AJ26" i="12"/>
  <c r="B27" i="12"/>
  <c r="C27" i="12"/>
  <c r="D27" i="12"/>
  <c r="E27" i="12"/>
  <c r="K27" i="12"/>
  <c r="L27" i="12"/>
  <c r="M27" i="12"/>
  <c r="N27" i="12"/>
  <c r="Q27" i="12"/>
  <c r="R27" i="12"/>
  <c r="U27" i="12"/>
  <c r="W27" i="12"/>
  <c r="X27" i="12"/>
  <c r="AB27" i="12"/>
  <c r="AF27" i="12"/>
  <c r="AG27" i="12"/>
  <c r="AJ27" i="12"/>
  <c r="B28" i="12"/>
  <c r="C28" i="12"/>
  <c r="D28" i="12"/>
  <c r="F28" i="12"/>
  <c r="G28" i="12"/>
  <c r="H28" i="12"/>
  <c r="I28" i="12"/>
  <c r="K28" i="12"/>
  <c r="L28" i="12"/>
  <c r="M28" i="12"/>
  <c r="N28" i="12"/>
  <c r="P28" i="12"/>
  <c r="Q28" i="12"/>
  <c r="R28" i="12"/>
  <c r="S28" i="12"/>
  <c r="U28" i="12"/>
  <c r="W28" i="12"/>
  <c r="X28" i="12"/>
  <c r="AB28" i="12"/>
  <c r="AF28" i="12"/>
  <c r="AJ28" i="12"/>
  <c r="B29" i="12"/>
  <c r="C29" i="12"/>
  <c r="D29" i="12"/>
  <c r="F29" i="12"/>
  <c r="G29" i="12"/>
  <c r="H29" i="12"/>
  <c r="I29" i="12"/>
  <c r="K29" i="12"/>
  <c r="L29" i="12"/>
  <c r="M29" i="12"/>
  <c r="N29" i="12"/>
  <c r="P29" i="12"/>
  <c r="Q29" i="12"/>
  <c r="R29" i="12"/>
  <c r="S29" i="12"/>
  <c r="U29" i="12"/>
  <c r="W29" i="12"/>
  <c r="X29" i="12"/>
  <c r="AB29" i="12"/>
  <c r="AF29" i="12"/>
  <c r="AJ29" i="12"/>
  <c r="B30" i="12"/>
  <c r="C30" i="12"/>
  <c r="D30" i="12"/>
  <c r="F30" i="12"/>
  <c r="G30" i="12"/>
  <c r="H30" i="12"/>
  <c r="I30" i="12"/>
  <c r="K30" i="12"/>
  <c r="L30" i="12"/>
  <c r="M30" i="12"/>
  <c r="N30" i="12"/>
  <c r="P30" i="12"/>
  <c r="Q30" i="12"/>
  <c r="R30" i="12"/>
  <c r="S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J30" i="12"/>
  <c r="B31" i="12"/>
  <c r="C31" i="12"/>
  <c r="D31" i="12"/>
  <c r="F31" i="12"/>
  <c r="G31" i="12"/>
  <c r="H31" i="12"/>
  <c r="I31" i="12"/>
  <c r="K31" i="12"/>
  <c r="L31" i="12"/>
  <c r="M31" i="12"/>
  <c r="N31" i="12"/>
  <c r="P31" i="12"/>
  <c r="Q31" i="12"/>
  <c r="R31" i="12"/>
  <c r="S31" i="12"/>
  <c r="U31" i="12"/>
  <c r="W31" i="12"/>
  <c r="X31" i="12"/>
  <c r="AB31" i="12"/>
  <c r="AF31" i="12"/>
  <c r="AG31" i="12"/>
  <c r="AJ31" i="12"/>
  <c r="B32" i="12"/>
  <c r="C32" i="12"/>
  <c r="D32" i="12"/>
  <c r="F32" i="12"/>
  <c r="G32" i="12"/>
  <c r="H32" i="12"/>
  <c r="I32" i="12"/>
  <c r="K32" i="12"/>
  <c r="L32" i="12"/>
  <c r="M32" i="12"/>
  <c r="N32" i="12"/>
  <c r="P32" i="12"/>
  <c r="Q32" i="12"/>
  <c r="R32" i="12"/>
  <c r="S32" i="12"/>
  <c r="U32" i="12"/>
  <c r="V32" i="12"/>
  <c r="W32" i="12"/>
  <c r="X32" i="12"/>
  <c r="Y32" i="12"/>
  <c r="Z32" i="12"/>
  <c r="AB32" i="12"/>
  <c r="AC32" i="12"/>
  <c r="AD32" i="12"/>
  <c r="AF32" i="12"/>
  <c r="AJ32" i="12"/>
  <c r="B33" i="12"/>
  <c r="C33" i="12"/>
  <c r="D33" i="12"/>
  <c r="F33" i="12"/>
  <c r="G33" i="12"/>
  <c r="H33" i="12"/>
  <c r="I33" i="12"/>
  <c r="K33" i="12"/>
  <c r="L33" i="12"/>
  <c r="M33" i="12"/>
  <c r="N33" i="12"/>
  <c r="P33" i="12"/>
  <c r="Q33" i="12"/>
  <c r="R33" i="12"/>
  <c r="S33" i="12"/>
  <c r="U33" i="12"/>
  <c r="W33" i="12"/>
  <c r="X33" i="12"/>
  <c r="AB33" i="12"/>
  <c r="AF33" i="12"/>
  <c r="AG33" i="12"/>
  <c r="B34" i="12"/>
  <c r="C34" i="12"/>
  <c r="D34" i="12"/>
  <c r="E34" i="12"/>
  <c r="F34" i="12"/>
  <c r="G34" i="12"/>
  <c r="H34" i="12"/>
  <c r="I34" i="12"/>
  <c r="K34" i="12"/>
  <c r="L34" i="12"/>
  <c r="M34" i="12"/>
  <c r="N34" i="12"/>
  <c r="U34" i="12"/>
  <c r="V34" i="12"/>
  <c r="W34" i="12"/>
  <c r="X34" i="12"/>
  <c r="Y34" i="12"/>
  <c r="Z34" i="12"/>
  <c r="AB34" i="12"/>
  <c r="AC34" i="12"/>
  <c r="AD34" i="12"/>
  <c r="AF34" i="12"/>
  <c r="B35" i="12"/>
  <c r="U35" i="12"/>
  <c r="W35" i="12"/>
  <c r="X35" i="12"/>
  <c r="AB35" i="12"/>
  <c r="AF35" i="12"/>
  <c r="AG35" i="12"/>
  <c r="B36" i="12"/>
  <c r="C36" i="12"/>
  <c r="D36" i="12"/>
  <c r="E36" i="12"/>
  <c r="K36" i="12"/>
  <c r="M36" i="12"/>
  <c r="N36" i="12"/>
  <c r="U36" i="12"/>
  <c r="W36" i="12"/>
  <c r="X36" i="12"/>
  <c r="AB36" i="12"/>
  <c r="AF36" i="12"/>
  <c r="AJ36" i="12"/>
  <c r="B37" i="12"/>
  <c r="C37" i="12"/>
  <c r="D37" i="12"/>
  <c r="E37" i="12"/>
  <c r="K37" i="12"/>
  <c r="M37" i="12"/>
  <c r="N37" i="12"/>
  <c r="U37" i="12"/>
  <c r="W37" i="12"/>
  <c r="X37" i="12"/>
  <c r="AB37" i="12"/>
  <c r="AF37" i="12"/>
  <c r="B38" i="12"/>
  <c r="C38" i="12"/>
  <c r="D38" i="12"/>
  <c r="F38" i="12"/>
  <c r="G38" i="12"/>
  <c r="H38" i="12"/>
  <c r="I38" i="12"/>
  <c r="K38" i="12"/>
  <c r="L38" i="12"/>
  <c r="M38" i="12"/>
  <c r="N38" i="12"/>
  <c r="P38" i="12"/>
  <c r="Q38" i="12"/>
  <c r="S38" i="12"/>
  <c r="U38" i="12"/>
  <c r="V38" i="12"/>
  <c r="W38" i="12"/>
  <c r="X38" i="12"/>
  <c r="Y38" i="12"/>
  <c r="Z38" i="12"/>
  <c r="AB38" i="12"/>
  <c r="AC38" i="12"/>
  <c r="AD38" i="12"/>
  <c r="AF38" i="12"/>
  <c r="B39" i="12"/>
  <c r="C39" i="12"/>
  <c r="D39" i="12"/>
  <c r="K39" i="12"/>
  <c r="L39" i="12"/>
  <c r="M39" i="12"/>
  <c r="N39" i="12"/>
  <c r="U39" i="12"/>
  <c r="W39" i="12"/>
  <c r="X39" i="12"/>
  <c r="AB39" i="12"/>
  <c r="AF39" i="12"/>
  <c r="AG39" i="12"/>
  <c r="AJ39" i="12"/>
  <c r="B40" i="12"/>
  <c r="C40" i="12"/>
  <c r="D40" i="12"/>
  <c r="K40" i="12"/>
  <c r="L40" i="12"/>
  <c r="M40" i="12"/>
  <c r="N40" i="12"/>
  <c r="U40" i="12"/>
  <c r="W40" i="12"/>
  <c r="X40" i="12"/>
  <c r="AB40" i="12"/>
  <c r="AF40" i="12"/>
  <c r="AJ40" i="12"/>
  <c r="B41" i="12"/>
  <c r="C41" i="12"/>
  <c r="D41" i="12"/>
  <c r="F41" i="12"/>
  <c r="G41" i="12"/>
  <c r="H41" i="12"/>
  <c r="I41" i="12"/>
  <c r="K41" i="12"/>
  <c r="L41" i="12"/>
  <c r="M41" i="12"/>
  <c r="N41" i="12"/>
  <c r="P41" i="12"/>
  <c r="Q41" i="12"/>
  <c r="S41" i="12"/>
  <c r="U41" i="12"/>
  <c r="W41" i="12"/>
  <c r="X41" i="12"/>
  <c r="AB41" i="12"/>
  <c r="AF41" i="12"/>
  <c r="AJ41" i="12"/>
  <c r="B42" i="12"/>
  <c r="C42" i="12"/>
  <c r="D42" i="12"/>
  <c r="F42" i="12"/>
  <c r="G42" i="12"/>
  <c r="H42" i="12"/>
  <c r="I42" i="12"/>
  <c r="K42" i="12"/>
  <c r="L42" i="12"/>
  <c r="M42" i="12"/>
  <c r="N42" i="12"/>
  <c r="P42" i="12"/>
  <c r="Q42" i="12"/>
  <c r="S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J42" i="12"/>
  <c r="B43" i="12"/>
  <c r="C43" i="12"/>
  <c r="D43" i="12"/>
  <c r="F43" i="12"/>
  <c r="G43" i="12"/>
  <c r="H43" i="12"/>
  <c r="I43" i="12"/>
  <c r="K43" i="12"/>
  <c r="L43" i="12"/>
  <c r="M43" i="12"/>
  <c r="N43" i="12"/>
  <c r="P43" i="12"/>
  <c r="Q43" i="12"/>
  <c r="S43" i="12"/>
  <c r="AJ43" i="12"/>
  <c r="B44" i="12"/>
  <c r="C44" i="12"/>
  <c r="D44" i="12"/>
  <c r="F44" i="12"/>
  <c r="G44" i="12"/>
  <c r="H44" i="12"/>
  <c r="I44" i="12"/>
  <c r="K44" i="12"/>
  <c r="L44" i="12"/>
  <c r="M44" i="12"/>
  <c r="N44" i="12"/>
  <c r="P44" i="12"/>
  <c r="Q44" i="12"/>
  <c r="S44" i="12"/>
  <c r="AJ44" i="12"/>
  <c r="B45" i="12"/>
  <c r="C45" i="12"/>
  <c r="D45" i="12"/>
  <c r="F45" i="12"/>
  <c r="G45" i="12"/>
  <c r="H45" i="12"/>
  <c r="I45" i="12"/>
  <c r="K45" i="12"/>
  <c r="L45" i="12"/>
  <c r="M45" i="12"/>
  <c r="N45" i="12"/>
  <c r="P45" i="12"/>
  <c r="Q45" i="12"/>
  <c r="S45" i="12"/>
  <c r="AJ45" i="12"/>
  <c r="B46" i="12"/>
  <c r="C46" i="12"/>
  <c r="D46" i="12"/>
  <c r="F46" i="12"/>
  <c r="G46" i="12"/>
  <c r="H46" i="12"/>
  <c r="I46" i="12"/>
  <c r="K46" i="12"/>
  <c r="L46" i="12"/>
  <c r="M46" i="12"/>
  <c r="N46" i="12"/>
  <c r="P46" i="12"/>
  <c r="Q46" i="12"/>
  <c r="S46" i="12"/>
  <c r="B47" i="12"/>
  <c r="C47" i="12"/>
  <c r="D47" i="12"/>
  <c r="E47" i="12"/>
  <c r="F47" i="12"/>
  <c r="G47" i="12"/>
  <c r="H47" i="12"/>
  <c r="I47" i="12"/>
  <c r="K47" i="12"/>
  <c r="L47" i="12"/>
  <c r="M47" i="12"/>
  <c r="N47" i="12"/>
  <c r="Q47" i="12"/>
  <c r="V48" i="12"/>
  <c r="AL48" i="12"/>
  <c r="AM48" i="12"/>
  <c r="D49" i="12"/>
  <c r="E49" i="12"/>
  <c r="F49" i="12"/>
  <c r="G49" i="12"/>
  <c r="H49" i="12"/>
  <c r="I49" i="12"/>
  <c r="J49" i="12"/>
  <c r="V49" i="12"/>
  <c r="AL49" i="12"/>
  <c r="AM49" i="12"/>
  <c r="D50" i="12"/>
  <c r="E50" i="12"/>
  <c r="F50" i="12"/>
  <c r="G50" i="12"/>
  <c r="H50" i="12"/>
  <c r="I50" i="12"/>
  <c r="J50" i="12"/>
  <c r="M50" i="12"/>
  <c r="U50" i="12"/>
  <c r="V50" i="12"/>
  <c r="AL50" i="12"/>
  <c r="AM50" i="12"/>
  <c r="A51" i="12"/>
  <c r="M51" i="12"/>
  <c r="U51" i="12"/>
  <c r="V51" i="12"/>
  <c r="AL51" i="12"/>
  <c r="AM51" i="12"/>
  <c r="A52" i="12"/>
  <c r="C52" i="12"/>
  <c r="D52" i="12"/>
  <c r="M52" i="12"/>
  <c r="U52" i="12"/>
  <c r="V52" i="12"/>
  <c r="AL52" i="12"/>
  <c r="AM52" i="12"/>
  <c r="D53" i="12"/>
  <c r="U53" i="12"/>
  <c r="V53" i="12"/>
  <c r="AL53" i="12"/>
  <c r="AM53" i="12"/>
  <c r="E54" i="12"/>
  <c r="U54" i="12"/>
  <c r="V54" i="12"/>
  <c r="AL54" i="12"/>
  <c r="AM54" i="12"/>
  <c r="F55" i="12"/>
  <c r="F56" i="12"/>
  <c r="G56" i="12"/>
  <c r="H56" i="12"/>
  <c r="I56" i="12"/>
  <c r="J56" i="12"/>
  <c r="U56" i="12"/>
  <c r="V56" i="12"/>
  <c r="AL56" i="12"/>
  <c r="AM56" i="12"/>
  <c r="U57" i="12"/>
  <c r="V57" i="12"/>
  <c r="AL57" i="12"/>
  <c r="AM57" i="12"/>
  <c r="G58" i="12"/>
  <c r="U58" i="12"/>
  <c r="V58" i="12"/>
  <c r="AL58" i="12"/>
  <c r="AM58" i="12"/>
  <c r="AO58" i="12"/>
  <c r="U59" i="12"/>
  <c r="V59" i="12"/>
  <c r="AL59" i="12"/>
  <c r="AM59" i="12"/>
  <c r="AO59" i="12"/>
  <c r="B60" i="12"/>
  <c r="D60" i="12"/>
  <c r="E60" i="12"/>
  <c r="F60" i="12"/>
  <c r="G60" i="12"/>
  <c r="H60" i="12"/>
  <c r="I60" i="12"/>
  <c r="J60" i="12"/>
  <c r="M60" i="12"/>
  <c r="U60" i="12"/>
  <c r="V60" i="12"/>
  <c r="AL60" i="12"/>
  <c r="AM60" i="12"/>
  <c r="AO60" i="12"/>
  <c r="U61" i="12"/>
  <c r="V61" i="12"/>
  <c r="AL61" i="12"/>
  <c r="AM61" i="12"/>
  <c r="AO61" i="12"/>
  <c r="U62" i="12"/>
  <c r="V62" i="12"/>
  <c r="AL62" i="12"/>
  <c r="AM62" i="12"/>
  <c r="AO62" i="12"/>
  <c r="U63" i="12"/>
  <c r="V63" i="12"/>
  <c r="AB63" i="12"/>
  <c r="AC63" i="12"/>
  <c r="AL63" i="12"/>
  <c r="AM63" i="12"/>
  <c r="AO63" i="12"/>
  <c r="U64" i="12"/>
  <c r="V64" i="12"/>
  <c r="AB64" i="12"/>
  <c r="AC64" i="12"/>
  <c r="AL64" i="12"/>
  <c r="AM64" i="12"/>
  <c r="AO64" i="12"/>
  <c r="B65" i="12"/>
  <c r="D65" i="12"/>
  <c r="I65" i="12"/>
  <c r="N65" i="12"/>
  <c r="U65" i="12"/>
  <c r="V65" i="12"/>
  <c r="AB65" i="12"/>
  <c r="AC65" i="12"/>
  <c r="AL65" i="12"/>
  <c r="AM65" i="12"/>
  <c r="AO65" i="12"/>
  <c r="B66" i="12"/>
  <c r="U66" i="12"/>
  <c r="V66" i="12"/>
  <c r="AC66" i="12"/>
  <c r="AL66" i="12"/>
  <c r="AM66" i="12"/>
  <c r="AO66" i="12"/>
  <c r="B67" i="12"/>
  <c r="U67" i="12"/>
  <c r="V67" i="12"/>
  <c r="AC67" i="12"/>
  <c r="AL67" i="12"/>
  <c r="AM67" i="12"/>
  <c r="AO67" i="12"/>
  <c r="B68" i="12"/>
  <c r="C68" i="12"/>
  <c r="U68" i="12"/>
  <c r="V68" i="12"/>
  <c r="AC68" i="12"/>
  <c r="AL68" i="12"/>
  <c r="AM68" i="12"/>
  <c r="AO68" i="12"/>
  <c r="U69" i="12"/>
  <c r="V69" i="12"/>
  <c r="AC69" i="12"/>
  <c r="AL69" i="12"/>
  <c r="AM69" i="12"/>
  <c r="AO69" i="12"/>
  <c r="B70" i="12"/>
  <c r="U70" i="12"/>
  <c r="V70" i="12"/>
  <c r="AC70" i="12"/>
  <c r="AD70" i="12"/>
  <c r="AL70" i="12"/>
  <c r="AM70" i="12"/>
  <c r="AO70" i="12"/>
  <c r="B71" i="12"/>
  <c r="U71" i="12"/>
  <c r="V71" i="12"/>
  <c r="AL71" i="12"/>
  <c r="AM71" i="12"/>
  <c r="AO71" i="12"/>
  <c r="B72" i="12"/>
  <c r="U72" i="12"/>
  <c r="B73" i="12"/>
  <c r="U73" i="12"/>
  <c r="U74" i="12"/>
  <c r="V74" i="12"/>
  <c r="U75" i="12"/>
  <c r="V75" i="12"/>
  <c r="AL75" i="12"/>
  <c r="AM75" i="12"/>
  <c r="U76" i="12"/>
  <c r="V76" i="12"/>
  <c r="AL76" i="12"/>
  <c r="AM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U77" i="12"/>
  <c r="V77" i="12"/>
  <c r="D78" i="12"/>
  <c r="E78" i="12"/>
  <c r="G78" i="12"/>
  <c r="I78" i="12"/>
  <c r="J78" i="12"/>
  <c r="L78" i="12"/>
  <c r="N78" i="12"/>
  <c r="O78" i="12"/>
  <c r="Q78" i="12"/>
  <c r="U78" i="12"/>
  <c r="V78" i="12"/>
  <c r="U79" i="12"/>
  <c r="V79" i="12"/>
  <c r="U80" i="12"/>
  <c r="V80" i="12"/>
  <c r="U81" i="12"/>
  <c r="V81" i="12"/>
  <c r="U82" i="12"/>
  <c r="V82" i="12"/>
  <c r="D83" i="12"/>
  <c r="I83" i="12"/>
  <c r="N83" i="12"/>
  <c r="U83" i="12"/>
  <c r="V83" i="12"/>
  <c r="U84" i="12"/>
  <c r="V84" i="12"/>
  <c r="U85" i="12"/>
  <c r="V8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D96" i="12"/>
  <c r="E96" i="12"/>
  <c r="G96" i="12"/>
  <c r="I96" i="12"/>
  <c r="J96" i="12"/>
  <c r="L96" i="12"/>
  <c r="N96" i="12"/>
  <c r="O96" i="12"/>
  <c r="Q96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P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F194" i="12"/>
  <c r="H194" i="12"/>
  <c r="K194" i="12"/>
  <c r="M194" i="12"/>
  <c r="P194" i="12"/>
  <c r="R194" i="12"/>
  <c r="F195" i="12"/>
  <c r="H195" i="12"/>
  <c r="K195" i="12"/>
  <c r="M195" i="12"/>
  <c r="P195" i="12"/>
  <c r="R195" i="12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A3" i="3"/>
  <c r="G4" i="3"/>
  <c r="DX4" i="3"/>
  <c r="DX4" i="3" a="1"/>
  <c r="DY4" i="3"/>
  <c r="DZ4" i="3"/>
  <c r="G5" i="3"/>
  <c r="DQ5" i="3"/>
  <c r="DR5" i="3"/>
  <c r="DS5" i="3"/>
  <c r="DX5" i="3"/>
  <c r="DY5" i="3"/>
  <c r="DZ5" i="3"/>
  <c r="G6" i="3"/>
  <c r="DQ6" i="3"/>
  <c r="DR6" i="3"/>
  <c r="DS6" i="3"/>
  <c r="DX6" i="3"/>
  <c r="DY6" i="3"/>
  <c r="DZ6" i="3"/>
  <c r="DQ7" i="3"/>
  <c r="DR7" i="3"/>
  <c r="DS7" i="3"/>
  <c r="DX7" i="3"/>
  <c r="DY7" i="3"/>
  <c r="DZ7" i="3"/>
  <c r="DQ8" i="3"/>
  <c r="DR8" i="3"/>
  <c r="DS8" i="3"/>
  <c r="DX8" i="3"/>
  <c r="DY8" i="3"/>
  <c r="DZ8" i="3"/>
  <c r="DQ9" i="3"/>
  <c r="DR9" i="3"/>
  <c r="DS9" i="3"/>
  <c r="DX9" i="3"/>
  <c r="DY9" i="3"/>
  <c r="DZ9" i="3"/>
  <c r="DQ10" i="3"/>
  <c r="DR10" i="3"/>
  <c r="DS10" i="3"/>
  <c r="DX10" i="3"/>
  <c r="DY10" i="3"/>
  <c r="DZ10" i="3"/>
  <c r="DQ11" i="3"/>
  <c r="DR11" i="3"/>
  <c r="DS11" i="3"/>
  <c r="DX11" i="3"/>
  <c r="DY11" i="3"/>
  <c r="DZ11" i="3"/>
  <c r="A12" i="3"/>
  <c r="B12" i="3"/>
  <c r="C12" i="3"/>
  <c r="D12" i="3"/>
  <c r="E12" i="3"/>
  <c r="F12" i="3"/>
  <c r="G12" i="3"/>
  <c r="H12" i="3"/>
  <c r="I12" i="3"/>
  <c r="J12" i="3"/>
  <c r="K12" i="3"/>
  <c r="L12" i="3"/>
  <c r="N12" i="3"/>
  <c r="R12" i="3"/>
  <c r="BG12" i="3"/>
  <c r="BH12" i="3"/>
  <c r="BK12" i="3"/>
  <c r="BL12" i="3"/>
  <c r="BM12" i="3"/>
  <c r="BO12" i="3"/>
  <c r="DQ12" i="3"/>
  <c r="DR12" i="3"/>
  <c r="DS12" i="3"/>
  <c r="DX12" i="3"/>
  <c r="DY12" i="3"/>
  <c r="DZ12" i="3"/>
  <c r="A13" i="3"/>
  <c r="B13" i="3"/>
  <c r="C13" i="3"/>
  <c r="D13" i="3"/>
  <c r="E13" i="3"/>
  <c r="F13" i="3"/>
  <c r="G13" i="3"/>
  <c r="H13" i="3"/>
  <c r="I13" i="3"/>
  <c r="J13" i="3"/>
  <c r="K13" i="3"/>
  <c r="L13" i="3"/>
  <c r="N13" i="3"/>
  <c r="R13" i="3"/>
  <c r="BG13" i="3"/>
  <c r="BH13" i="3"/>
  <c r="BK13" i="3"/>
  <c r="BL13" i="3"/>
  <c r="BM13" i="3"/>
  <c r="BO13" i="3"/>
  <c r="DQ13" i="3"/>
  <c r="DR13" i="3"/>
  <c r="DS13" i="3"/>
  <c r="DX13" i="3"/>
  <c r="DY13" i="3"/>
  <c r="DZ13" i="3"/>
  <c r="A14" i="3"/>
  <c r="B14" i="3"/>
  <c r="C14" i="3"/>
  <c r="D14" i="3"/>
  <c r="E14" i="3"/>
  <c r="F14" i="3"/>
  <c r="G14" i="3"/>
  <c r="H14" i="3"/>
  <c r="I14" i="3"/>
  <c r="J14" i="3"/>
  <c r="K14" i="3"/>
  <c r="L14" i="3"/>
  <c r="N14" i="3"/>
  <c r="R14" i="3"/>
  <c r="BG14" i="3"/>
  <c r="BH14" i="3"/>
  <c r="BK14" i="3"/>
  <c r="BL14" i="3"/>
  <c r="BM14" i="3"/>
  <c r="BO14" i="3"/>
  <c r="DQ14" i="3"/>
  <c r="DR14" i="3"/>
  <c r="DS14" i="3"/>
  <c r="DX14" i="3"/>
  <c r="DY14" i="3"/>
  <c r="DZ14" i="3"/>
  <c r="A15" i="3"/>
  <c r="B15" i="3"/>
  <c r="C15" i="3"/>
  <c r="D15" i="3"/>
  <c r="E15" i="3"/>
  <c r="F15" i="3"/>
  <c r="G15" i="3"/>
  <c r="H15" i="3"/>
  <c r="I15" i="3"/>
  <c r="J15" i="3"/>
  <c r="K15" i="3"/>
  <c r="L15" i="3"/>
  <c r="N15" i="3"/>
  <c r="R15" i="3"/>
  <c r="BG15" i="3"/>
  <c r="BH15" i="3"/>
  <c r="BK15" i="3"/>
  <c r="BL15" i="3"/>
  <c r="BM15" i="3"/>
  <c r="BO15" i="3"/>
  <c r="DQ15" i="3"/>
  <c r="DR15" i="3"/>
  <c r="DS15" i="3"/>
  <c r="DX15" i="3"/>
  <c r="DY15" i="3"/>
  <c r="DZ15" i="3"/>
  <c r="A16" i="3"/>
  <c r="B16" i="3"/>
  <c r="C16" i="3"/>
  <c r="D16" i="3"/>
  <c r="E16" i="3"/>
  <c r="F16" i="3"/>
  <c r="G16" i="3"/>
  <c r="H16" i="3"/>
  <c r="I16" i="3"/>
  <c r="J16" i="3"/>
  <c r="K16" i="3"/>
  <c r="L16" i="3"/>
  <c r="N16" i="3"/>
  <c r="R16" i="3"/>
  <c r="BG16" i="3"/>
  <c r="BH16" i="3"/>
  <c r="BK16" i="3"/>
  <c r="BL16" i="3"/>
  <c r="BM16" i="3"/>
  <c r="BO16" i="3"/>
  <c r="DQ16" i="3"/>
  <c r="DR16" i="3"/>
  <c r="DS16" i="3"/>
  <c r="DX16" i="3"/>
  <c r="DY16" i="3"/>
  <c r="DZ16" i="3"/>
  <c r="A17" i="3"/>
  <c r="B17" i="3"/>
  <c r="C17" i="3"/>
  <c r="D17" i="3"/>
  <c r="E17" i="3"/>
  <c r="F17" i="3"/>
  <c r="G17" i="3"/>
  <c r="H17" i="3"/>
  <c r="I17" i="3"/>
  <c r="J17" i="3"/>
  <c r="K17" i="3"/>
  <c r="L17" i="3"/>
  <c r="N17" i="3"/>
  <c r="R17" i="3"/>
  <c r="BG17" i="3"/>
  <c r="BH17" i="3"/>
  <c r="BK17" i="3"/>
  <c r="BL17" i="3"/>
  <c r="BM17" i="3"/>
  <c r="BO17" i="3"/>
  <c r="DQ17" i="3"/>
  <c r="DR17" i="3"/>
  <c r="DS17" i="3"/>
  <c r="DX17" i="3"/>
  <c r="DY17" i="3"/>
  <c r="DZ17" i="3"/>
  <c r="A18" i="3"/>
  <c r="B18" i="3"/>
  <c r="C18" i="3"/>
  <c r="D18" i="3"/>
  <c r="E18" i="3"/>
  <c r="F18" i="3"/>
  <c r="G18" i="3"/>
  <c r="H18" i="3"/>
  <c r="I18" i="3"/>
  <c r="J18" i="3"/>
  <c r="K18" i="3"/>
  <c r="L18" i="3"/>
  <c r="N18" i="3"/>
  <c r="R18" i="3"/>
  <c r="BG18" i="3"/>
  <c r="BH18" i="3"/>
  <c r="BK18" i="3"/>
  <c r="BL18" i="3"/>
  <c r="BM18" i="3"/>
  <c r="BO18" i="3"/>
  <c r="DQ18" i="3"/>
  <c r="DR18" i="3"/>
  <c r="DS18" i="3"/>
  <c r="DX18" i="3"/>
  <c r="DX18" i="3" a="1"/>
  <c r="DY18" i="3"/>
  <c r="DZ18" i="3"/>
  <c r="A19" i="3"/>
  <c r="B19" i="3"/>
  <c r="C19" i="3"/>
  <c r="D19" i="3"/>
  <c r="E19" i="3"/>
  <c r="F19" i="3"/>
  <c r="G19" i="3"/>
  <c r="H19" i="3"/>
  <c r="I19" i="3"/>
  <c r="J19" i="3"/>
  <c r="K19" i="3"/>
  <c r="L19" i="3"/>
  <c r="N19" i="3"/>
  <c r="R19" i="3"/>
  <c r="BG19" i="3"/>
  <c r="BH19" i="3"/>
  <c r="BK19" i="3"/>
  <c r="BL19" i="3"/>
  <c r="BM19" i="3"/>
  <c r="BO19" i="3"/>
  <c r="DQ19" i="3"/>
  <c r="DR19" i="3"/>
  <c r="DS19" i="3"/>
  <c r="DX19" i="3"/>
  <c r="DY19" i="3"/>
  <c r="DZ19" i="3"/>
  <c r="A20" i="3"/>
  <c r="B20" i="3"/>
  <c r="C20" i="3"/>
  <c r="D20" i="3"/>
  <c r="E20" i="3"/>
  <c r="F20" i="3"/>
  <c r="G20" i="3"/>
  <c r="H20" i="3"/>
  <c r="I20" i="3"/>
  <c r="J20" i="3"/>
  <c r="K20" i="3"/>
  <c r="L20" i="3"/>
  <c r="N20" i="3"/>
  <c r="R20" i="3"/>
  <c r="BG20" i="3"/>
  <c r="BH20" i="3"/>
  <c r="BK20" i="3"/>
  <c r="BL20" i="3"/>
  <c r="BM20" i="3"/>
  <c r="BO20" i="3"/>
  <c r="DQ20" i="3"/>
  <c r="DR20" i="3"/>
  <c r="DS20" i="3"/>
  <c r="DX20" i="3"/>
  <c r="DY20" i="3"/>
  <c r="DZ20" i="3"/>
  <c r="A21" i="3"/>
  <c r="B21" i="3"/>
  <c r="C21" i="3"/>
  <c r="D21" i="3"/>
  <c r="E21" i="3"/>
  <c r="F21" i="3"/>
  <c r="G21" i="3"/>
  <c r="H21" i="3"/>
  <c r="I21" i="3"/>
  <c r="J21" i="3"/>
  <c r="K21" i="3"/>
  <c r="L21" i="3"/>
  <c r="N21" i="3"/>
  <c r="R21" i="3"/>
  <c r="BG21" i="3"/>
  <c r="BH21" i="3"/>
  <c r="BK21" i="3"/>
  <c r="BL21" i="3"/>
  <c r="BM21" i="3"/>
  <c r="BO21" i="3"/>
  <c r="DQ21" i="3"/>
  <c r="DR21" i="3"/>
  <c r="DS21" i="3"/>
  <c r="DX21" i="3"/>
  <c r="DY21" i="3"/>
  <c r="DZ21" i="3"/>
  <c r="A22" i="3"/>
  <c r="B22" i="3"/>
  <c r="C22" i="3"/>
  <c r="D22" i="3"/>
  <c r="E22" i="3"/>
  <c r="F22" i="3"/>
  <c r="G22" i="3"/>
  <c r="H22" i="3"/>
  <c r="I22" i="3"/>
  <c r="J22" i="3"/>
  <c r="K22" i="3"/>
  <c r="L22" i="3"/>
  <c r="N22" i="3"/>
  <c r="R22" i="3"/>
  <c r="BG22" i="3"/>
  <c r="BH22" i="3"/>
  <c r="BK22" i="3"/>
  <c r="BL22" i="3"/>
  <c r="BM22" i="3"/>
  <c r="BO22" i="3"/>
  <c r="DQ22" i="3"/>
  <c r="DR22" i="3"/>
  <c r="DS22" i="3"/>
  <c r="DX22" i="3"/>
  <c r="A23" i="3"/>
  <c r="B23" i="3"/>
  <c r="C23" i="3"/>
  <c r="D23" i="3"/>
  <c r="E23" i="3"/>
  <c r="F23" i="3"/>
  <c r="G23" i="3"/>
  <c r="H23" i="3"/>
  <c r="I23" i="3"/>
  <c r="J23" i="3"/>
  <c r="K23" i="3"/>
  <c r="L23" i="3"/>
  <c r="N23" i="3"/>
  <c r="R23" i="3"/>
  <c r="BG23" i="3"/>
  <c r="BH23" i="3"/>
  <c r="BK23" i="3"/>
  <c r="BL23" i="3"/>
  <c r="BM23" i="3"/>
  <c r="BO23" i="3"/>
  <c r="A24" i="3"/>
  <c r="B24" i="3"/>
  <c r="C24" i="3"/>
  <c r="D24" i="3"/>
  <c r="E24" i="3"/>
  <c r="F24" i="3"/>
  <c r="G24" i="3"/>
  <c r="H24" i="3"/>
  <c r="I24" i="3"/>
  <c r="J24" i="3"/>
  <c r="K24" i="3"/>
  <c r="L24" i="3"/>
  <c r="N24" i="3"/>
  <c r="R24" i="3"/>
  <c r="BG24" i="3"/>
  <c r="BH24" i="3"/>
  <c r="BK24" i="3"/>
  <c r="BL24" i="3"/>
  <c r="BM24" i="3"/>
  <c r="BO24" i="3"/>
  <c r="A25" i="3"/>
  <c r="B25" i="3"/>
  <c r="C25" i="3"/>
  <c r="D25" i="3"/>
  <c r="E25" i="3"/>
  <c r="F25" i="3"/>
  <c r="G25" i="3"/>
  <c r="H25" i="3"/>
  <c r="I25" i="3"/>
  <c r="J25" i="3"/>
  <c r="K25" i="3"/>
  <c r="L25" i="3"/>
  <c r="N25" i="3"/>
  <c r="R25" i="3"/>
  <c r="BG25" i="3"/>
  <c r="BH25" i="3"/>
  <c r="BK25" i="3"/>
  <c r="BL25" i="3"/>
  <c r="BM25" i="3"/>
  <c r="BO25" i="3"/>
  <c r="A26" i="3"/>
  <c r="B26" i="3"/>
  <c r="C26" i="3"/>
  <c r="D26" i="3"/>
  <c r="E26" i="3"/>
  <c r="F26" i="3"/>
  <c r="G26" i="3"/>
  <c r="H26" i="3"/>
  <c r="I26" i="3"/>
  <c r="J26" i="3"/>
  <c r="K26" i="3"/>
  <c r="L26" i="3"/>
  <c r="N26" i="3"/>
  <c r="R26" i="3"/>
  <c r="BG26" i="3"/>
  <c r="BH26" i="3"/>
  <c r="BK26" i="3"/>
  <c r="BL26" i="3"/>
  <c r="BM26" i="3"/>
  <c r="BO26" i="3"/>
  <c r="A27" i="3"/>
  <c r="B27" i="3"/>
  <c r="C27" i="3"/>
  <c r="D27" i="3"/>
  <c r="E27" i="3"/>
  <c r="F27" i="3"/>
  <c r="G27" i="3"/>
  <c r="H27" i="3"/>
  <c r="I27" i="3"/>
  <c r="J27" i="3"/>
  <c r="K27" i="3"/>
  <c r="L27" i="3"/>
  <c r="N27" i="3"/>
  <c r="R27" i="3"/>
  <c r="BG27" i="3"/>
  <c r="BH27" i="3"/>
  <c r="BK27" i="3"/>
  <c r="BL27" i="3"/>
  <c r="BM27" i="3"/>
  <c r="BO27" i="3"/>
  <c r="A28" i="3"/>
  <c r="B28" i="3"/>
  <c r="C28" i="3"/>
  <c r="D28" i="3"/>
  <c r="E28" i="3"/>
  <c r="F28" i="3"/>
  <c r="G28" i="3"/>
  <c r="H28" i="3"/>
  <c r="I28" i="3"/>
  <c r="J28" i="3"/>
  <c r="K28" i="3"/>
  <c r="L28" i="3"/>
  <c r="N28" i="3"/>
  <c r="R28" i="3"/>
  <c r="BG28" i="3"/>
  <c r="BH28" i="3"/>
  <c r="BK28" i="3"/>
  <c r="BL28" i="3"/>
  <c r="BM28" i="3"/>
  <c r="BO28" i="3"/>
  <c r="A29" i="3"/>
  <c r="B29" i="3"/>
  <c r="C29" i="3"/>
  <c r="D29" i="3"/>
  <c r="E29" i="3"/>
  <c r="F29" i="3"/>
  <c r="G29" i="3"/>
  <c r="H29" i="3"/>
  <c r="I29" i="3"/>
  <c r="J29" i="3"/>
  <c r="K29" i="3"/>
  <c r="L29" i="3"/>
  <c r="N29" i="3"/>
  <c r="R35" i="3"/>
  <c r="T35" i="3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R36" i="3"/>
  <c r="T36" i="3"/>
  <c r="V36" i="3"/>
  <c r="X36" i="3"/>
  <c r="Z36" i="3"/>
  <c r="AB36" i="3"/>
  <c r="AD36" i="3"/>
  <c r="AF36" i="3"/>
  <c r="AH36" i="3"/>
  <c r="AJ36" i="3"/>
  <c r="AL36" i="3"/>
  <c r="AN36" i="3"/>
  <c r="AP36" i="3"/>
  <c r="AR36" i="3"/>
  <c r="AT36" i="3"/>
  <c r="AV36" i="3"/>
  <c r="AX36" i="3"/>
  <c r="AZ36" i="3"/>
  <c r="BB36" i="3"/>
  <c r="BD36" i="3"/>
  <c r="BF36" i="3"/>
  <c r="BH36" i="3"/>
  <c r="R37" i="3"/>
  <c r="T37" i="3"/>
  <c r="V37" i="3"/>
  <c r="X37" i="3"/>
  <c r="Z37" i="3"/>
  <c r="AB37" i="3"/>
  <c r="AD37" i="3"/>
  <c r="AF37" i="3"/>
  <c r="AH37" i="3"/>
  <c r="AJ37" i="3"/>
  <c r="AL37" i="3"/>
  <c r="AN37" i="3"/>
  <c r="AP37" i="3"/>
  <c r="AR37" i="3"/>
  <c r="AT37" i="3"/>
  <c r="AV37" i="3"/>
  <c r="AX37" i="3"/>
  <c r="AZ37" i="3"/>
  <c r="BB37" i="3"/>
  <c r="BD37" i="3"/>
  <c r="BF37" i="3"/>
  <c r="BH37" i="3"/>
  <c r="R38" i="3"/>
  <c r="T38" i="3"/>
  <c r="V38" i="3"/>
  <c r="X38" i="3"/>
  <c r="Z38" i="3"/>
  <c r="AB38" i="3"/>
  <c r="AD38" i="3"/>
  <c r="AF38" i="3"/>
  <c r="AH38" i="3"/>
  <c r="AJ38" i="3"/>
  <c r="AL38" i="3"/>
  <c r="AN38" i="3"/>
  <c r="AP38" i="3"/>
  <c r="AR38" i="3"/>
  <c r="AT38" i="3"/>
  <c r="AV38" i="3"/>
  <c r="AX38" i="3"/>
  <c r="AZ38" i="3"/>
  <c r="BB38" i="3"/>
  <c r="BD38" i="3"/>
  <c r="BF38" i="3"/>
  <c r="BH38" i="3"/>
  <c r="R39" i="3"/>
  <c r="T39" i="3"/>
  <c r="V39" i="3"/>
  <c r="X39" i="3"/>
  <c r="Z39" i="3"/>
  <c r="AB39" i="3"/>
  <c r="AD39" i="3"/>
  <c r="AF39" i="3"/>
  <c r="AH39" i="3"/>
  <c r="AJ39" i="3"/>
  <c r="AL39" i="3"/>
  <c r="AN39" i="3"/>
  <c r="AP39" i="3"/>
  <c r="AR39" i="3"/>
  <c r="AT39" i="3"/>
  <c r="AV39" i="3"/>
  <c r="AX39" i="3"/>
  <c r="AZ39" i="3"/>
  <c r="BB39" i="3"/>
  <c r="BD39" i="3"/>
  <c r="BF39" i="3"/>
  <c r="BH39" i="3"/>
  <c r="R40" i="3"/>
  <c r="T40" i="3"/>
  <c r="V40" i="3"/>
  <c r="X40" i="3"/>
  <c r="Z40" i="3"/>
  <c r="AB40" i="3"/>
  <c r="AD40" i="3"/>
  <c r="AF40" i="3"/>
  <c r="AH40" i="3"/>
  <c r="AJ40" i="3"/>
  <c r="AL40" i="3"/>
  <c r="AN40" i="3"/>
  <c r="AP40" i="3"/>
  <c r="AR40" i="3"/>
  <c r="AT40" i="3"/>
  <c r="AV40" i="3"/>
  <c r="AX40" i="3"/>
  <c r="AZ40" i="3"/>
  <c r="BB40" i="3"/>
  <c r="BD40" i="3"/>
  <c r="BF40" i="3"/>
  <c r="BH40" i="3"/>
  <c r="R41" i="3"/>
  <c r="T41" i="3"/>
  <c r="V41" i="3"/>
  <c r="X41" i="3"/>
  <c r="Z41" i="3"/>
  <c r="AB41" i="3"/>
  <c r="AD41" i="3"/>
  <c r="AF41" i="3"/>
  <c r="AH41" i="3"/>
  <c r="AJ41" i="3"/>
  <c r="AL41" i="3"/>
  <c r="AN41" i="3"/>
  <c r="AP41" i="3"/>
  <c r="AR41" i="3"/>
  <c r="AT41" i="3"/>
  <c r="AV41" i="3"/>
  <c r="AX41" i="3"/>
  <c r="AZ41" i="3"/>
  <c r="BB41" i="3"/>
  <c r="BD41" i="3"/>
  <c r="BF41" i="3"/>
  <c r="BH41" i="3"/>
  <c r="R42" i="3"/>
  <c r="T42" i="3"/>
  <c r="V42" i="3"/>
  <c r="X42" i="3"/>
  <c r="Z42" i="3"/>
  <c r="AB42" i="3"/>
  <c r="AD42" i="3"/>
  <c r="AF42" i="3"/>
  <c r="AH42" i="3"/>
  <c r="AJ42" i="3"/>
  <c r="AL42" i="3"/>
  <c r="AN42" i="3"/>
  <c r="AP42" i="3"/>
  <c r="AR42" i="3"/>
  <c r="AT42" i="3"/>
  <c r="AV42" i="3"/>
  <c r="AX42" i="3"/>
  <c r="AZ42" i="3"/>
  <c r="BB42" i="3"/>
  <c r="BD42" i="3"/>
  <c r="BF42" i="3"/>
  <c r="BH42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R43" i="3"/>
  <c r="AT43" i="3"/>
  <c r="AV43" i="3"/>
  <c r="AX43" i="3"/>
  <c r="AZ43" i="3"/>
  <c r="BB43" i="3"/>
  <c r="BD43" i="3"/>
  <c r="BF43" i="3"/>
  <c r="BH43" i="3"/>
  <c r="R44" i="3"/>
  <c r="V44" i="3"/>
  <c r="X44" i="3"/>
  <c r="Z44" i="3"/>
  <c r="AB44" i="3"/>
  <c r="AD44" i="3"/>
  <c r="AF44" i="3"/>
  <c r="AH44" i="3"/>
  <c r="AJ44" i="3"/>
  <c r="AL44" i="3"/>
  <c r="AN44" i="3"/>
  <c r="AP44" i="3"/>
  <c r="AR44" i="3"/>
  <c r="AT44" i="3"/>
  <c r="AV44" i="3"/>
  <c r="AX44" i="3"/>
  <c r="AZ44" i="3"/>
  <c r="BB44" i="3"/>
  <c r="BD44" i="3"/>
  <c r="BF44" i="3"/>
  <c r="BH44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T45" i="3"/>
  <c r="AV45" i="3"/>
  <c r="AX45" i="3"/>
  <c r="AZ45" i="3"/>
  <c r="BB45" i="3"/>
  <c r="BD45" i="3"/>
  <c r="BF45" i="3"/>
  <c r="BH45" i="3"/>
  <c r="R46" i="3"/>
  <c r="T46" i="3"/>
  <c r="V46" i="3"/>
  <c r="X46" i="3"/>
  <c r="Z46" i="3"/>
  <c r="AB46" i="3"/>
  <c r="AD46" i="3"/>
  <c r="AF46" i="3"/>
  <c r="AH46" i="3"/>
  <c r="AJ46" i="3"/>
  <c r="AL46" i="3"/>
  <c r="AN46" i="3"/>
  <c r="AP46" i="3"/>
  <c r="AR46" i="3"/>
  <c r="AT46" i="3"/>
  <c r="AV46" i="3"/>
  <c r="AX46" i="3"/>
  <c r="AZ46" i="3"/>
  <c r="BB46" i="3"/>
  <c r="BD46" i="3"/>
  <c r="BF46" i="3"/>
  <c r="BH46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V47" i="3"/>
  <c r="AX47" i="3"/>
  <c r="AZ47" i="3"/>
  <c r="BB47" i="3"/>
  <c r="BD47" i="3"/>
  <c r="BF47" i="3"/>
  <c r="BH47" i="3"/>
  <c r="R48" i="3"/>
  <c r="T48" i="3"/>
  <c r="V48" i="3"/>
  <c r="X48" i="3"/>
  <c r="Z48" i="3"/>
  <c r="AB48" i="3"/>
  <c r="AD48" i="3"/>
  <c r="AF48" i="3"/>
  <c r="AH48" i="3"/>
  <c r="AJ48" i="3"/>
  <c r="AL48" i="3"/>
  <c r="AN48" i="3"/>
  <c r="AP48" i="3"/>
  <c r="AR48" i="3"/>
  <c r="AT48" i="3"/>
  <c r="AV48" i="3"/>
  <c r="AX48" i="3"/>
  <c r="AZ48" i="3"/>
  <c r="BB48" i="3"/>
  <c r="BD48" i="3"/>
  <c r="BF48" i="3"/>
  <c r="BH48" i="3"/>
  <c r="R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X49" i="3"/>
  <c r="AZ49" i="3"/>
  <c r="BB49" i="3"/>
  <c r="BD49" i="3"/>
  <c r="BF49" i="3"/>
  <c r="BH49" i="3"/>
  <c r="R50" i="3"/>
  <c r="T50" i="3"/>
  <c r="V50" i="3"/>
  <c r="X50" i="3"/>
  <c r="Z50" i="3"/>
  <c r="AB50" i="3"/>
  <c r="AD50" i="3"/>
  <c r="AF50" i="3"/>
  <c r="AH50" i="3"/>
  <c r="AJ50" i="3"/>
  <c r="AL50" i="3"/>
  <c r="AN50" i="3"/>
  <c r="AP50" i="3"/>
  <c r="AR50" i="3"/>
  <c r="AT50" i="3"/>
  <c r="AV50" i="3"/>
  <c r="AX50" i="3"/>
  <c r="AZ50" i="3"/>
  <c r="BB50" i="3"/>
  <c r="BD50" i="3"/>
  <c r="BF50" i="3"/>
  <c r="BH50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AZ51" i="3"/>
  <c r="BB51" i="3"/>
  <c r="BD51" i="3"/>
  <c r="BF51" i="3"/>
  <c r="BH51" i="3"/>
  <c r="R52" i="3"/>
  <c r="T52" i="3"/>
  <c r="V52" i="3"/>
  <c r="X52" i="3"/>
  <c r="Z52" i="3"/>
  <c r="AB52" i="3"/>
  <c r="AD52" i="3"/>
  <c r="AF52" i="3"/>
  <c r="AH52" i="3"/>
  <c r="AJ52" i="3"/>
  <c r="AL52" i="3"/>
  <c r="AN52" i="3"/>
  <c r="AP52" i="3"/>
  <c r="AR52" i="3"/>
  <c r="AT52" i="3"/>
  <c r="AV52" i="3"/>
  <c r="AX52" i="3"/>
  <c r="AZ52" i="3"/>
  <c r="BB52" i="3"/>
  <c r="BD52" i="3"/>
  <c r="BF52" i="3"/>
  <c r="BH52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R66" i="3"/>
  <c r="T66" i="3"/>
  <c r="V66" i="3"/>
  <c r="X66" i="3"/>
  <c r="Z66" i="3"/>
  <c r="AB66" i="3"/>
  <c r="AD66" i="3"/>
  <c r="AF66" i="3"/>
  <c r="AH66" i="3"/>
  <c r="AJ66" i="3"/>
  <c r="AL66" i="3"/>
  <c r="AN66" i="3"/>
  <c r="AP66" i="3"/>
  <c r="AR66" i="3"/>
  <c r="AT66" i="3"/>
  <c r="AV66" i="3"/>
  <c r="AX66" i="3"/>
  <c r="AZ66" i="3"/>
  <c r="BB66" i="3"/>
  <c r="BD66" i="3"/>
  <c r="BF66" i="3"/>
  <c r="BH66" i="3"/>
  <c r="R67" i="3"/>
  <c r="T67" i="3"/>
  <c r="V67" i="3"/>
  <c r="X67" i="3"/>
  <c r="Z67" i="3"/>
  <c r="AB67" i="3"/>
  <c r="AD67" i="3"/>
  <c r="AF67" i="3"/>
  <c r="AH67" i="3"/>
  <c r="AJ67" i="3"/>
  <c r="AL67" i="3"/>
  <c r="AN67" i="3"/>
  <c r="AP67" i="3"/>
  <c r="AR67" i="3"/>
  <c r="AT67" i="3"/>
  <c r="AV67" i="3"/>
  <c r="AX67" i="3"/>
  <c r="AZ67" i="3"/>
  <c r="BB67" i="3"/>
  <c r="BD67" i="3"/>
  <c r="BF67" i="3"/>
  <c r="BH67" i="3"/>
  <c r="R68" i="3"/>
  <c r="T68" i="3"/>
  <c r="V68" i="3"/>
  <c r="X68" i="3"/>
  <c r="Z68" i="3"/>
  <c r="AB68" i="3"/>
  <c r="AD68" i="3"/>
  <c r="AF68" i="3"/>
  <c r="AH68" i="3"/>
  <c r="AJ68" i="3"/>
  <c r="AL68" i="3"/>
  <c r="AN68" i="3"/>
  <c r="AP68" i="3"/>
  <c r="AR68" i="3"/>
  <c r="AT68" i="3"/>
  <c r="AV68" i="3"/>
  <c r="AX68" i="3"/>
  <c r="AZ68" i="3"/>
  <c r="BB68" i="3"/>
  <c r="BD68" i="3"/>
  <c r="BF68" i="3"/>
  <c r="BH68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R70" i="3"/>
  <c r="T70" i="3"/>
  <c r="V70" i="3"/>
  <c r="X70" i="3"/>
  <c r="Z70" i="3"/>
  <c r="AB70" i="3"/>
  <c r="AD70" i="3"/>
  <c r="AF70" i="3"/>
  <c r="AH70" i="3"/>
  <c r="AJ70" i="3"/>
  <c r="AL70" i="3"/>
  <c r="AN70" i="3"/>
  <c r="AP70" i="3"/>
  <c r="AR70" i="3"/>
  <c r="AT70" i="3"/>
  <c r="AV70" i="3"/>
  <c r="AX70" i="3"/>
  <c r="AZ70" i="3"/>
  <c r="BB70" i="3"/>
  <c r="BD70" i="3"/>
  <c r="BF70" i="3"/>
  <c r="BH70" i="3"/>
  <c r="R71" i="3"/>
  <c r="T71" i="3"/>
  <c r="V71" i="3"/>
  <c r="X71" i="3"/>
  <c r="Z71" i="3"/>
  <c r="AB71" i="3"/>
  <c r="AD71" i="3"/>
  <c r="AF71" i="3"/>
  <c r="AH71" i="3"/>
  <c r="AJ71" i="3"/>
  <c r="AL71" i="3"/>
  <c r="AN71" i="3"/>
  <c r="AP71" i="3"/>
  <c r="AR71" i="3"/>
  <c r="AT71" i="3"/>
  <c r="AV71" i="3"/>
  <c r="AX71" i="3"/>
  <c r="AZ71" i="3"/>
  <c r="BB71" i="3"/>
  <c r="BD71" i="3"/>
  <c r="BF71" i="3"/>
  <c r="BH71" i="3"/>
  <c r="R72" i="3"/>
  <c r="T72" i="3"/>
  <c r="V72" i="3"/>
  <c r="X72" i="3"/>
  <c r="Z72" i="3"/>
  <c r="AB72" i="3"/>
  <c r="AD72" i="3"/>
  <c r="AF72" i="3"/>
  <c r="AH72" i="3"/>
  <c r="AJ72" i="3"/>
  <c r="AL72" i="3"/>
  <c r="AN72" i="3"/>
  <c r="AP72" i="3"/>
  <c r="AR72" i="3"/>
  <c r="AT72" i="3"/>
  <c r="AV72" i="3"/>
  <c r="AX72" i="3"/>
  <c r="AZ72" i="3"/>
  <c r="BB72" i="3"/>
  <c r="BD72" i="3"/>
  <c r="BF72" i="3"/>
  <c r="BH72" i="3"/>
  <c r="R73" i="3"/>
  <c r="T73" i="3"/>
  <c r="V73" i="3"/>
  <c r="X73" i="3"/>
  <c r="Z73" i="3"/>
  <c r="AB73" i="3"/>
  <c r="AD73" i="3"/>
  <c r="AF73" i="3"/>
  <c r="AH73" i="3"/>
  <c r="AJ73" i="3"/>
  <c r="AL73" i="3"/>
  <c r="AN73" i="3"/>
  <c r="AP73" i="3"/>
  <c r="AR73" i="3"/>
  <c r="AT73" i="3"/>
  <c r="AV73" i="3"/>
  <c r="AX73" i="3"/>
  <c r="AZ73" i="3"/>
  <c r="BB73" i="3"/>
  <c r="BD73" i="3"/>
  <c r="BF73" i="3"/>
  <c r="BH73" i="3"/>
  <c r="R74" i="3"/>
  <c r="T74" i="3"/>
  <c r="V74" i="3"/>
  <c r="X74" i="3"/>
  <c r="Z74" i="3"/>
  <c r="AB74" i="3"/>
  <c r="AD74" i="3"/>
  <c r="AF74" i="3"/>
  <c r="AH74" i="3"/>
  <c r="AJ74" i="3"/>
  <c r="AL74" i="3"/>
  <c r="AN74" i="3"/>
  <c r="AP74" i="3"/>
  <c r="AR74" i="3"/>
  <c r="AT74" i="3"/>
  <c r="AV74" i="3"/>
  <c r="AX74" i="3"/>
  <c r="AZ74" i="3"/>
  <c r="BB74" i="3"/>
  <c r="BD74" i="3"/>
  <c r="BF74" i="3"/>
  <c r="BH74" i="3"/>
  <c r="R75" i="3"/>
  <c r="T75" i="3"/>
  <c r="V75" i="3"/>
  <c r="X75" i="3"/>
  <c r="Z75" i="3"/>
  <c r="AB75" i="3"/>
  <c r="AD75" i="3"/>
  <c r="AF75" i="3"/>
  <c r="AH75" i="3"/>
  <c r="AJ75" i="3"/>
  <c r="AL75" i="3"/>
  <c r="AN75" i="3"/>
  <c r="AP75" i="3"/>
  <c r="AR75" i="3"/>
  <c r="AT75" i="3"/>
  <c r="AV75" i="3"/>
  <c r="AX75" i="3"/>
  <c r="AZ75" i="3"/>
  <c r="BB75" i="3"/>
  <c r="BD75" i="3"/>
  <c r="BF75" i="3"/>
  <c r="BH75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R77" i="3"/>
  <c r="T77" i="3"/>
  <c r="V77" i="3"/>
  <c r="X77" i="3"/>
  <c r="Z77" i="3"/>
  <c r="AB77" i="3"/>
  <c r="AD77" i="3"/>
  <c r="AF77" i="3"/>
  <c r="AH77" i="3"/>
  <c r="AJ77" i="3"/>
  <c r="AL77" i="3"/>
  <c r="AN77" i="3"/>
  <c r="AP77" i="3"/>
  <c r="AR77" i="3"/>
  <c r="AT77" i="3"/>
  <c r="AV77" i="3"/>
  <c r="AX77" i="3"/>
  <c r="AZ77" i="3"/>
  <c r="BB77" i="3"/>
  <c r="BD77" i="3"/>
  <c r="BF77" i="3"/>
  <c r="BH77" i="3"/>
  <c r="R78" i="3"/>
  <c r="T78" i="3"/>
  <c r="V78" i="3"/>
  <c r="X78" i="3"/>
  <c r="Z78" i="3"/>
  <c r="AB78" i="3"/>
  <c r="AD78" i="3"/>
  <c r="AF78" i="3"/>
  <c r="AH78" i="3"/>
  <c r="AJ78" i="3"/>
  <c r="AL78" i="3"/>
  <c r="AN78" i="3"/>
  <c r="AP78" i="3"/>
  <c r="AR78" i="3"/>
  <c r="AT78" i="3"/>
  <c r="AV78" i="3"/>
  <c r="AX78" i="3"/>
  <c r="AZ78" i="3"/>
  <c r="BB78" i="3"/>
  <c r="BD78" i="3"/>
  <c r="BF78" i="3"/>
  <c r="BH78" i="3"/>
  <c r="R79" i="3"/>
  <c r="T79" i="3"/>
  <c r="V79" i="3"/>
  <c r="X79" i="3"/>
  <c r="Z79" i="3"/>
  <c r="AB79" i="3"/>
  <c r="AD79" i="3"/>
  <c r="AF79" i="3"/>
  <c r="AH79" i="3"/>
  <c r="AJ79" i="3"/>
  <c r="AL79" i="3"/>
  <c r="AN79" i="3"/>
  <c r="AP79" i="3"/>
  <c r="AR79" i="3"/>
  <c r="AT79" i="3"/>
  <c r="AV79" i="3"/>
  <c r="AX79" i="3"/>
  <c r="AZ79" i="3"/>
  <c r="BB79" i="3"/>
  <c r="BD79" i="3"/>
  <c r="BF79" i="3"/>
  <c r="BH79" i="3"/>
  <c r="R80" i="3"/>
  <c r="T80" i="3"/>
  <c r="V80" i="3"/>
  <c r="X80" i="3"/>
  <c r="Z80" i="3"/>
  <c r="AB80" i="3"/>
  <c r="AD80" i="3"/>
  <c r="AF80" i="3"/>
  <c r="AH80" i="3"/>
  <c r="AJ80" i="3"/>
  <c r="AL80" i="3"/>
  <c r="AN80" i="3"/>
  <c r="AP80" i="3"/>
  <c r="AR80" i="3"/>
  <c r="AT80" i="3"/>
  <c r="AV80" i="3"/>
  <c r="AX80" i="3"/>
  <c r="AZ80" i="3"/>
  <c r="BB80" i="3"/>
  <c r="BD80" i="3"/>
  <c r="BF80" i="3"/>
  <c r="BH80" i="3"/>
  <c r="R81" i="3"/>
  <c r="T81" i="3"/>
  <c r="V81" i="3"/>
  <c r="X81" i="3"/>
  <c r="Z81" i="3"/>
  <c r="AB81" i="3"/>
  <c r="AD81" i="3"/>
  <c r="AF81" i="3"/>
  <c r="AH81" i="3"/>
  <c r="AJ81" i="3"/>
  <c r="AL81" i="3"/>
  <c r="AN81" i="3"/>
  <c r="AP81" i="3"/>
  <c r="AR81" i="3"/>
  <c r="AT81" i="3"/>
  <c r="AV81" i="3"/>
  <c r="AX81" i="3"/>
  <c r="AZ81" i="3"/>
  <c r="BB81" i="3"/>
  <c r="BD81" i="3"/>
  <c r="BF81" i="3"/>
  <c r="BH81" i="3"/>
  <c r="R82" i="3"/>
  <c r="T82" i="3"/>
  <c r="V82" i="3"/>
  <c r="X82" i="3"/>
  <c r="Z82" i="3"/>
  <c r="AB82" i="3"/>
  <c r="AD82" i="3"/>
  <c r="AF82" i="3"/>
  <c r="AH82" i="3"/>
  <c r="AJ82" i="3"/>
  <c r="AL82" i="3"/>
  <c r="AN82" i="3"/>
  <c r="AP82" i="3"/>
  <c r="AR82" i="3"/>
  <c r="AT82" i="3"/>
  <c r="AV82" i="3"/>
  <c r="AX82" i="3"/>
  <c r="AZ82" i="3"/>
  <c r="BB82" i="3"/>
  <c r="BD82" i="3"/>
  <c r="BF82" i="3"/>
  <c r="BH82" i="3"/>
  <c r="K5" i="7"/>
  <c r="L5" i="7"/>
  <c r="M5" i="7"/>
  <c r="O5" i="7"/>
  <c r="P5" i="7"/>
  <c r="K6" i="7"/>
  <c r="L6" i="7"/>
  <c r="M6" i="7"/>
  <c r="O6" i="7"/>
  <c r="P6" i="7"/>
  <c r="B7" i="7"/>
  <c r="C7" i="7"/>
  <c r="K7" i="7"/>
  <c r="L7" i="7"/>
  <c r="M7" i="7"/>
  <c r="O7" i="7"/>
  <c r="P7" i="7"/>
  <c r="T7" i="7"/>
  <c r="U7" i="7"/>
  <c r="AB7" i="7"/>
  <c r="AC7" i="7"/>
  <c r="B8" i="7"/>
  <c r="C8" i="7"/>
  <c r="K8" i="7"/>
  <c r="L8" i="7"/>
  <c r="M8" i="7"/>
  <c r="O8" i="7"/>
  <c r="P8" i="7"/>
  <c r="T8" i="7"/>
  <c r="U8" i="7"/>
  <c r="AB8" i="7"/>
  <c r="AC8" i="7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J12" i="7"/>
  <c r="AJ12" i="7" a="1"/>
  <c r="AL12" i="7"/>
  <c r="AM12" i="7"/>
  <c r="AN12" i="7"/>
  <c r="K13" i="7"/>
  <c r="L13" i="7"/>
  <c r="M13" i="7"/>
  <c r="O13" i="7"/>
  <c r="P13" i="7"/>
  <c r="X13" i="7"/>
  <c r="Y13" i="7"/>
  <c r="AH13" i="7"/>
  <c r="AI13" i="7"/>
  <c r="AJ13" i="7"/>
  <c r="AL13" i="7"/>
  <c r="AM13" i="7"/>
  <c r="AN13" i="7"/>
  <c r="K14" i="7"/>
  <c r="L14" i="7"/>
  <c r="M14" i="7"/>
  <c r="O14" i="7"/>
  <c r="P14" i="7"/>
  <c r="X14" i="7"/>
  <c r="Y14" i="7"/>
  <c r="AH14" i="7"/>
  <c r="AI14" i="7"/>
  <c r="AJ14" i="7"/>
  <c r="AL14" i="7"/>
  <c r="AM14" i="7"/>
  <c r="AN14" i="7"/>
  <c r="K15" i="7"/>
  <c r="L15" i="7"/>
  <c r="M15" i="7"/>
  <c r="O15" i="7"/>
  <c r="P15" i="7"/>
  <c r="X15" i="7"/>
  <c r="Y15" i="7"/>
  <c r="AH15" i="7"/>
  <c r="AI15" i="7"/>
  <c r="AJ15" i="7"/>
  <c r="AL15" i="7"/>
  <c r="AM15" i="7"/>
  <c r="AN15" i="7"/>
  <c r="K16" i="7"/>
  <c r="L16" i="7"/>
  <c r="M16" i="7"/>
  <c r="O16" i="7"/>
  <c r="P16" i="7"/>
  <c r="X16" i="7"/>
  <c r="Y16" i="7"/>
  <c r="AH16" i="7"/>
  <c r="AI16" i="7"/>
  <c r="AJ16" i="7"/>
  <c r="AL16" i="7"/>
  <c r="AM16" i="7"/>
  <c r="AN16" i="7"/>
  <c r="K17" i="7"/>
  <c r="L17" i="7"/>
  <c r="M17" i="7"/>
  <c r="O17" i="7"/>
  <c r="P17" i="7"/>
  <c r="X17" i="7"/>
  <c r="Y17" i="7"/>
  <c r="AH17" i="7"/>
  <c r="AI17" i="7"/>
  <c r="AJ17" i="7"/>
  <c r="AL17" i="7"/>
  <c r="AM17" i="7"/>
  <c r="AN17" i="7"/>
  <c r="K18" i="7"/>
  <c r="L18" i="7"/>
  <c r="M18" i="7"/>
  <c r="O18" i="7"/>
  <c r="P18" i="7"/>
  <c r="X18" i="7"/>
  <c r="Y18" i="7"/>
  <c r="AH18" i="7"/>
  <c r="AI18" i="7"/>
  <c r="AJ18" i="7"/>
  <c r="AL18" i="7"/>
  <c r="AM18" i="7"/>
  <c r="AN18" i="7"/>
  <c r="K19" i="7"/>
  <c r="L19" i="7"/>
  <c r="M19" i="7"/>
  <c r="O19" i="7"/>
  <c r="P19" i="7"/>
  <c r="X19" i="7"/>
  <c r="Y19" i="7"/>
  <c r="AH19" i="7"/>
  <c r="AI19" i="7"/>
  <c r="AJ19" i="7"/>
  <c r="AL19" i="7"/>
  <c r="AM19" i="7"/>
  <c r="AN19" i="7"/>
  <c r="K20" i="7"/>
  <c r="L20" i="7"/>
  <c r="M20" i="7"/>
  <c r="O20" i="7"/>
  <c r="P20" i="7"/>
  <c r="X20" i="7"/>
  <c r="Y20" i="7"/>
  <c r="AH20" i="7"/>
  <c r="AI20" i="7"/>
  <c r="AJ20" i="7"/>
  <c r="AL20" i="7"/>
  <c r="AM20" i="7"/>
  <c r="AN20" i="7"/>
  <c r="K21" i="7"/>
  <c r="L21" i="7"/>
  <c r="M21" i="7"/>
  <c r="O21" i="7"/>
  <c r="P21" i="7"/>
  <c r="X21" i="7"/>
  <c r="Y21" i="7"/>
  <c r="AH21" i="7"/>
  <c r="AI21" i="7"/>
  <c r="AJ21" i="7"/>
  <c r="AL21" i="7"/>
  <c r="AM21" i="7"/>
  <c r="AN21" i="7"/>
  <c r="K22" i="7"/>
  <c r="L22" i="7"/>
  <c r="M22" i="7"/>
  <c r="O22" i="7"/>
  <c r="P22" i="7"/>
  <c r="X22" i="7"/>
  <c r="Y22" i="7"/>
  <c r="AH22" i="7"/>
  <c r="AI22" i="7"/>
  <c r="AJ22" i="7"/>
  <c r="AL22" i="7"/>
  <c r="AM22" i="7"/>
  <c r="AN22" i="7"/>
  <c r="K23" i="7"/>
  <c r="L23" i="7"/>
  <c r="M23" i="7"/>
  <c r="O23" i="7"/>
  <c r="P23" i="7"/>
  <c r="X23" i="7"/>
  <c r="Y23" i="7"/>
  <c r="AH23" i="7"/>
  <c r="AI23" i="7"/>
  <c r="AJ23" i="7"/>
  <c r="AL23" i="7"/>
  <c r="AM23" i="7"/>
  <c r="AN23" i="7"/>
  <c r="K24" i="7"/>
  <c r="L24" i="7"/>
  <c r="M24" i="7"/>
  <c r="O24" i="7"/>
  <c r="P24" i="7"/>
  <c r="X24" i="7"/>
  <c r="Y24" i="7"/>
  <c r="AH24" i="7"/>
  <c r="AI24" i="7"/>
  <c r="AJ24" i="7"/>
  <c r="AL24" i="7"/>
  <c r="AM24" i="7"/>
  <c r="AN24" i="7"/>
  <c r="K25" i="7"/>
  <c r="L25" i="7"/>
  <c r="M25" i="7"/>
  <c r="O25" i="7"/>
  <c r="P25" i="7"/>
  <c r="X25" i="7"/>
  <c r="Y25" i="7"/>
  <c r="AH25" i="7"/>
  <c r="AI25" i="7"/>
  <c r="AJ25" i="7"/>
  <c r="AL25" i="7"/>
  <c r="AM25" i="7"/>
  <c r="AN25" i="7"/>
  <c r="K26" i="7"/>
  <c r="L26" i="7"/>
  <c r="M26" i="7"/>
  <c r="O26" i="7"/>
  <c r="P26" i="7"/>
  <c r="X26" i="7"/>
  <c r="Y26" i="7"/>
  <c r="AH26" i="7"/>
  <c r="AH26" i="7" a="1"/>
  <c r="AI26" i="7"/>
  <c r="AI26" i="7" a="1"/>
  <c r="AJ26" i="7"/>
  <c r="AJ26" i="7" a="1"/>
  <c r="AL26" i="7"/>
  <c r="AM26" i="7"/>
  <c r="AN26" i="7"/>
  <c r="K27" i="7"/>
  <c r="L27" i="7"/>
  <c r="M27" i="7"/>
  <c r="O27" i="7"/>
  <c r="P27" i="7"/>
  <c r="X27" i="7"/>
  <c r="Y27" i="7"/>
  <c r="AH27" i="7"/>
  <c r="AI27" i="7"/>
  <c r="AJ27" i="7"/>
  <c r="AL27" i="7"/>
  <c r="AM27" i="7"/>
  <c r="AN27" i="7"/>
  <c r="K28" i="7"/>
  <c r="L28" i="7"/>
  <c r="M28" i="7"/>
  <c r="O28" i="7"/>
  <c r="P28" i="7"/>
  <c r="X28" i="7"/>
  <c r="Y28" i="7"/>
  <c r="AH28" i="7"/>
  <c r="AI28" i="7"/>
  <c r="AJ28" i="7"/>
  <c r="AL28" i="7"/>
  <c r="AM28" i="7"/>
  <c r="AN28" i="7"/>
  <c r="K29" i="7"/>
  <c r="L29" i="7"/>
  <c r="M29" i="7"/>
  <c r="O29" i="7"/>
  <c r="P29" i="7"/>
  <c r="X29" i="7"/>
  <c r="Y29" i="7"/>
  <c r="AH29" i="7"/>
  <c r="AI29" i="7"/>
  <c r="AJ29" i="7"/>
  <c r="AL29" i="7"/>
  <c r="AM29" i="7"/>
  <c r="AN29" i="7"/>
  <c r="K30" i="7"/>
  <c r="L30" i="7"/>
  <c r="M30" i="7"/>
  <c r="O30" i="7"/>
  <c r="P30" i="7"/>
  <c r="X30" i="7"/>
  <c r="Y30" i="7"/>
  <c r="AH30" i="7"/>
  <c r="AI30" i="7"/>
  <c r="AJ30" i="7"/>
  <c r="AL30" i="7"/>
  <c r="AM30" i="7"/>
  <c r="AN30" i="7"/>
  <c r="K31" i="7"/>
  <c r="L31" i="7"/>
  <c r="M31" i="7"/>
  <c r="O31" i="7"/>
  <c r="P31" i="7"/>
  <c r="X31" i="7"/>
  <c r="Y31" i="7"/>
  <c r="AH31" i="7"/>
  <c r="AI31" i="7"/>
  <c r="AJ31" i="7"/>
  <c r="AL31" i="7"/>
  <c r="AM31" i="7"/>
  <c r="AN31" i="7"/>
  <c r="K32" i="7"/>
  <c r="L32" i="7"/>
  <c r="M32" i="7"/>
  <c r="O32" i="7"/>
  <c r="P32" i="7"/>
  <c r="X32" i="7"/>
  <c r="Y32" i="7"/>
  <c r="AH32" i="7"/>
  <c r="AI32" i="7"/>
  <c r="AJ32" i="7"/>
  <c r="AL32" i="7"/>
  <c r="AM32" i="7"/>
  <c r="AN32" i="7"/>
  <c r="K33" i="7"/>
  <c r="L33" i="7"/>
  <c r="M33" i="7"/>
  <c r="O33" i="7"/>
  <c r="P33" i="7"/>
  <c r="X33" i="7"/>
  <c r="Y33" i="7"/>
  <c r="AH33" i="7"/>
  <c r="AI33" i="7"/>
  <c r="AJ33" i="7"/>
  <c r="AL33" i="7"/>
  <c r="AM33" i="7"/>
  <c r="AN33" i="7"/>
  <c r="K34" i="7"/>
  <c r="L34" i="7"/>
  <c r="M34" i="7"/>
  <c r="O34" i="7"/>
  <c r="P34" i="7"/>
  <c r="X34" i="7"/>
  <c r="Y34" i="7"/>
  <c r="AH34" i="7"/>
  <c r="AI34" i="7"/>
  <c r="AJ34" i="7"/>
  <c r="AL34" i="7"/>
  <c r="AM34" i="7"/>
  <c r="AN34" i="7"/>
  <c r="K35" i="7"/>
  <c r="L35" i="7"/>
  <c r="M35" i="7"/>
  <c r="O35" i="7"/>
  <c r="P35" i="7"/>
  <c r="X35" i="7"/>
  <c r="Y35" i="7"/>
  <c r="AH35" i="7"/>
  <c r="AI35" i="7"/>
  <c r="AJ35" i="7"/>
  <c r="AL35" i="7"/>
  <c r="AM35" i="7"/>
  <c r="AN35" i="7"/>
  <c r="K36" i="7"/>
  <c r="L36" i="7"/>
  <c r="M36" i="7"/>
  <c r="O36" i="7"/>
  <c r="P36" i="7"/>
  <c r="X36" i="7"/>
  <c r="Y36" i="7"/>
  <c r="AH36" i="7"/>
  <c r="AI36" i="7"/>
  <c r="AJ36" i="7"/>
  <c r="AL36" i="7"/>
  <c r="AM36" i="7"/>
  <c r="AN36" i="7"/>
  <c r="K37" i="7"/>
  <c r="L37" i="7"/>
  <c r="M37" i="7"/>
  <c r="O37" i="7"/>
  <c r="P37" i="7"/>
  <c r="X37" i="7"/>
  <c r="Y37" i="7"/>
  <c r="AH37" i="7"/>
  <c r="AI37" i="7"/>
  <c r="AJ37" i="7"/>
  <c r="AL37" i="7"/>
  <c r="AM37" i="7"/>
  <c r="AN37" i="7"/>
  <c r="K38" i="7"/>
  <c r="L38" i="7"/>
  <c r="M38" i="7"/>
  <c r="O38" i="7"/>
  <c r="P38" i="7"/>
  <c r="X38" i="7"/>
  <c r="Y38" i="7"/>
  <c r="AH38" i="7"/>
  <c r="AI38" i="7"/>
  <c r="AJ38" i="7"/>
  <c r="AL38" i="7"/>
  <c r="AM38" i="7"/>
  <c r="AN38" i="7"/>
  <c r="K39" i="7"/>
  <c r="L39" i="7"/>
  <c r="M39" i="7"/>
  <c r="O39" i="7"/>
  <c r="P39" i="7"/>
  <c r="X39" i="7"/>
  <c r="Y39" i="7"/>
  <c r="AH39" i="7"/>
  <c r="AH39" i="7" a="1"/>
  <c r="AI39" i="7"/>
  <c r="AI39" i="7" a="1"/>
  <c r="AJ39" i="7"/>
  <c r="AJ39" i="7" a="1"/>
  <c r="AL39" i="7"/>
  <c r="AM39" i="7"/>
  <c r="AN39" i="7"/>
  <c r="K40" i="7"/>
  <c r="L40" i="7"/>
  <c r="M40" i="7"/>
  <c r="O40" i="7"/>
  <c r="P40" i="7"/>
  <c r="X40" i="7"/>
  <c r="Y40" i="7"/>
  <c r="AH40" i="7"/>
  <c r="AI40" i="7"/>
  <c r="AJ40" i="7"/>
  <c r="AL40" i="7"/>
  <c r="AM40" i="7"/>
  <c r="AN40" i="7"/>
  <c r="O41" i="7"/>
  <c r="P41" i="7"/>
  <c r="X41" i="7"/>
  <c r="Y41" i="7"/>
  <c r="AH41" i="7"/>
  <c r="AI41" i="7"/>
  <c r="AJ41" i="7"/>
  <c r="AL41" i="7"/>
  <c r="AM41" i="7"/>
  <c r="AN41" i="7"/>
  <c r="O42" i="7"/>
  <c r="P42" i="7"/>
  <c r="X42" i="7"/>
  <c r="Y42" i="7"/>
  <c r="AH42" i="7"/>
  <c r="AI42" i="7"/>
  <c r="AJ42" i="7"/>
  <c r="AL42" i="7"/>
  <c r="AM42" i="7"/>
  <c r="AN42" i="7"/>
  <c r="O43" i="7"/>
  <c r="P43" i="7"/>
  <c r="X43" i="7"/>
  <c r="Y43" i="7"/>
  <c r="AH43" i="7"/>
  <c r="AI43" i="7"/>
  <c r="AJ43" i="7"/>
  <c r="AL43" i="7"/>
  <c r="AM43" i="7"/>
  <c r="AN43" i="7"/>
  <c r="O44" i="7"/>
  <c r="P44" i="7"/>
  <c r="X44" i="7"/>
  <c r="Y44" i="7"/>
  <c r="AH44" i="7"/>
  <c r="AI44" i="7"/>
  <c r="AJ44" i="7"/>
  <c r="AL44" i="7"/>
  <c r="AM44" i="7"/>
  <c r="AN44" i="7"/>
  <c r="O45" i="7"/>
  <c r="P45" i="7"/>
  <c r="X45" i="7"/>
  <c r="Y45" i="7"/>
  <c r="AH45" i="7"/>
  <c r="AI45" i="7"/>
  <c r="AJ45" i="7"/>
  <c r="AL45" i="7"/>
  <c r="AM45" i="7"/>
  <c r="AN45" i="7"/>
  <c r="O46" i="7"/>
  <c r="P46" i="7"/>
  <c r="X46" i="7"/>
  <c r="Y46" i="7"/>
  <c r="AH46" i="7"/>
  <c r="AI46" i="7"/>
  <c r="AJ46" i="7"/>
  <c r="AL46" i="7"/>
  <c r="AM46" i="7"/>
  <c r="AN46" i="7"/>
  <c r="X47" i="7"/>
  <c r="Y47" i="7"/>
  <c r="AH47" i="7"/>
  <c r="AI47" i="7"/>
  <c r="AJ47" i="7"/>
  <c r="AL47" i="7"/>
  <c r="AM47" i="7"/>
  <c r="AN47" i="7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B3" i="4"/>
  <c r="G3" i="4"/>
  <c r="E8" i="4"/>
  <c r="F8" i="4"/>
  <c r="G8" i="4"/>
  <c r="H8" i="4"/>
  <c r="J8" i="4"/>
  <c r="AY8" i="4"/>
  <c r="AZ8" i="4"/>
  <c r="BC8" i="4"/>
  <c r="BD8" i="4"/>
  <c r="BE8" i="4"/>
  <c r="BF8" i="4"/>
  <c r="BG8" i="4"/>
  <c r="BH8" i="4"/>
  <c r="BI8" i="4"/>
  <c r="E9" i="4"/>
  <c r="F9" i="4"/>
  <c r="G9" i="4"/>
  <c r="H9" i="4"/>
  <c r="J9" i="4"/>
  <c r="AY9" i="4"/>
  <c r="AZ9" i="4"/>
  <c r="BC9" i="4"/>
  <c r="BD9" i="4"/>
  <c r="BE9" i="4"/>
  <c r="BF9" i="4"/>
  <c r="BG9" i="4"/>
  <c r="BH9" i="4"/>
  <c r="BI9" i="4"/>
  <c r="E10" i="4"/>
  <c r="F10" i="4"/>
  <c r="G10" i="4"/>
  <c r="H10" i="4"/>
  <c r="J10" i="4"/>
  <c r="AY10" i="4"/>
  <c r="AZ10" i="4"/>
  <c r="BC10" i="4"/>
  <c r="BD10" i="4"/>
  <c r="BE10" i="4"/>
  <c r="BF10" i="4"/>
  <c r="BG10" i="4"/>
  <c r="BH10" i="4"/>
  <c r="BI10" i="4"/>
  <c r="E11" i="4"/>
  <c r="F11" i="4"/>
  <c r="G11" i="4"/>
  <c r="H11" i="4"/>
  <c r="J11" i="4"/>
  <c r="AY11" i="4"/>
  <c r="AZ11" i="4"/>
  <c r="BC11" i="4"/>
  <c r="BD11" i="4"/>
  <c r="BE11" i="4"/>
  <c r="BF11" i="4"/>
  <c r="BG11" i="4"/>
  <c r="BH11" i="4"/>
  <c r="BI11" i="4"/>
  <c r="E12" i="4"/>
  <c r="F12" i="4"/>
  <c r="G12" i="4"/>
  <c r="H12" i="4"/>
  <c r="J12" i="4"/>
  <c r="AY12" i="4"/>
  <c r="AZ12" i="4"/>
  <c r="BC12" i="4"/>
  <c r="BD12" i="4"/>
  <c r="BE12" i="4"/>
  <c r="BF12" i="4"/>
  <c r="BG12" i="4"/>
  <c r="BH12" i="4"/>
  <c r="BI12" i="4"/>
  <c r="E13" i="4"/>
  <c r="F13" i="4"/>
  <c r="G13" i="4"/>
  <c r="H13" i="4"/>
  <c r="J13" i="4"/>
  <c r="AY13" i="4"/>
  <c r="AZ13" i="4"/>
  <c r="BC13" i="4"/>
  <c r="BD13" i="4"/>
  <c r="BE13" i="4"/>
  <c r="BF13" i="4"/>
  <c r="BG13" i="4"/>
  <c r="BH13" i="4"/>
  <c r="BI13" i="4"/>
  <c r="E14" i="4"/>
  <c r="F14" i="4"/>
  <c r="G14" i="4"/>
  <c r="H14" i="4"/>
  <c r="J14" i="4"/>
  <c r="AY14" i="4"/>
  <c r="AZ14" i="4"/>
  <c r="BC14" i="4"/>
  <c r="BD14" i="4"/>
  <c r="BE14" i="4"/>
  <c r="BF14" i="4"/>
  <c r="BG14" i="4"/>
  <c r="BH14" i="4"/>
  <c r="BI14" i="4"/>
  <c r="E15" i="4"/>
  <c r="F15" i="4"/>
  <c r="G15" i="4"/>
  <c r="H15" i="4"/>
  <c r="J15" i="4"/>
  <c r="AY15" i="4"/>
  <c r="AZ15" i="4"/>
  <c r="BC15" i="4"/>
  <c r="BD15" i="4"/>
  <c r="BE15" i="4"/>
  <c r="BF15" i="4"/>
  <c r="BG15" i="4"/>
  <c r="BH15" i="4"/>
  <c r="BI15" i="4"/>
  <c r="E16" i="4"/>
  <c r="F16" i="4"/>
  <c r="G16" i="4"/>
  <c r="H16" i="4"/>
  <c r="J16" i="4"/>
  <c r="AY16" i="4"/>
  <c r="AZ16" i="4"/>
  <c r="BC16" i="4"/>
  <c r="BD16" i="4"/>
  <c r="BE16" i="4"/>
  <c r="BF16" i="4"/>
  <c r="BG16" i="4"/>
  <c r="BH16" i="4"/>
  <c r="BI16" i="4"/>
  <c r="E17" i="4"/>
  <c r="F17" i="4"/>
  <c r="G17" i="4"/>
  <c r="H17" i="4"/>
  <c r="J17" i="4"/>
  <c r="AY17" i="4"/>
  <c r="AZ17" i="4"/>
  <c r="BC17" i="4"/>
  <c r="BD17" i="4"/>
  <c r="BE17" i="4"/>
  <c r="BF17" i="4"/>
  <c r="BG17" i="4"/>
  <c r="BH17" i="4"/>
  <c r="BI17" i="4"/>
  <c r="E18" i="4"/>
  <c r="F18" i="4"/>
  <c r="G18" i="4"/>
  <c r="H18" i="4"/>
  <c r="J18" i="4"/>
  <c r="AY18" i="4"/>
  <c r="AZ18" i="4"/>
  <c r="BC18" i="4"/>
  <c r="BD18" i="4"/>
  <c r="BE18" i="4"/>
  <c r="BF18" i="4"/>
  <c r="BG18" i="4"/>
  <c r="BH18" i="4"/>
  <c r="BI18" i="4"/>
  <c r="E19" i="4"/>
  <c r="F19" i="4"/>
  <c r="G19" i="4"/>
  <c r="H19" i="4"/>
  <c r="J19" i="4"/>
  <c r="AY19" i="4"/>
  <c r="AZ19" i="4"/>
  <c r="BC19" i="4"/>
  <c r="BD19" i="4"/>
  <c r="BE19" i="4"/>
  <c r="BF19" i="4"/>
  <c r="BG19" i="4"/>
  <c r="BH19" i="4"/>
  <c r="BI19" i="4"/>
  <c r="E20" i="4"/>
  <c r="F20" i="4"/>
  <c r="G20" i="4"/>
  <c r="H20" i="4"/>
  <c r="J20" i="4"/>
  <c r="AY20" i="4"/>
  <c r="AZ20" i="4"/>
  <c r="BC20" i="4"/>
  <c r="BD20" i="4"/>
  <c r="BE20" i="4"/>
  <c r="BF20" i="4"/>
  <c r="BG20" i="4"/>
  <c r="BH20" i="4"/>
  <c r="BI20" i="4"/>
  <c r="E21" i="4"/>
  <c r="F21" i="4"/>
  <c r="G21" i="4"/>
  <c r="H21" i="4"/>
  <c r="J21" i="4"/>
  <c r="AY21" i="4"/>
  <c r="AZ21" i="4"/>
  <c r="BC21" i="4"/>
  <c r="BD21" i="4"/>
  <c r="BE21" i="4"/>
  <c r="BF21" i="4"/>
  <c r="BG21" i="4"/>
  <c r="BH21" i="4"/>
  <c r="BI21" i="4"/>
  <c r="E22" i="4"/>
  <c r="F22" i="4"/>
  <c r="G22" i="4"/>
  <c r="H22" i="4"/>
  <c r="J22" i="4"/>
  <c r="AY22" i="4"/>
  <c r="AZ22" i="4"/>
  <c r="BC22" i="4"/>
  <c r="BD22" i="4"/>
  <c r="BE22" i="4"/>
  <c r="BF22" i="4"/>
  <c r="BG22" i="4"/>
  <c r="BH22" i="4"/>
  <c r="BI22" i="4"/>
  <c r="E23" i="4"/>
  <c r="F23" i="4"/>
  <c r="G23" i="4"/>
  <c r="H23" i="4"/>
  <c r="J23" i="4"/>
  <c r="AY23" i="4"/>
  <c r="AZ23" i="4"/>
  <c r="BC23" i="4"/>
  <c r="BD23" i="4"/>
  <c r="BE23" i="4"/>
  <c r="BF23" i="4"/>
  <c r="BG23" i="4"/>
  <c r="BH23" i="4"/>
  <c r="BI23" i="4"/>
  <c r="E24" i="4"/>
  <c r="F24" i="4"/>
  <c r="G24" i="4"/>
  <c r="H24" i="4"/>
  <c r="J24" i="4"/>
  <c r="AY24" i="4"/>
  <c r="AZ24" i="4"/>
  <c r="BC24" i="4"/>
  <c r="BD24" i="4"/>
  <c r="BE24" i="4"/>
  <c r="BF24" i="4"/>
  <c r="BG24" i="4"/>
  <c r="BH24" i="4"/>
  <c r="BI24" i="4"/>
  <c r="E25" i="4"/>
  <c r="F25" i="4"/>
  <c r="G25" i="4"/>
  <c r="H25" i="4"/>
  <c r="J25" i="4"/>
  <c r="AY25" i="4"/>
  <c r="AZ25" i="4"/>
  <c r="BC25" i="4"/>
  <c r="BD25" i="4"/>
  <c r="BE25" i="4"/>
  <c r="BF25" i="4"/>
  <c r="BG25" i="4"/>
  <c r="BH25" i="4"/>
  <c r="BI25" i="4"/>
  <c r="E26" i="4"/>
  <c r="F26" i="4"/>
  <c r="G26" i="4"/>
  <c r="H26" i="4"/>
  <c r="J26" i="4"/>
  <c r="AY26" i="4"/>
  <c r="AZ26" i="4"/>
  <c r="BC26" i="4"/>
  <c r="BD26" i="4"/>
  <c r="BE26" i="4"/>
  <c r="BF26" i="4"/>
  <c r="BG26" i="4"/>
  <c r="BH26" i="4"/>
  <c r="BI26" i="4"/>
  <c r="E27" i="4"/>
  <c r="F27" i="4"/>
  <c r="G27" i="4"/>
  <c r="H27" i="4"/>
  <c r="J27" i="4"/>
  <c r="AY27" i="4"/>
  <c r="AZ27" i="4"/>
  <c r="BC27" i="4"/>
  <c r="BD27" i="4"/>
  <c r="BE27" i="4"/>
  <c r="BF27" i="4"/>
  <c r="BG27" i="4"/>
  <c r="BH27" i="4"/>
  <c r="BI27" i="4"/>
  <c r="E28" i="4"/>
  <c r="F28" i="4"/>
  <c r="G28" i="4"/>
  <c r="H28" i="4"/>
  <c r="J28" i="4"/>
  <c r="AY28" i="4"/>
  <c r="AZ28" i="4"/>
  <c r="BC28" i="4"/>
  <c r="BD28" i="4"/>
  <c r="BE28" i="4"/>
  <c r="BF28" i="4"/>
  <c r="BG28" i="4"/>
  <c r="BH28" i="4"/>
  <c r="BI28" i="4"/>
  <c r="E29" i="4"/>
  <c r="F29" i="4"/>
  <c r="G29" i="4"/>
  <c r="H29" i="4"/>
  <c r="J29" i="4"/>
  <c r="AY29" i="4"/>
  <c r="AZ29" i="4"/>
  <c r="BC29" i="4"/>
  <c r="BD29" i="4"/>
  <c r="BE29" i="4"/>
  <c r="BF29" i="4"/>
  <c r="BG29" i="4"/>
  <c r="BH29" i="4"/>
  <c r="BI29" i="4"/>
  <c r="E30" i="4"/>
  <c r="F30" i="4"/>
  <c r="G30" i="4"/>
  <c r="H30" i="4"/>
  <c r="J30" i="4"/>
  <c r="AY30" i="4"/>
  <c r="AZ30" i="4"/>
  <c r="BC30" i="4"/>
  <c r="BD30" i="4"/>
  <c r="BE30" i="4"/>
  <c r="BF30" i="4"/>
  <c r="BG30" i="4"/>
  <c r="BH30" i="4"/>
  <c r="BI30" i="4"/>
  <c r="E31" i="4"/>
  <c r="F31" i="4"/>
  <c r="G31" i="4"/>
  <c r="H31" i="4"/>
  <c r="J31" i="4"/>
  <c r="AY31" i="4"/>
  <c r="AZ31" i="4"/>
  <c r="BC31" i="4"/>
  <c r="BD31" i="4"/>
  <c r="BE31" i="4"/>
  <c r="BF31" i="4"/>
  <c r="BG31" i="4"/>
  <c r="BH31" i="4"/>
  <c r="BI31" i="4"/>
  <c r="E32" i="4"/>
  <c r="F32" i="4"/>
  <c r="G32" i="4"/>
  <c r="H32" i="4"/>
  <c r="J32" i="4"/>
  <c r="AY32" i="4"/>
  <c r="AZ32" i="4"/>
  <c r="BC32" i="4"/>
  <c r="BD32" i="4"/>
  <c r="BE32" i="4"/>
  <c r="BF32" i="4"/>
  <c r="BG32" i="4"/>
  <c r="BH32" i="4"/>
  <c r="BI32" i="4"/>
  <c r="E33" i="4"/>
  <c r="F33" i="4"/>
  <c r="G33" i="4"/>
  <c r="H33" i="4"/>
  <c r="J33" i="4"/>
  <c r="AY33" i="4"/>
  <c r="AZ33" i="4"/>
  <c r="BC33" i="4"/>
  <c r="BD33" i="4"/>
  <c r="BE33" i="4"/>
  <c r="BF33" i="4"/>
  <c r="BG33" i="4"/>
  <c r="BH33" i="4"/>
  <c r="BI33" i="4"/>
  <c r="E34" i="4"/>
  <c r="F34" i="4"/>
  <c r="G34" i="4"/>
  <c r="H34" i="4"/>
  <c r="J34" i="4"/>
  <c r="AY34" i="4"/>
  <c r="AZ34" i="4"/>
  <c r="BC34" i="4"/>
  <c r="BD34" i="4"/>
  <c r="BE34" i="4"/>
  <c r="BF34" i="4"/>
  <c r="BG34" i="4"/>
  <c r="BH34" i="4"/>
  <c r="BI34" i="4"/>
  <c r="E35" i="4"/>
  <c r="F35" i="4"/>
  <c r="G35" i="4"/>
  <c r="H35" i="4"/>
  <c r="J35" i="4"/>
  <c r="AY35" i="4"/>
  <c r="AZ35" i="4"/>
  <c r="BC35" i="4"/>
  <c r="BD35" i="4"/>
  <c r="BE35" i="4"/>
  <c r="BF35" i="4"/>
  <c r="BG35" i="4"/>
  <c r="BH35" i="4"/>
  <c r="BI35" i="4"/>
  <c r="E36" i="4"/>
  <c r="F36" i="4"/>
  <c r="G36" i="4"/>
  <c r="H36" i="4"/>
  <c r="J36" i="4"/>
  <c r="AY36" i="4"/>
  <c r="AZ36" i="4"/>
  <c r="BC36" i="4"/>
  <c r="BD36" i="4"/>
  <c r="BE36" i="4"/>
  <c r="BF36" i="4"/>
  <c r="BG36" i="4"/>
  <c r="BH36" i="4"/>
  <c r="BI36" i="4"/>
  <c r="E37" i="4"/>
  <c r="F37" i="4"/>
  <c r="G37" i="4"/>
  <c r="H37" i="4"/>
  <c r="J37" i="4"/>
  <c r="AY37" i="4"/>
  <c r="AZ37" i="4"/>
  <c r="BC37" i="4"/>
  <c r="BD37" i="4"/>
  <c r="BE37" i="4"/>
  <c r="BF37" i="4"/>
  <c r="BG37" i="4"/>
  <c r="BH37" i="4"/>
  <c r="BI37" i="4"/>
  <c r="E38" i="4"/>
  <c r="F38" i="4"/>
  <c r="G38" i="4"/>
  <c r="H38" i="4"/>
  <c r="J38" i="4"/>
  <c r="AY38" i="4"/>
  <c r="AZ38" i="4"/>
  <c r="BC38" i="4"/>
  <c r="BD38" i="4"/>
  <c r="BE38" i="4"/>
  <c r="BF38" i="4"/>
  <c r="BG38" i="4"/>
  <c r="BH38" i="4"/>
  <c r="BI38" i="4"/>
  <c r="E39" i="4"/>
  <c r="F39" i="4"/>
  <c r="G39" i="4"/>
  <c r="H39" i="4"/>
  <c r="J39" i="4"/>
  <c r="AY39" i="4"/>
  <c r="AZ39" i="4"/>
  <c r="BC39" i="4"/>
  <c r="BD39" i="4"/>
  <c r="BE39" i="4"/>
  <c r="BF39" i="4"/>
  <c r="BG39" i="4"/>
  <c r="BH39" i="4"/>
  <c r="BI39" i="4"/>
  <c r="E40" i="4"/>
  <c r="F40" i="4"/>
  <c r="G40" i="4"/>
  <c r="H40" i="4"/>
  <c r="J40" i="4"/>
  <c r="AY40" i="4"/>
  <c r="AZ40" i="4"/>
  <c r="BC40" i="4"/>
  <c r="BD40" i="4"/>
  <c r="BE40" i="4"/>
  <c r="BF40" i="4"/>
  <c r="BG40" i="4"/>
  <c r="BH40" i="4"/>
  <c r="BI40" i="4"/>
  <c r="E41" i="4"/>
  <c r="F41" i="4"/>
  <c r="G41" i="4"/>
  <c r="H41" i="4"/>
  <c r="J41" i="4"/>
  <c r="AY41" i="4"/>
  <c r="AZ41" i="4"/>
  <c r="BC41" i="4"/>
  <c r="BD41" i="4"/>
  <c r="BE41" i="4"/>
  <c r="BF41" i="4"/>
  <c r="BG41" i="4"/>
  <c r="BH41" i="4"/>
  <c r="BI41" i="4"/>
  <c r="E42" i="4"/>
  <c r="F42" i="4"/>
  <c r="G42" i="4"/>
  <c r="H42" i="4"/>
  <c r="J42" i="4"/>
  <c r="AY42" i="4"/>
  <c r="AZ42" i="4"/>
  <c r="BC42" i="4"/>
  <c r="BD42" i="4"/>
  <c r="BE42" i="4"/>
  <c r="BF42" i="4"/>
  <c r="BG42" i="4"/>
  <c r="BH42" i="4"/>
  <c r="BI42" i="4"/>
  <c r="E43" i="4"/>
  <c r="F43" i="4"/>
  <c r="G43" i="4"/>
  <c r="H43" i="4"/>
  <c r="J43" i="4"/>
  <c r="AY43" i="4"/>
  <c r="AZ43" i="4"/>
  <c r="BC43" i="4"/>
  <c r="BD43" i="4"/>
  <c r="BE43" i="4"/>
  <c r="BF43" i="4"/>
  <c r="BG43" i="4"/>
  <c r="BH43" i="4"/>
  <c r="BI43" i="4"/>
  <c r="E44" i="4"/>
  <c r="F44" i="4"/>
  <c r="G44" i="4"/>
  <c r="H44" i="4"/>
  <c r="J44" i="4"/>
  <c r="AY44" i="4"/>
  <c r="AZ44" i="4"/>
  <c r="BC44" i="4"/>
  <c r="BF44" i="4"/>
  <c r="BG44" i="4"/>
  <c r="BH44" i="4"/>
  <c r="BI44" i="4"/>
  <c r="E45" i="4"/>
  <c r="F45" i="4"/>
  <c r="G45" i="4"/>
  <c r="H45" i="4"/>
  <c r="J45" i="4"/>
  <c r="AY45" i="4"/>
  <c r="AZ45" i="4"/>
  <c r="BC45" i="4"/>
  <c r="BF45" i="4"/>
  <c r="BG45" i="4"/>
  <c r="BH45" i="4"/>
  <c r="BI45" i="4"/>
  <c r="E46" i="4"/>
  <c r="F46" i="4"/>
  <c r="G46" i="4"/>
  <c r="H46" i="4"/>
  <c r="J46" i="4"/>
  <c r="AY46" i="4"/>
  <c r="AZ46" i="4"/>
  <c r="BC46" i="4"/>
  <c r="BF46" i="4"/>
  <c r="BG46" i="4"/>
  <c r="BH46" i="4"/>
  <c r="BI46" i="4"/>
  <c r="BG47" i="4"/>
  <c r="G10" i="13"/>
  <c r="H10" i="13"/>
  <c r="J10" i="13"/>
  <c r="AF10" i="13"/>
  <c r="G11" i="13"/>
  <c r="H11" i="13"/>
  <c r="J11" i="13"/>
  <c r="N11" i="13"/>
  <c r="O11" i="13"/>
  <c r="U11" i="13"/>
  <c r="V11" i="13"/>
  <c r="AF11" i="13"/>
  <c r="G12" i="13"/>
  <c r="H12" i="13"/>
  <c r="J12" i="13"/>
  <c r="L12" i="13"/>
  <c r="N12" i="13"/>
  <c r="O12" i="13"/>
  <c r="U12" i="13"/>
  <c r="V12" i="13"/>
  <c r="AF12" i="13"/>
  <c r="AI12" i="13"/>
  <c r="AP12" i="13"/>
  <c r="AR12" i="13"/>
  <c r="AS12" i="13"/>
  <c r="H13" i="13"/>
  <c r="J13" i="13"/>
  <c r="L13" i="13"/>
  <c r="N13" i="13"/>
  <c r="O13" i="13"/>
  <c r="T13" i="13"/>
  <c r="U13" i="13"/>
  <c r="V13" i="13"/>
  <c r="AF13" i="13"/>
  <c r="AG13" i="13"/>
  <c r="AI13" i="13"/>
  <c r="AP13" i="13"/>
  <c r="AR13" i="13"/>
  <c r="AS13" i="13"/>
  <c r="H14" i="13"/>
  <c r="J14" i="13"/>
  <c r="L14" i="13"/>
  <c r="N14" i="13"/>
  <c r="O14" i="13"/>
  <c r="T14" i="13"/>
  <c r="U14" i="13"/>
  <c r="V14" i="13"/>
  <c r="AF14" i="13"/>
  <c r="AI14" i="13"/>
  <c r="AP14" i="13"/>
  <c r="AR14" i="13"/>
  <c r="AS14" i="13"/>
  <c r="H15" i="13"/>
  <c r="J15" i="13"/>
  <c r="L15" i="13"/>
  <c r="N15" i="13"/>
  <c r="O15" i="13"/>
  <c r="T15" i="13"/>
  <c r="U15" i="13"/>
  <c r="V15" i="13"/>
  <c r="AF15" i="13"/>
  <c r="AI15" i="13"/>
  <c r="AP15" i="13"/>
  <c r="AR15" i="13"/>
  <c r="AS15" i="13"/>
  <c r="H16" i="13"/>
  <c r="J16" i="13"/>
  <c r="M16" i="13"/>
  <c r="N16" i="13"/>
  <c r="O16" i="13"/>
  <c r="T16" i="13"/>
  <c r="U16" i="13"/>
  <c r="V16" i="13"/>
  <c r="AF16" i="13"/>
  <c r="AI16" i="13"/>
  <c r="AP16" i="13"/>
  <c r="AR16" i="13"/>
  <c r="AS16" i="13"/>
  <c r="H17" i="13"/>
  <c r="J17" i="13"/>
  <c r="M17" i="13"/>
  <c r="N17" i="13"/>
  <c r="O17" i="13"/>
  <c r="T17" i="13"/>
  <c r="U17" i="13"/>
  <c r="V17" i="13"/>
  <c r="AF17" i="13"/>
  <c r="AI17" i="13"/>
  <c r="AP17" i="13"/>
  <c r="AR17" i="13"/>
  <c r="AS17" i="13"/>
  <c r="H18" i="13"/>
  <c r="J18" i="13"/>
  <c r="M18" i="13"/>
  <c r="N18" i="13"/>
  <c r="O18" i="13"/>
  <c r="T18" i="13"/>
  <c r="U18" i="13"/>
  <c r="V18" i="13"/>
  <c r="AF18" i="13"/>
  <c r="AG18" i="13"/>
  <c r="AI18" i="13"/>
  <c r="AP18" i="13"/>
  <c r="AR18" i="13"/>
  <c r="AS18" i="13"/>
  <c r="H19" i="13"/>
  <c r="J19" i="13"/>
  <c r="M19" i="13"/>
  <c r="N19" i="13"/>
  <c r="O19" i="13"/>
  <c r="T19" i="13"/>
  <c r="U19" i="13"/>
  <c r="V19" i="13"/>
  <c r="AF19" i="13"/>
  <c r="AI19" i="13"/>
  <c r="AP19" i="13"/>
  <c r="AR19" i="13"/>
  <c r="AS19" i="13"/>
  <c r="M20" i="13"/>
  <c r="N20" i="13"/>
  <c r="O20" i="13"/>
  <c r="T20" i="13"/>
  <c r="U20" i="13"/>
  <c r="V20" i="13"/>
  <c r="AF20" i="13"/>
  <c r="AI20" i="13"/>
  <c r="AP20" i="13"/>
  <c r="AR20" i="13"/>
  <c r="AS20" i="13"/>
  <c r="E21" i="13"/>
  <c r="G21" i="13"/>
  <c r="H21" i="13"/>
  <c r="I21" i="13"/>
  <c r="J21" i="13"/>
  <c r="M21" i="13"/>
  <c r="N21" i="13"/>
  <c r="O21" i="13"/>
  <c r="P21" i="13"/>
  <c r="T21" i="13"/>
  <c r="U21" i="13"/>
  <c r="V21" i="13"/>
  <c r="W21" i="13"/>
  <c r="AF21" i="13"/>
  <c r="AI21" i="13"/>
  <c r="AP21" i="13"/>
  <c r="AR21" i="13"/>
  <c r="AS21" i="13"/>
  <c r="M22" i="13"/>
  <c r="N22" i="13"/>
  <c r="O22" i="13"/>
  <c r="P22" i="13"/>
  <c r="T22" i="13"/>
  <c r="U22" i="13"/>
  <c r="V22" i="13"/>
  <c r="W22" i="13"/>
  <c r="AF22" i="13"/>
  <c r="AI22" i="13"/>
  <c r="AP22" i="13"/>
  <c r="AR22" i="13"/>
  <c r="AS22" i="13"/>
  <c r="M23" i="13"/>
  <c r="N23" i="13"/>
  <c r="O23" i="13"/>
  <c r="P23" i="13"/>
  <c r="T23" i="13"/>
  <c r="U23" i="13"/>
  <c r="V23" i="13"/>
  <c r="W23" i="13"/>
  <c r="AF23" i="13"/>
  <c r="AG23" i="13"/>
  <c r="AI23" i="13"/>
  <c r="AP23" i="13"/>
  <c r="AR23" i="13"/>
  <c r="AS23" i="13"/>
  <c r="M24" i="13"/>
  <c r="N24" i="13"/>
  <c r="O24" i="13"/>
  <c r="P24" i="13"/>
  <c r="T24" i="13"/>
  <c r="U24" i="13"/>
  <c r="V24" i="13"/>
  <c r="W24" i="13"/>
  <c r="AF24" i="13"/>
  <c r="AI24" i="13"/>
  <c r="AF25" i="13"/>
  <c r="AI25" i="13"/>
  <c r="AQ25" i="13"/>
  <c r="AR25" i="13"/>
  <c r="AS25" i="13"/>
  <c r="M26" i="13"/>
  <c r="N26" i="13"/>
  <c r="O26" i="13"/>
  <c r="T26" i="13"/>
  <c r="U26" i="13"/>
  <c r="V26" i="13"/>
  <c r="AF26" i="13"/>
  <c r="AI26" i="13"/>
  <c r="I27" i="13"/>
  <c r="J27" i="13"/>
  <c r="M27" i="13"/>
  <c r="N27" i="13"/>
  <c r="O27" i="13"/>
  <c r="T27" i="13"/>
  <c r="U27" i="13"/>
  <c r="V27" i="13"/>
  <c r="AF27" i="13"/>
  <c r="I28" i="13"/>
  <c r="J28" i="13"/>
  <c r="M28" i="13"/>
  <c r="N28" i="13"/>
  <c r="O28" i="13"/>
  <c r="T28" i="13"/>
  <c r="U28" i="13"/>
  <c r="V28" i="13"/>
  <c r="AF28" i="13"/>
  <c r="AG28" i="13"/>
  <c r="AI28" i="13"/>
  <c r="I29" i="13"/>
  <c r="J29" i="13"/>
  <c r="M29" i="13"/>
  <c r="N29" i="13"/>
  <c r="O29" i="13"/>
  <c r="T29" i="13"/>
  <c r="U29" i="13"/>
  <c r="V29" i="13"/>
  <c r="AF29" i="13"/>
  <c r="I30" i="13"/>
  <c r="J30" i="13"/>
  <c r="M30" i="13"/>
  <c r="N30" i="13"/>
  <c r="O30" i="13"/>
  <c r="T30" i="13"/>
  <c r="U30" i="13"/>
  <c r="V30" i="13"/>
  <c r="AF30" i="13"/>
  <c r="AG30" i="13"/>
  <c r="I31" i="13"/>
  <c r="J31" i="13"/>
  <c r="M31" i="13"/>
  <c r="N31" i="13"/>
  <c r="O31" i="13"/>
  <c r="T31" i="13"/>
  <c r="U31" i="13"/>
  <c r="V31" i="13"/>
  <c r="AF31" i="13"/>
  <c r="I32" i="13"/>
  <c r="J32" i="13"/>
  <c r="M32" i="13"/>
  <c r="N32" i="13"/>
  <c r="O32" i="13"/>
  <c r="T32" i="13"/>
  <c r="U32" i="13"/>
  <c r="V32" i="13"/>
  <c r="I33" i="13"/>
  <c r="J33" i="13"/>
  <c r="M33" i="13"/>
  <c r="N33" i="13"/>
  <c r="O33" i="13"/>
  <c r="T33" i="13"/>
  <c r="U33" i="13"/>
  <c r="V33" i="13"/>
  <c r="J35" i="13"/>
  <c r="C2" i="1"/>
  <c r="D2" i="1"/>
  <c r="D3" i="1"/>
  <c r="B4" i="1"/>
  <c r="C4" i="1"/>
  <c r="D4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Q11" i="1"/>
  <c r="S11" i="1"/>
  <c r="W11" i="1"/>
  <c r="Y11" i="1"/>
  <c r="AG11" i="1"/>
  <c r="AI11" i="1"/>
  <c r="A12" i="1"/>
  <c r="B12" i="1"/>
  <c r="C12" i="1"/>
  <c r="D12" i="1"/>
  <c r="E12" i="1"/>
  <c r="F12" i="1"/>
  <c r="G12" i="1"/>
  <c r="H12" i="1"/>
  <c r="I12" i="1"/>
  <c r="J12" i="1"/>
  <c r="K12" i="1"/>
  <c r="L12" i="1"/>
  <c r="O12" i="1"/>
  <c r="Q12" i="1"/>
  <c r="S12" i="1"/>
  <c r="W12" i="1"/>
  <c r="X12" i="1"/>
  <c r="Y12" i="1"/>
  <c r="Z12" i="1"/>
  <c r="AB12" i="1"/>
  <c r="AC12" i="1"/>
  <c r="AE12" i="1"/>
  <c r="AG12" i="1"/>
  <c r="AH12" i="1"/>
  <c r="AI12" i="1"/>
  <c r="AJ12" i="1"/>
  <c r="A13" i="1"/>
  <c r="B13" i="1"/>
  <c r="C13" i="1"/>
  <c r="D13" i="1"/>
  <c r="E13" i="1"/>
  <c r="F13" i="1"/>
  <c r="G13" i="1"/>
  <c r="H13" i="1"/>
  <c r="I13" i="1"/>
  <c r="J13" i="1"/>
  <c r="K13" i="1"/>
  <c r="L13" i="1"/>
  <c r="O13" i="1"/>
  <c r="Q13" i="1"/>
  <c r="S13" i="1"/>
  <c r="W13" i="1"/>
  <c r="X13" i="1"/>
  <c r="Y13" i="1"/>
  <c r="Z13" i="1"/>
  <c r="AB13" i="1"/>
  <c r="AC13" i="1"/>
  <c r="AD13" i="1"/>
  <c r="AE13" i="1"/>
  <c r="AG13" i="1"/>
  <c r="AH13" i="1"/>
  <c r="AI13" i="1"/>
  <c r="AJ13" i="1"/>
  <c r="A14" i="1"/>
  <c r="B14" i="1"/>
  <c r="C14" i="1"/>
  <c r="D14" i="1"/>
  <c r="E14" i="1"/>
  <c r="F14" i="1"/>
  <c r="G14" i="1"/>
  <c r="H14" i="1"/>
  <c r="I14" i="1"/>
  <c r="J14" i="1"/>
  <c r="K14" i="1"/>
  <c r="L14" i="1"/>
  <c r="O14" i="1"/>
  <c r="Q14" i="1"/>
  <c r="S14" i="1"/>
  <c r="W14" i="1"/>
  <c r="X14" i="1"/>
  <c r="Y14" i="1"/>
  <c r="Z14" i="1"/>
  <c r="AB14" i="1"/>
  <c r="AC14" i="1"/>
  <c r="AD14" i="1"/>
  <c r="AE14" i="1"/>
  <c r="AG14" i="1"/>
  <c r="AH14" i="1"/>
  <c r="AI14" i="1"/>
  <c r="AJ14" i="1"/>
  <c r="A15" i="1"/>
  <c r="B15" i="1"/>
  <c r="C15" i="1"/>
  <c r="D15" i="1"/>
  <c r="E15" i="1"/>
  <c r="F15" i="1"/>
  <c r="G15" i="1"/>
  <c r="H15" i="1"/>
  <c r="I15" i="1"/>
  <c r="J15" i="1"/>
  <c r="K15" i="1"/>
  <c r="L15" i="1"/>
  <c r="Q15" i="1"/>
  <c r="S15" i="1"/>
  <c r="W15" i="1"/>
  <c r="X15" i="1"/>
  <c r="Y15" i="1"/>
  <c r="Z15" i="1"/>
  <c r="AB15" i="1"/>
  <c r="AC15" i="1"/>
  <c r="AD15" i="1"/>
  <c r="AE15" i="1"/>
  <c r="AG15" i="1"/>
  <c r="AH15" i="1"/>
  <c r="AI15" i="1"/>
  <c r="AJ15" i="1"/>
  <c r="A16" i="1"/>
  <c r="B16" i="1"/>
  <c r="C16" i="1"/>
  <c r="D16" i="1"/>
  <c r="E16" i="1"/>
  <c r="F16" i="1"/>
  <c r="G16" i="1"/>
  <c r="H16" i="1"/>
  <c r="I16" i="1"/>
  <c r="J16" i="1"/>
  <c r="K16" i="1"/>
  <c r="L16" i="1"/>
  <c r="Q16" i="1"/>
  <c r="S16" i="1"/>
  <c r="W16" i="1"/>
  <c r="X16" i="1"/>
  <c r="Y16" i="1"/>
  <c r="Z16" i="1"/>
  <c r="AB16" i="1"/>
  <c r="AC16" i="1"/>
  <c r="AD16" i="1"/>
  <c r="AE16" i="1"/>
  <c r="AG16" i="1"/>
  <c r="AH16" i="1"/>
  <c r="AI16" i="1"/>
  <c r="AJ16" i="1"/>
  <c r="A17" i="1"/>
  <c r="B17" i="1"/>
  <c r="C17" i="1"/>
  <c r="D17" i="1"/>
  <c r="E17" i="1"/>
  <c r="F17" i="1"/>
  <c r="G17" i="1"/>
  <c r="H17" i="1"/>
  <c r="I17" i="1"/>
  <c r="J17" i="1"/>
  <c r="K17" i="1"/>
  <c r="L17" i="1"/>
  <c r="Q17" i="1"/>
  <c r="S17" i="1"/>
  <c r="W17" i="1"/>
  <c r="X17" i="1"/>
  <c r="Y17" i="1"/>
  <c r="Z17" i="1"/>
  <c r="AB17" i="1"/>
  <c r="AC17" i="1"/>
  <c r="AD17" i="1"/>
  <c r="AE17" i="1"/>
  <c r="AG17" i="1"/>
  <c r="AH17" i="1"/>
  <c r="AI17" i="1"/>
  <c r="AJ17" i="1"/>
  <c r="A18" i="1"/>
  <c r="B18" i="1"/>
  <c r="C18" i="1"/>
  <c r="D18" i="1"/>
  <c r="E18" i="1"/>
  <c r="F18" i="1"/>
  <c r="G18" i="1"/>
  <c r="H18" i="1"/>
  <c r="I18" i="1"/>
  <c r="J18" i="1"/>
  <c r="K18" i="1"/>
  <c r="L18" i="1"/>
  <c r="Q18" i="1"/>
  <c r="S18" i="1"/>
  <c r="W18" i="1"/>
  <c r="X18" i="1"/>
  <c r="Y18" i="1"/>
  <c r="Z18" i="1"/>
  <c r="AB18" i="1"/>
  <c r="AC18" i="1"/>
  <c r="AD18" i="1"/>
  <c r="AE18" i="1"/>
  <c r="AG18" i="1"/>
  <c r="AH18" i="1"/>
  <c r="AI18" i="1"/>
  <c r="AJ18" i="1"/>
  <c r="A19" i="1"/>
  <c r="B19" i="1"/>
  <c r="C19" i="1"/>
  <c r="D19" i="1"/>
  <c r="E19" i="1"/>
  <c r="F19" i="1"/>
  <c r="G19" i="1"/>
  <c r="H19" i="1"/>
  <c r="I19" i="1"/>
  <c r="J19" i="1"/>
  <c r="K19" i="1"/>
  <c r="L19" i="1"/>
  <c r="Q19" i="1"/>
  <c r="S19" i="1"/>
  <c r="W19" i="1"/>
  <c r="X19" i="1"/>
  <c r="Y19" i="1"/>
  <c r="Z19" i="1"/>
  <c r="AB19" i="1"/>
  <c r="AC19" i="1"/>
  <c r="AD19" i="1"/>
  <c r="AE19" i="1"/>
  <c r="AG19" i="1"/>
  <c r="AH19" i="1"/>
  <c r="AI19" i="1"/>
  <c r="AJ19" i="1"/>
  <c r="A20" i="1"/>
  <c r="B20" i="1"/>
  <c r="C20" i="1"/>
  <c r="D20" i="1"/>
  <c r="E20" i="1"/>
  <c r="F20" i="1"/>
  <c r="G20" i="1"/>
  <c r="H20" i="1"/>
  <c r="I20" i="1"/>
  <c r="J20" i="1"/>
  <c r="K20" i="1"/>
  <c r="L20" i="1"/>
  <c r="R20" i="1"/>
  <c r="A21" i="1"/>
  <c r="B21" i="1"/>
  <c r="C21" i="1"/>
  <c r="D21" i="1"/>
  <c r="E21" i="1"/>
  <c r="F21" i="1"/>
  <c r="G21" i="1"/>
  <c r="H21" i="1"/>
  <c r="I21" i="1"/>
  <c r="J21" i="1"/>
  <c r="K21" i="1"/>
  <c r="L21" i="1"/>
  <c r="R21" i="1"/>
  <c r="A22" i="1"/>
  <c r="B22" i="1"/>
  <c r="C22" i="1"/>
  <c r="D22" i="1"/>
  <c r="E22" i="1"/>
  <c r="F22" i="1"/>
  <c r="G22" i="1"/>
  <c r="H22" i="1"/>
  <c r="I22" i="1"/>
  <c r="J22" i="1"/>
  <c r="K22" i="1"/>
  <c r="L22" i="1"/>
  <c r="R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A31" i="1"/>
  <c r="B31" i="1"/>
  <c r="C31" i="1"/>
  <c r="D31" i="1"/>
  <c r="E31" i="1"/>
  <c r="F31" i="1"/>
  <c r="G31" i="1"/>
  <c r="H31" i="1"/>
  <c r="I31" i="1"/>
  <c r="J31" i="1"/>
  <c r="K31" i="1"/>
  <c r="L31" i="1"/>
  <c r="Q31" i="1"/>
  <c r="R31" i="1"/>
  <c r="S31" i="1"/>
  <c r="AS31" i="1"/>
  <c r="A32" i="1"/>
  <c r="B32" i="1"/>
  <c r="C32" i="1"/>
  <c r="D32" i="1"/>
  <c r="E32" i="1"/>
  <c r="F32" i="1"/>
  <c r="G32" i="1"/>
  <c r="H32" i="1"/>
  <c r="I32" i="1"/>
  <c r="J32" i="1"/>
  <c r="K32" i="1"/>
  <c r="L32" i="1"/>
  <c r="Q32" i="1"/>
  <c r="R32" i="1"/>
  <c r="S32" i="1"/>
  <c r="AS32" i="1"/>
  <c r="A33" i="1"/>
  <c r="B33" i="1"/>
  <c r="C33" i="1"/>
  <c r="D33" i="1"/>
  <c r="E33" i="1"/>
  <c r="F33" i="1"/>
  <c r="G33" i="1"/>
  <c r="H33" i="1"/>
  <c r="I33" i="1"/>
  <c r="J33" i="1"/>
  <c r="K33" i="1"/>
  <c r="L33" i="1"/>
  <c r="Q33" i="1"/>
  <c r="R33" i="1"/>
  <c r="S33" i="1"/>
  <c r="AD33" i="1"/>
  <c r="AF33" i="1"/>
  <c r="AK33" i="1"/>
  <c r="AL33" i="1"/>
  <c r="AM33" i="1"/>
  <c r="AS33" i="1"/>
  <c r="A34" i="1"/>
  <c r="B34" i="1"/>
  <c r="C34" i="1"/>
  <c r="D34" i="1"/>
  <c r="E34" i="1"/>
  <c r="F34" i="1"/>
  <c r="G34" i="1"/>
  <c r="H34" i="1"/>
  <c r="I34" i="1"/>
  <c r="J34" i="1"/>
  <c r="K34" i="1"/>
  <c r="L34" i="1"/>
  <c r="Q34" i="1"/>
  <c r="R34" i="1"/>
  <c r="S34" i="1"/>
  <c r="AF34" i="1"/>
  <c r="AK34" i="1"/>
  <c r="AL34" i="1"/>
  <c r="AM34" i="1"/>
  <c r="AS34" i="1"/>
  <c r="AZ34" i="1"/>
  <c r="BA34" i="1"/>
  <c r="A35" i="1"/>
  <c r="B35" i="1"/>
  <c r="C35" i="1"/>
  <c r="D35" i="1"/>
  <c r="E35" i="1"/>
  <c r="F35" i="1"/>
  <c r="G35" i="1"/>
  <c r="H35" i="1"/>
  <c r="I35" i="1"/>
  <c r="J35" i="1"/>
  <c r="K35" i="1"/>
  <c r="L35" i="1"/>
  <c r="Q35" i="1"/>
  <c r="R35" i="1"/>
  <c r="S35" i="1"/>
  <c r="AD35" i="1"/>
  <c r="AF35" i="1"/>
  <c r="AK35" i="1"/>
  <c r="AL35" i="1"/>
  <c r="AM35" i="1"/>
  <c r="AS35" i="1"/>
  <c r="AZ35" i="1"/>
  <c r="BA35" i="1"/>
  <c r="A36" i="1"/>
  <c r="B36" i="1"/>
  <c r="C36" i="1"/>
  <c r="D36" i="1"/>
  <c r="E36" i="1"/>
  <c r="F36" i="1"/>
  <c r="G36" i="1"/>
  <c r="H36" i="1"/>
  <c r="I36" i="1"/>
  <c r="J36" i="1"/>
  <c r="K36" i="1"/>
  <c r="L36" i="1"/>
  <c r="Q36" i="1"/>
  <c r="R36" i="1"/>
  <c r="S36" i="1"/>
  <c r="AD36" i="1"/>
  <c r="AF36" i="1"/>
  <c r="AK36" i="1"/>
  <c r="AL36" i="1"/>
  <c r="AM36" i="1"/>
  <c r="AS36" i="1"/>
  <c r="AZ36" i="1"/>
  <c r="BA36" i="1"/>
  <c r="A37" i="1"/>
  <c r="B37" i="1"/>
  <c r="C37" i="1"/>
  <c r="D37" i="1"/>
  <c r="E37" i="1"/>
  <c r="F37" i="1"/>
  <c r="G37" i="1"/>
  <c r="H37" i="1"/>
  <c r="I37" i="1"/>
  <c r="J37" i="1"/>
  <c r="K37" i="1"/>
  <c r="L37" i="1"/>
  <c r="Q37" i="1"/>
  <c r="R37" i="1"/>
  <c r="S37" i="1"/>
  <c r="AA37" i="1"/>
  <c r="AD37" i="1"/>
  <c r="AF37" i="1"/>
  <c r="AK37" i="1"/>
  <c r="AL37" i="1"/>
  <c r="AM37" i="1"/>
  <c r="AS37" i="1"/>
  <c r="AZ37" i="1"/>
  <c r="BA37" i="1"/>
  <c r="A38" i="1"/>
  <c r="B38" i="1"/>
  <c r="C38" i="1"/>
  <c r="D38" i="1"/>
  <c r="E38" i="1"/>
  <c r="F38" i="1"/>
  <c r="G38" i="1"/>
  <c r="H38" i="1"/>
  <c r="I38" i="1"/>
  <c r="J38" i="1"/>
  <c r="K38" i="1"/>
  <c r="L38" i="1"/>
  <c r="Q38" i="1"/>
  <c r="R38" i="1"/>
  <c r="S38" i="1"/>
  <c r="AD38" i="1"/>
  <c r="AF38" i="1"/>
  <c r="AS38" i="1"/>
  <c r="AZ38" i="1"/>
  <c r="BA38" i="1"/>
  <c r="A39" i="1"/>
  <c r="B39" i="1"/>
  <c r="C39" i="1"/>
  <c r="D39" i="1"/>
  <c r="E39" i="1"/>
  <c r="F39" i="1"/>
  <c r="G39" i="1"/>
  <c r="H39" i="1"/>
  <c r="I39" i="1"/>
  <c r="J39" i="1"/>
  <c r="K39" i="1"/>
  <c r="L39" i="1"/>
  <c r="Q39" i="1"/>
  <c r="R39" i="1"/>
  <c r="S39" i="1"/>
  <c r="AA39" i="1"/>
  <c r="AD39" i="1"/>
  <c r="AF39" i="1"/>
  <c r="AK39" i="1"/>
  <c r="AL39" i="1"/>
  <c r="AM39" i="1"/>
  <c r="AP39" i="1"/>
  <c r="AQ39" i="1"/>
  <c r="AR39" i="1"/>
  <c r="AS39" i="1"/>
  <c r="AZ39" i="1"/>
  <c r="BA39" i="1"/>
  <c r="A40" i="1"/>
  <c r="B40" i="1"/>
  <c r="C40" i="1"/>
  <c r="D40" i="1"/>
  <c r="E40" i="1"/>
  <c r="F40" i="1"/>
  <c r="G40" i="1"/>
  <c r="H40" i="1"/>
  <c r="I40" i="1"/>
  <c r="J40" i="1"/>
  <c r="K40" i="1"/>
  <c r="L40" i="1"/>
  <c r="P40" i="1"/>
  <c r="Q40" i="1"/>
  <c r="R40" i="1"/>
  <c r="S40" i="1"/>
  <c r="AB40" i="1"/>
  <c r="AD40" i="1"/>
  <c r="AF40" i="1"/>
  <c r="AS40" i="1"/>
  <c r="AU40" i="1"/>
  <c r="AZ40" i="1"/>
  <c r="BA40" i="1"/>
  <c r="A41" i="1"/>
  <c r="B41" i="1"/>
  <c r="C41" i="1"/>
  <c r="D41" i="1"/>
  <c r="E41" i="1"/>
  <c r="F41" i="1"/>
  <c r="G41" i="1"/>
  <c r="H41" i="1"/>
  <c r="I41" i="1"/>
  <c r="J41" i="1"/>
  <c r="K41" i="1"/>
  <c r="L41" i="1"/>
  <c r="P41" i="1"/>
  <c r="Q41" i="1"/>
  <c r="R41" i="1"/>
  <c r="S41" i="1"/>
  <c r="AD41" i="1"/>
  <c r="AF41" i="1"/>
  <c r="AP41" i="1"/>
  <c r="AS41" i="1"/>
  <c r="AU41" i="1"/>
  <c r="AZ41" i="1"/>
  <c r="BA41" i="1"/>
  <c r="A42" i="1"/>
  <c r="B42" i="1"/>
  <c r="C42" i="1"/>
  <c r="D42" i="1"/>
  <c r="E42" i="1"/>
  <c r="F42" i="1"/>
  <c r="G42" i="1"/>
  <c r="H42" i="1"/>
  <c r="I42" i="1"/>
  <c r="J42" i="1"/>
  <c r="K42" i="1"/>
  <c r="L42" i="1"/>
  <c r="P42" i="1"/>
  <c r="Q42" i="1"/>
  <c r="R42" i="1"/>
  <c r="S42" i="1"/>
  <c r="AD42" i="1"/>
  <c r="AF42" i="1"/>
  <c r="AS42" i="1"/>
  <c r="AU42" i="1"/>
  <c r="AZ42" i="1"/>
  <c r="BA42" i="1"/>
  <c r="A43" i="1"/>
  <c r="B43" i="1"/>
  <c r="C43" i="1"/>
  <c r="D43" i="1"/>
  <c r="E43" i="1"/>
  <c r="F43" i="1"/>
  <c r="G43" i="1"/>
  <c r="H43" i="1"/>
  <c r="I43" i="1"/>
  <c r="J43" i="1"/>
  <c r="K43" i="1"/>
  <c r="L43" i="1"/>
  <c r="P43" i="1"/>
  <c r="Q43" i="1"/>
  <c r="R43" i="1"/>
  <c r="S43" i="1"/>
  <c r="T43" i="1"/>
  <c r="U43" i="1"/>
  <c r="V43" i="1"/>
  <c r="AS43" i="1"/>
  <c r="AZ43" i="1"/>
  <c r="BA43" i="1"/>
  <c r="A44" i="1"/>
  <c r="B44" i="1"/>
  <c r="C44" i="1"/>
  <c r="D44" i="1"/>
  <c r="E44" i="1"/>
  <c r="F44" i="1"/>
  <c r="G44" i="1"/>
  <c r="H44" i="1"/>
  <c r="I44" i="1"/>
  <c r="J44" i="1"/>
  <c r="K44" i="1"/>
  <c r="L44" i="1"/>
  <c r="P44" i="1"/>
  <c r="Q44" i="1"/>
  <c r="R44" i="1"/>
  <c r="S44" i="1"/>
  <c r="T44" i="1"/>
  <c r="U44" i="1"/>
  <c r="V44" i="1"/>
  <c r="AA44" i="1"/>
  <c r="AF44" i="1"/>
  <c r="AS44" i="1"/>
  <c r="AZ44" i="1"/>
  <c r="BA44" i="1"/>
  <c r="A45" i="1"/>
  <c r="B45" i="1"/>
  <c r="C45" i="1"/>
  <c r="D45" i="1"/>
  <c r="E45" i="1"/>
  <c r="F45" i="1"/>
  <c r="G45" i="1"/>
  <c r="H45" i="1"/>
  <c r="I45" i="1"/>
  <c r="J45" i="1"/>
  <c r="K45" i="1"/>
  <c r="L45" i="1"/>
  <c r="P45" i="1"/>
  <c r="Q45" i="1"/>
  <c r="R45" i="1"/>
  <c r="S45" i="1"/>
  <c r="T45" i="1"/>
  <c r="U45" i="1"/>
  <c r="V45" i="1"/>
  <c r="AZ45" i="1"/>
  <c r="BA45" i="1"/>
  <c r="A46" i="1"/>
  <c r="B46" i="1"/>
  <c r="C46" i="1"/>
  <c r="D46" i="1"/>
  <c r="E46" i="1"/>
  <c r="F46" i="1"/>
  <c r="G46" i="1"/>
  <c r="H46" i="1"/>
  <c r="I46" i="1"/>
  <c r="J46" i="1"/>
  <c r="K46" i="1"/>
  <c r="L46" i="1"/>
  <c r="P46" i="1"/>
  <c r="Q46" i="1"/>
  <c r="R46" i="1"/>
  <c r="S46" i="1"/>
  <c r="T46" i="1"/>
  <c r="U46" i="1"/>
  <c r="V46" i="1"/>
  <c r="AZ46" i="1"/>
  <c r="BA46" i="1"/>
  <c r="AZ47" i="1"/>
  <c r="BA47" i="1"/>
  <c r="BJ47" i="1"/>
  <c r="P48" i="1"/>
  <c r="Q48" i="1"/>
  <c r="R48" i="1"/>
  <c r="S48" i="1"/>
  <c r="T48" i="1"/>
  <c r="U48" i="1"/>
  <c r="V48" i="1"/>
  <c r="AK48" i="1"/>
  <c r="AL48" i="1"/>
  <c r="AM48" i="1"/>
  <c r="AP48" i="1"/>
  <c r="AQ48" i="1"/>
  <c r="AR48" i="1"/>
  <c r="AK49" i="1"/>
  <c r="AL49" i="1"/>
  <c r="AM49" i="1"/>
  <c r="AP49" i="1"/>
  <c r="AQ49" i="1"/>
  <c r="AR49" i="1"/>
  <c r="T50" i="1"/>
  <c r="V50" i="1"/>
  <c r="AB50" i="1"/>
  <c r="AG50" i="1"/>
  <c r="AI50" i="1"/>
  <c r="AK50" i="1"/>
  <c r="AL50" i="1"/>
  <c r="AM50" i="1"/>
  <c r="AP50" i="1"/>
  <c r="AQ50" i="1"/>
  <c r="AR50" i="1"/>
  <c r="K51" i="1"/>
  <c r="L51" i="1"/>
  <c r="N51" i="1"/>
  <c r="P51" i="1"/>
  <c r="Q51" i="1"/>
  <c r="R51" i="1"/>
  <c r="T51" i="1"/>
  <c r="V51" i="1"/>
  <c r="AB51" i="1"/>
  <c r="AG51" i="1"/>
  <c r="AI51" i="1"/>
  <c r="AK51" i="1"/>
  <c r="AL51" i="1"/>
  <c r="AM51" i="1"/>
  <c r="AP51" i="1"/>
  <c r="AQ51" i="1"/>
  <c r="AR51" i="1"/>
  <c r="K52" i="1"/>
  <c r="L52" i="1"/>
  <c r="N52" i="1"/>
  <c r="P52" i="1"/>
  <c r="Q52" i="1"/>
  <c r="R52" i="1"/>
  <c r="T52" i="1"/>
  <c r="V52" i="1"/>
  <c r="AG52" i="1"/>
  <c r="AI52" i="1"/>
  <c r="AK52" i="1"/>
  <c r="AL52" i="1"/>
  <c r="AM52" i="1"/>
  <c r="AP52" i="1"/>
  <c r="AQ52" i="1"/>
  <c r="AR52" i="1"/>
  <c r="BF52" i="1"/>
  <c r="BH52" i="1"/>
  <c r="BK52" i="1"/>
  <c r="BM52" i="1"/>
  <c r="K53" i="1"/>
  <c r="L53" i="1"/>
  <c r="N53" i="1"/>
  <c r="P53" i="1"/>
  <c r="Q53" i="1"/>
  <c r="R53" i="1"/>
  <c r="T53" i="1"/>
  <c r="V53" i="1"/>
  <c r="AA53" i="1"/>
  <c r="AK53" i="1"/>
  <c r="AL53" i="1"/>
  <c r="AM53" i="1"/>
  <c r="AP53" i="1"/>
  <c r="AQ53" i="1"/>
  <c r="AR53" i="1"/>
  <c r="BH53" i="1"/>
  <c r="BK53" i="1"/>
  <c r="BM53" i="1"/>
  <c r="K54" i="1"/>
  <c r="L54" i="1"/>
  <c r="N54" i="1"/>
  <c r="P54" i="1"/>
  <c r="Q54" i="1"/>
  <c r="R54" i="1"/>
  <c r="T54" i="1"/>
  <c r="V54" i="1"/>
  <c r="BF54" i="1"/>
  <c r="BH54" i="1"/>
  <c r="BK54" i="1"/>
  <c r="BM54" i="1"/>
  <c r="K55" i="1"/>
  <c r="L55" i="1"/>
  <c r="N55" i="1"/>
  <c r="P55" i="1"/>
  <c r="Q55" i="1"/>
  <c r="R55" i="1"/>
  <c r="T55" i="1"/>
  <c r="V55" i="1"/>
  <c r="BE55" i="1"/>
  <c r="BH55" i="1"/>
  <c r="D56" i="1"/>
  <c r="K56" i="1"/>
  <c r="L56" i="1"/>
  <c r="N56" i="1"/>
  <c r="P56" i="1"/>
  <c r="Q56" i="1"/>
  <c r="R56" i="1"/>
  <c r="T56" i="1"/>
  <c r="V56" i="1"/>
  <c r="D57" i="1"/>
  <c r="K57" i="1"/>
  <c r="L57" i="1"/>
  <c r="N57" i="1"/>
  <c r="P57" i="1"/>
  <c r="Q57" i="1"/>
  <c r="R57" i="1"/>
  <c r="T57" i="1"/>
  <c r="V57" i="1"/>
  <c r="AI57" i="1"/>
  <c r="AO57" i="1"/>
  <c r="D58" i="1"/>
  <c r="K58" i="1"/>
  <c r="L58" i="1"/>
  <c r="N58" i="1"/>
  <c r="P58" i="1"/>
  <c r="Q58" i="1"/>
  <c r="R58" i="1"/>
  <c r="T58" i="1"/>
  <c r="V58" i="1"/>
  <c r="AI58" i="1"/>
  <c r="AO58" i="1"/>
  <c r="AR58" i="1"/>
  <c r="BG58" i="1"/>
  <c r="D59" i="1"/>
  <c r="K59" i="1"/>
  <c r="L59" i="1"/>
  <c r="N59" i="1"/>
  <c r="P59" i="1"/>
  <c r="Q59" i="1"/>
  <c r="R59" i="1"/>
  <c r="T59" i="1"/>
  <c r="V59" i="1"/>
  <c r="AI59" i="1"/>
  <c r="AO59" i="1"/>
  <c r="AQ59" i="1"/>
  <c r="AR59" i="1"/>
  <c r="BG59" i="1"/>
  <c r="D60" i="1"/>
  <c r="K60" i="1"/>
  <c r="L60" i="1"/>
  <c r="N60" i="1"/>
  <c r="P60" i="1"/>
  <c r="Q60" i="1"/>
  <c r="R60" i="1"/>
  <c r="T60" i="1"/>
  <c r="V60" i="1"/>
  <c r="AI60" i="1"/>
  <c r="AO60" i="1"/>
  <c r="AQ60" i="1"/>
  <c r="AR60" i="1"/>
  <c r="AS60" i="1"/>
  <c r="BG60" i="1"/>
  <c r="D61" i="1"/>
  <c r="K61" i="1"/>
  <c r="L61" i="1"/>
  <c r="N61" i="1"/>
  <c r="P61" i="1"/>
  <c r="Q61" i="1"/>
  <c r="R61" i="1"/>
  <c r="T61" i="1"/>
  <c r="U61" i="1"/>
  <c r="V61" i="1"/>
  <c r="Y61" i="1"/>
  <c r="AI61" i="1"/>
  <c r="AO61" i="1"/>
  <c r="AQ61" i="1"/>
  <c r="AR61" i="1"/>
  <c r="AS61" i="1"/>
  <c r="D62" i="1"/>
  <c r="J62" i="1"/>
  <c r="K62" i="1"/>
  <c r="L62" i="1"/>
  <c r="M62" i="1"/>
  <c r="N62" i="1"/>
  <c r="P62" i="1"/>
  <c r="Q62" i="1"/>
  <c r="R62" i="1"/>
  <c r="T62" i="1"/>
  <c r="V62" i="1"/>
  <c r="AI62" i="1"/>
  <c r="AO62" i="1"/>
  <c r="AQ62" i="1"/>
  <c r="AR62" i="1"/>
  <c r="AS62" i="1"/>
  <c r="D63" i="1"/>
  <c r="K63" i="1"/>
  <c r="L63" i="1"/>
  <c r="N63" i="1"/>
  <c r="P63" i="1"/>
  <c r="Q63" i="1"/>
  <c r="R63" i="1"/>
  <c r="T63" i="1"/>
  <c r="V63" i="1"/>
  <c r="AI63" i="1"/>
  <c r="AO63" i="1"/>
  <c r="AQ63" i="1"/>
  <c r="AR63" i="1"/>
  <c r="AS63" i="1"/>
  <c r="D64" i="1"/>
  <c r="K64" i="1"/>
  <c r="L64" i="1"/>
  <c r="N64" i="1"/>
  <c r="P64" i="1"/>
  <c r="Q64" i="1"/>
  <c r="R64" i="1"/>
  <c r="T64" i="1"/>
  <c r="V64" i="1"/>
  <c r="AI64" i="1"/>
  <c r="AO64" i="1"/>
  <c r="AQ64" i="1"/>
  <c r="AR64" i="1"/>
  <c r="AS64" i="1"/>
  <c r="D65" i="1"/>
  <c r="K65" i="1"/>
  <c r="L65" i="1"/>
  <c r="N65" i="1"/>
  <c r="P65" i="1"/>
  <c r="Q65" i="1"/>
  <c r="R65" i="1"/>
  <c r="T65" i="1"/>
  <c r="V65" i="1"/>
  <c r="AI65" i="1"/>
  <c r="AO65" i="1"/>
  <c r="AQ65" i="1"/>
  <c r="AR65" i="1"/>
  <c r="AS65" i="1"/>
  <c r="K66" i="1"/>
  <c r="L66" i="1"/>
  <c r="N66" i="1"/>
  <c r="P66" i="1"/>
  <c r="Q66" i="1"/>
  <c r="R66" i="1"/>
  <c r="T66" i="1"/>
  <c r="V66" i="1"/>
  <c r="AI66" i="1"/>
  <c r="AO66" i="1"/>
  <c r="AQ66" i="1"/>
  <c r="AR66" i="1"/>
  <c r="AS66" i="1"/>
  <c r="D67" i="1"/>
  <c r="K67" i="1"/>
  <c r="L67" i="1"/>
  <c r="N67" i="1"/>
  <c r="P67" i="1"/>
  <c r="Q67" i="1"/>
  <c r="R67" i="1"/>
  <c r="T67" i="1"/>
  <c r="V67" i="1"/>
  <c r="AI67" i="1"/>
  <c r="AO67" i="1"/>
  <c r="AQ67" i="1"/>
  <c r="AR67" i="1"/>
  <c r="AS67" i="1"/>
  <c r="D68" i="1"/>
  <c r="K68" i="1"/>
  <c r="L68" i="1"/>
  <c r="N68" i="1"/>
  <c r="P68" i="1"/>
  <c r="Q68" i="1"/>
  <c r="R68" i="1"/>
  <c r="T68" i="1"/>
  <c r="V68" i="1"/>
  <c r="AI68" i="1"/>
  <c r="AO68" i="1"/>
  <c r="AQ68" i="1"/>
  <c r="AR68" i="1"/>
  <c r="AS68" i="1"/>
  <c r="K69" i="1"/>
  <c r="L69" i="1"/>
  <c r="N69" i="1"/>
  <c r="P69" i="1"/>
  <c r="Q69" i="1"/>
  <c r="R69" i="1"/>
  <c r="T69" i="1"/>
  <c r="V69" i="1"/>
  <c r="AI69" i="1"/>
  <c r="AO69" i="1"/>
  <c r="AQ69" i="1"/>
  <c r="AR69" i="1"/>
  <c r="AS69" i="1"/>
  <c r="K70" i="1"/>
  <c r="L70" i="1"/>
  <c r="N70" i="1"/>
  <c r="P70" i="1"/>
  <c r="Q70" i="1"/>
  <c r="R70" i="1"/>
  <c r="T70" i="1"/>
  <c r="V70" i="1"/>
  <c r="AI70" i="1"/>
  <c r="AO70" i="1"/>
  <c r="AQ70" i="1"/>
  <c r="AR70" i="1"/>
  <c r="AS70" i="1"/>
  <c r="K71" i="1"/>
  <c r="L71" i="1"/>
  <c r="N71" i="1"/>
  <c r="P71" i="1"/>
  <c r="Q71" i="1"/>
  <c r="R71" i="1"/>
  <c r="T71" i="1"/>
  <c r="V71" i="1"/>
  <c r="AI71" i="1"/>
  <c r="AO71" i="1"/>
  <c r="AQ71" i="1"/>
  <c r="AR71" i="1"/>
  <c r="AS71" i="1"/>
  <c r="K72" i="1"/>
  <c r="L72" i="1"/>
  <c r="N72" i="1"/>
  <c r="P72" i="1"/>
  <c r="Q72" i="1"/>
  <c r="R72" i="1"/>
  <c r="T72" i="1"/>
  <c r="V72" i="1"/>
  <c r="AI72" i="1"/>
  <c r="AO72" i="1"/>
  <c r="AQ72" i="1"/>
  <c r="AR72" i="1"/>
  <c r="AS72" i="1"/>
  <c r="K73" i="1"/>
  <c r="L73" i="1"/>
  <c r="N73" i="1"/>
  <c r="P73" i="1"/>
  <c r="Q73" i="1"/>
  <c r="R73" i="1"/>
  <c r="T73" i="1"/>
  <c r="U73" i="1"/>
  <c r="V73" i="1"/>
  <c r="Y73" i="1"/>
  <c r="AI73" i="1"/>
  <c r="AO73" i="1"/>
  <c r="AQ73" i="1"/>
  <c r="AR73" i="1"/>
  <c r="AS73" i="1"/>
  <c r="J74" i="1"/>
  <c r="K74" i="1"/>
  <c r="L74" i="1"/>
  <c r="M74" i="1"/>
  <c r="N74" i="1"/>
  <c r="P74" i="1"/>
  <c r="Q74" i="1"/>
  <c r="R74" i="1"/>
  <c r="T74" i="1"/>
  <c r="V74" i="1"/>
  <c r="AI74" i="1"/>
  <c r="AO74" i="1"/>
  <c r="AQ74" i="1"/>
  <c r="AR74" i="1"/>
  <c r="AS74" i="1"/>
  <c r="K75" i="1"/>
  <c r="L75" i="1"/>
  <c r="N75" i="1"/>
  <c r="P75" i="1"/>
  <c r="Q75" i="1"/>
  <c r="R75" i="1"/>
  <c r="T75" i="1"/>
  <c r="V75" i="1"/>
  <c r="AI75" i="1"/>
  <c r="AO75" i="1"/>
  <c r="AQ75" i="1"/>
  <c r="AR75" i="1"/>
  <c r="AS75" i="1"/>
  <c r="K76" i="1"/>
  <c r="L76" i="1"/>
  <c r="N76" i="1"/>
  <c r="P76" i="1"/>
  <c r="Q76" i="1"/>
  <c r="R76" i="1"/>
  <c r="T76" i="1"/>
  <c r="V76" i="1"/>
  <c r="AI76" i="1"/>
  <c r="AO76" i="1"/>
  <c r="AQ76" i="1"/>
  <c r="AR76" i="1"/>
  <c r="AS76" i="1"/>
  <c r="K77" i="1"/>
  <c r="L77" i="1"/>
  <c r="N77" i="1"/>
  <c r="P77" i="1"/>
  <c r="Q77" i="1"/>
  <c r="R77" i="1"/>
  <c r="T77" i="1"/>
  <c r="V77" i="1"/>
  <c r="AI77" i="1"/>
  <c r="AO77" i="1"/>
  <c r="AQ77" i="1"/>
  <c r="AR77" i="1"/>
  <c r="AS77" i="1"/>
  <c r="K78" i="1"/>
  <c r="L78" i="1"/>
  <c r="N78" i="1"/>
  <c r="P78" i="1"/>
  <c r="Q78" i="1"/>
  <c r="R78" i="1"/>
  <c r="T78" i="1"/>
  <c r="V78" i="1"/>
  <c r="AI78" i="1"/>
  <c r="AO78" i="1"/>
  <c r="AQ78" i="1"/>
  <c r="AR78" i="1"/>
  <c r="AS78" i="1"/>
  <c r="K79" i="1"/>
  <c r="L79" i="1"/>
  <c r="N79" i="1"/>
  <c r="P79" i="1"/>
  <c r="Q79" i="1"/>
  <c r="R79" i="1"/>
  <c r="T79" i="1"/>
  <c r="V79" i="1"/>
  <c r="AI79" i="1"/>
  <c r="AO79" i="1"/>
  <c r="AQ79" i="1"/>
  <c r="AR79" i="1"/>
  <c r="AS79" i="1"/>
  <c r="K80" i="1"/>
  <c r="L80" i="1"/>
  <c r="N80" i="1"/>
  <c r="P80" i="1"/>
  <c r="Q80" i="1"/>
  <c r="R80" i="1"/>
  <c r="T80" i="1"/>
  <c r="V80" i="1"/>
  <c r="AI80" i="1"/>
  <c r="AO80" i="1"/>
  <c r="AQ80" i="1"/>
  <c r="AR80" i="1"/>
  <c r="AS80" i="1"/>
  <c r="K81" i="1"/>
  <c r="L81" i="1"/>
  <c r="N81" i="1"/>
  <c r="P81" i="1"/>
  <c r="Q81" i="1"/>
  <c r="R81" i="1"/>
  <c r="T81" i="1"/>
  <c r="V81" i="1"/>
  <c r="AI81" i="1"/>
  <c r="AO81" i="1"/>
  <c r="AQ81" i="1"/>
  <c r="AR81" i="1"/>
  <c r="AS81" i="1"/>
  <c r="K82" i="1"/>
  <c r="L82" i="1"/>
  <c r="N82" i="1"/>
  <c r="P82" i="1"/>
  <c r="Q82" i="1"/>
  <c r="R82" i="1"/>
  <c r="T82" i="1"/>
  <c r="V82" i="1"/>
  <c r="AD82" i="1"/>
  <c r="AI82" i="1"/>
  <c r="AL82" i="1"/>
  <c r="AO82" i="1"/>
  <c r="AQ82" i="1"/>
  <c r="AR82" i="1"/>
  <c r="AS82" i="1"/>
  <c r="K83" i="1"/>
  <c r="L83" i="1"/>
  <c r="N83" i="1"/>
  <c r="P83" i="1"/>
  <c r="Q83" i="1"/>
  <c r="R83" i="1"/>
  <c r="T83" i="1"/>
  <c r="V83" i="1"/>
  <c r="AQ83" i="1"/>
  <c r="AR83" i="1"/>
  <c r="AS83" i="1"/>
  <c r="K84" i="1"/>
  <c r="L84" i="1"/>
  <c r="N84" i="1"/>
  <c r="P84" i="1"/>
  <c r="Q84" i="1"/>
  <c r="R84" i="1"/>
  <c r="T84" i="1"/>
  <c r="V84" i="1"/>
  <c r="AQ84" i="1"/>
  <c r="AR84" i="1"/>
  <c r="AS84" i="1"/>
  <c r="K85" i="1"/>
  <c r="L85" i="1"/>
  <c r="N85" i="1"/>
  <c r="P85" i="1"/>
  <c r="Q85" i="1"/>
  <c r="R85" i="1"/>
  <c r="T85" i="1"/>
  <c r="U85" i="1"/>
  <c r="V85" i="1"/>
  <c r="Y85" i="1"/>
  <c r="AQ85" i="1"/>
  <c r="AR85" i="1"/>
  <c r="AS85" i="1"/>
  <c r="J86" i="1"/>
  <c r="K86" i="1"/>
  <c r="L86" i="1"/>
  <c r="M86" i="1"/>
  <c r="N86" i="1"/>
  <c r="P86" i="1"/>
  <c r="Q86" i="1"/>
  <c r="R86" i="1"/>
  <c r="T86" i="1"/>
  <c r="V86" i="1"/>
  <c r="K87" i="1"/>
  <c r="L87" i="1"/>
  <c r="N87" i="1"/>
  <c r="P87" i="1"/>
  <c r="Q87" i="1"/>
  <c r="R87" i="1"/>
  <c r="T87" i="1"/>
  <c r="V87" i="1"/>
  <c r="K88" i="1"/>
  <c r="L88" i="1"/>
  <c r="N88" i="1"/>
  <c r="P88" i="1"/>
  <c r="Q88" i="1"/>
  <c r="R88" i="1"/>
  <c r="T88" i="1"/>
  <c r="V88" i="1"/>
  <c r="K89" i="1"/>
  <c r="L89" i="1"/>
  <c r="N89" i="1"/>
  <c r="P89" i="1"/>
  <c r="Q89" i="1"/>
  <c r="R89" i="1"/>
  <c r="T89" i="1"/>
  <c r="V89" i="1"/>
  <c r="K90" i="1"/>
  <c r="L90" i="1"/>
  <c r="N90" i="1"/>
  <c r="P90" i="1"/>
  <c r="Q90" i="1"/>
  <c r="R90" i="1"/>
  <c r="T90" i="1"/>
  <c r="V90" i="1"/>
  <c r="K91" i="1"/>
  <c r="L91" i="1"/>
  <c r="N91" i="1"/>
  <c r="P91" i="1"/>
  <c r="Q91" i="1"/>
  <c r="R91" i="1"/>
  <c r="T91" i="1"/>
  <c r="V91" i="1"/>
  <c r="K92" i="1"/>
  <c r="L92" i="1"/>
  <c r="N92" i="1"/>
  <c r="P92" i="1"/>
  <c r="Q92" i="1"/>
  <c r="R92" i="1"/>
  <c r="T92" i="1"/>
  <c r="V92" i="1"/>
  <c r="K93" i="1"/>
  <c r="L93" i="1"/>
  <c r="N93" i="1"/>
  <c r="P93" i="1"/>
  <c r="Q93" i="1"/>
  <c r="R93" i="1"/>
  <c r="T93" i="1"/>
  <c r="V93" i="1"/>
  <c r="K94" i="1"/>
  <c r="L94" i="1"/>
  <c r="N94" i="1"/>
  <c r="P94" i="1"/>
  <c r="Q94" i="1"/>
  <c r="R94" i="1"/>
  <c r="T94" i="1"/>
  <c r="V94" i="1"/>
  <c r="K95" i="1"/>
  <c r="L95" i="1"/>
  <c r="N95" i="1"/>
  <c r="P95" i="1"/>
  <c r="Q95" i="1"/>
  <c r="R95" i="1"/>
  <c r="T95" i="1"/>
  <c r="V95" i="1"/>
  <c r="K96" i="1"/>
  <c r="L96" i="1"/>
  <c r="N96" i="1"/>
  <c r="P96" i="1"/>
  <c r="Q96" i="1"/>
  <c r="R96" i="1"/>
  <c r="T96" i="1"/>
  <c r="V96" i="1"/>
  <c r="K97" i="1"/>
  <c r="L97" i="1"/>
  <c r="N97" i="1"/>
  <c r="P97" i="1"/>
  <c r="Q97" i="1"/>
  <c r="R97" i="1"/>
  <c r="T97" i="1"/>
  <c r="U97" i="1"/>
  <c r="V97" i="1"/>
  <c r="Y97" i="1"/>
  <c r="J98" i="1"/>
  <c r="K98" i="1"/>
  <c r="L98" i="1"/>
  <c r="M98" i="1"/>
  <c r="N98" i="1"/>
  <c r="P98" i="1"/>
  <c r="Q98" i="1"/>
  <c r="R98" i="1"/>
  <c r="T98" i="1"/>
  <c r="K99" i="1"/>
  <c r="L99" i="1"/>
  <c r="N99" i="1"/>
  <c r="P99" i="1"/>
  <c r="Q99" i="1"/>
  <c r="R99" i="1"/>
  <c r="T99" i="1"/>
  <c r="K100" i="1"/>
  <c r="L100" i="1"/>
  <c r="N100" i="1"/>
  <c r="P100" i="1"/>
  <c r="Q100" i="1"/>
  <c r="R100" i="1"/>
  <c r="T100" i="1"/>
  <c r="K101" i="1"/>
  <c r="L101" i="1"/>
  <c r="N101" i="1"/>
  <c r="P101" i="1"/>
  <c r="Q101" i="1"/>
  <c r="R101" i="1"/>
  <c r="T101" i="1"/>
  <c r="K102" i="1"/>
  <c r="L102" i="1"/>
  <c r="N102" i="1"/>
  <c r="P102" i="1"/>
  <c r="Q102" i="1"/>
  <c r="R102" i="1"/>
  <c r="T102" i="1"/>
  <c r="K103" i="1"/>
  <c r="L103" i="1"/>
  <c r="N103" i="1"/>
  <c r="P103" i="1"/>
  <c r="Q103" i="1"/>
  <c r="R103" i="1"/>
  <c r="T103" i="1"/>
  <c r="K104" i="1"/>
  <c r="L104" i="1"/>
  <c r="N104" i="1"/>
  <c r="P104" i="1"/>
  <c r="Q104" i="1"/>
  <c r="R104" i="1"/>
  <c r="T104" i="1"/>
  <c r="K105" i="1"/>
  <c r="L105" i="1"/>
  <c r="N105" i="1"/>
  <c r="P105" i="1"/>
  <c r="Q105" i="1"/>
  <c r="R105" i="1"/>
  <c r="T105" i="1"/>
  <c r="K106" i="1"/>
  <c r="L106" i="1"/>
  <c r="N106" i="1"/>
  <c r="P106" i="1"/>
  <c r="Q106" i="1"/>
  <c r="R106" i="1"/>
  <c r="T106" i="1"/>
  <c r="K107" i="1"/>
  <c r="L107" i="1"/>
  <c r="N107" i="1"/>
  <c r="P107" i="1"/>
  <c r="Q107" i="1"/>
  <c r="R107" i="1"/>
  <c r="T107" i="1"/>
  <c r="K108" i="1"/>
  <c r="L108" i="1"/>
  <c r="N108" i="1"/>
  <c r="P108" i="1"/>
  <c r="Q108" i="1"/>
  <c r="R108" i="1"/>
  <c r="T108" i="1"/>
  <c r="K109" i="1"/>
  <c r="L109" i="1"/>
  <c r="N109" i="1"/>
  <c r="P109" i="1"/>
  <c r="Q109" i="1"/>
  <c r="R109" i="1"/>
  <c r="T109" i="1"/>
  <c r="U109" i="1"/>
  <c r="Y109" i="1"/>
  <c r="J110" i="1"/>
  <c r="K110" i="1"/>
  <c r="L110" i="1"/>
  <c r="M110" i="1"/>
  <c r="N110" i="1"/>
  <c r="P110" i="1"/>
  <c r="Q110" i="1"/>
  <c r="R110" i="1"/>
  <c r="T110" i="1"/>
  <c r="K111" i="1"/>
  <c r="L111" i="1"/>
  <c r="N111" i="1"/>
  <c r="P111" i="1"/>
  <c r="Q111" i="1"/>
  <c r="R111" i="1"/>
  <c r="T111" i="1"/>
  <c r="K112" i="1"/>
  <c r="L112" i="1"/>
  <c r="N112" i="1"/>
  <c r="P112" i="1"/>
  <c r="Q112" i="1"/>
  <c r="R112" i="1"/>
  <c r="T112" i="1"/>
  <c r="K113" i="1"/>
  <c r="L113" i="1"/>
  <c r="N113" i="1"/>
  <c r="P113" i="1"/>
  <c r="Q113" i="1"/>
  <c r="R113" i="1"/>
  <c r="T113" i="1"/>
  <c r="K114" i="1"/>
  <c r="L114" i="1"/>
  <c r="N114" i="1"/>
  <c r="P114" i="1"/>
  <c r="Q114" i="1"/>
  <c r="R114" i="1"/>
  <c r="T114" i="1"/>
  <c r="K115" i="1"/>
  <c r="L115" i="1"/>
  <c r="N115" i="1"/>
  <c r="P115" i="1"/>
  <c r="Q115" i="1"/>
  <c r="R115" i="1"/>
  <c r="T115" i="1"/>
  <c r="K116" i="1"/>
  <c r="L116" i="1"/>
  <c r="N116" i="1"/>
  <c r="P116" i="1"/>
  <c r="Q116" i="1"/>
  <c r="R116" i="1"/>
  <c r="T116" i="1"/>
  <c r="K117" i="1"/>
  <c r="L117" i="1"/>
  <c r="N117" i="1"/>
  <c r="P117" i="1"/>
  <c r="Q117" i="1"/>
  <c r="R117" i="1"/>
  <c r="T117" i="1"/>
  <c r="K118" i="1"/>
  <c r="L118" i="1"/>
  <c r="N118" i="1"/>
  <c r="P118" i="1"/>
  <c r="Q118" i="1"/>
  <c r="R118" i="1"/>
  <c r="T118" i="1"/>
  <c r="K119" i="1"/>
  <c r="L119" i="1"/>
  <c r="N119" i="1"/>
  <c r="P119" i="1"/>
  <c r="Q119" i="1"/>
  <c r="R119" i="1"/>
  <c r="T119" i="1"/>
  <c r="K120" i="1"/>
  <c r="L120" i="1"/>
  <c r="N120" i="1"/>
  <c r="P120" i="1"/>
  <c r="Q120" i="1"/>
  <c r="R120" i="1"/>
  <c r="T120" i="1"/>
  <c r="K121" i="1"/>
  <c r="L121" i="1"/>
  <c r="N121" i="1"/>
  <c r="P121" i="1"/>
  <c r="Q121" i="1"/>
  <c r="R121" i="1"/>
  <c r="T121" i="1"/>
  <c r="U121" i="1"/>
  <c r="Y121" i="1"/>
  <c r="J122" i="1"/>
  <c r="K122" i="1"/>
  <c r="L122" i="1"/>
  <c r="M122" i="1"/>
  <c r="N122" i="1"/>
  <c r="P122" i="1"/>
  <c r="Q122" i="1"/>
  <c r="R122" i="1"/>
  <c r="T122" i="1"/>
  <c r="K123" i="1"/>
  <c r="L123" i="1"/>
  <c r="N123" i="1"/>
  <c r="P123" i="1"/>
  <c r="Q123" i="1"/>
  <c r="R123" i="1"/>
  <c r="T123" i="1"/>
  <c r="K124" i="1"/>
  <c r="L124" i="1"/>
  <c r="N124" i="1"/>
  <c r="P124" i="1"/>
  <c r="Q124" i="1"/>
  <c r="R124" i="1"/>
  <c r="T124" i="1"/>
  <c r="K125" i="1"/>
  <c r="L125" i="1"/>
  <c r="N125" i="1"/>
  <c r="P125" i="1"/>
  <c r="Q125" i="1"/>
  <c r="R125" i="1"/>
  <c r="T125" i="1"/>
  <c r="K126" i="1"/>
  <c r="L126" i="1"/>
  <c r="N126" i="1"/>
  <c r="P126" i="1"/>
  <c r="Q126" i="1"/>
  <c r="R126" i="1"/>
  <c r="T126" i="1"/>
  <c r="K127" i="1"/>
  <c r="L127" i="1"/>
  <c r="N127" i="1"/>
  <c r="P127" i="1"/>
  <c r="Q127" i="1"/>
  <c r="R127" i="1"/>
  <c r="T127" i="1"/>
  <c r="K128" i="1"/>
  <c r="L128" i="1"/>
  <c r="N128" i="1"/>
  <c r="P128" i="1"/>
  <c r="Q128" i="1"/>
  <c r="R128" i="1"/>
  <c r="T128" i="1"/>
  <c r="K129" i="1"/>
  <c r="L129" i="1"/>
  <c r="N129" i="1"/>
  <c r="P129" i="1"/>
  <c r="Q129" i="1"/>
  <c r="R129" i="1"/>
  <c r="T129" i="1"/>
  <c r="K130" i="1"/>
  <c r="L130" i="1"/>
  <c r="N130" i="1"/>
  <c r="P130" i="1"/>
  <c r="Q130" i="1"/>
  <c r="R130" i="1"/>
  <c r="T130" i="1"/>
  <c r="K131" i="1"/>
  <c r="L131" i="1"/>
  <c r="N131" i="1"/>
  <c r="P131" i="1"/>
  <c r="Q131" i="1"/>
  <c r="R131" i="1"/>
  <c r="T131" i="1"/>
  <c r="K132" i="1"/>
  <c r="L132" i="1"/>
  <c r="N132" i="1"/>
  <c r="P132" i="1"/>
  <c r="Q132" i="1"/>
  <c r="R132" i="1"/>
  <c r="T132" i="1"/>
  <c r="K133" i="1"/>
  <c r="L133" i="1"/>
  <c r="N133" i="1"/>
  <c r="P133" i="1"/>
  <c r="Q133" i="1"/>
  <c r="R133" i="1"/>
  <c r="T133" i="1"/>
  <c r="U133" i="1"/>
  <c r="Y133" i="1"/>
  <c r="J134" i="1"/>
  <c r="K134" i="1"/>
  <c r="L134" i="1"/>
  <c r="M134" i="1"/>
  <c r="N134" i="1"/>
  <c r="P134" i="1"/>
  <c r="Q134" i="1"/>
  <c r="R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U145" i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U157" i="1"/>
  <c r="Y157" i="1"/>
  <c r="AQ200" i="1"/>
  <c r="AU200" i="1"/>
  <c r="AW200" i="1"/>
  <c r="AX200" i="1"/>
  <c r="AY200" i="1"/>
  <c r="AZ200" i="1"/>
  <c r="BA200" i="1"/>
  <c r="BB200" i="1"/>
  <c r="BC200" i="1"/>
  <c r="AQ201" i="1"/>
  <c r="AU201" i="1"/>
  <c r="AW201" i="1"/>
  <c r="AX201" i="1"/>
  <c r="AY201" i="1"/>
  <c r="AZ201" i="1"/>
  <c r="BA201" i="1"/>
  <c r="BB201" i="1"/>
  <c r="BC201" i="1"/>
  <c r="AQ202" i="1"/>
  <c r="AU202" i="1"/>
  <c r="AW202" i="1"/>
  <c r="AX202" i="1"/>
  <c r="AY202" i="1"/>
  <c r="AZ202" i="1"/>
  <c r="BA202" i="1"/>
  <c r="BB202" i="1"/>
  <c r="BC202" i="1"/>
  <c r="AQ203" i="1"/>
  <c r="AU203" i="1"/>
  <c r="AQ204" i="1"/>
  <c r="AU204" i="1"/>
  <c r="AW204" i="1"/>
  <c r="AX204" i="1"/>
  <c r="AY204" i="1"/>
  <c r="AZ204" i="1"/>
  <c r="BA204" i="1"/>
  <c r="BB204" i="1"/>
  <c r="BC204" i="1"/>
  <c r="AQ205" i="1"/>
  <c r="AU205" i="1"/>
  <c r="AW205" i="1"/>
  <c r="AX205" i="1"/>
  <c r="AY205" i="1"/>
  <c r="AZ205" i="1"/>
  <c r="BA205" i="1"/>
  <c r="BB205" i="1"/>
  <c r="BC205" i="1"/>
  <c r="AQ206" i="1"/>
  <c r="AU206" i="1"/>
  <c r="AQ207" i="1"/>
  <c r="AU207" i="1"/>
  <c r="AW207" i="1"/>
  <c r="AX207" i="1"/>
  <c r="AY207" i="1"/>
  <c r="AZ207" i="1"/>
  <c r="BA207" i="1"/>
  <c r="BB207" i="1"/>
  <c r="BC207" i="1"/>
  <c r="AQ208" i="1"/>
  <c r="AU208" i="1"/>
  <c r="AW208" i="1"/>
  <c r="AX208" i="1"/>
  <c r="AY208" i="1"/>
  <c r="AZ208" i="1"/>
  <c r="BA208" i="1"/>
  <c r="BB208" i="1"/>
  <c r="BC208" i="1"/>
  <c r="AQ209" i="1"/>
  <c r="AU209" i="1"/>
  <c r="AQ210" i="1"/>
  <c r="AU210" i="1"/>
  <c r="AW210" i="1"/>
  <c r="AX210" i="1"/>
  <c r="AY210" i="1"/>
  <c r="AZ210" i="1"/>
  <c r="BA210" i="1"/>
  <c r="BB210" i="1"/>
  <c r="BC210" i="1"/>
  <c r="AQ211" i="1"/>
  <c r="AU211" i="1"/>
  <c r="AW211" i="1"/>
  <c r="AX211" i="1"/>
  <c r="AY211" i="1"/>
  <c r="AZ211" i="1"/>
  <c r="BA211" i="1"/>
  <c r="BB211" i="1"/>
  <c r="BC211" i="1"/>
  <c r="AQ212" i="1"/>
  <c r="AU212" i="1"/>
  <c r="AQ213" i="1"/>
  <c r="AU213" i="1"/>
  <c r="AW213" i="1"/>
  <c r="AX213" i="1"/>
  <c r="AY213" i="1"/>
  <c r="AZ213" i="1"/>
  <c r="BA213" i="1"/>
  <c r="BB213" i="1"/>
  <c r="BC213" i="1"/>
  <c r="AQ214" i="1"/>
  <c r="AU214" i="1"/>
  <c r="AW214" i="1"/>
  <c r="AX214" i="1"/>
  <c r="AY214" i="1"/>
  <c r="AZ214" i="1"/>
  <c r="BA214" i="1"/>
  <c r="BB214" i="1"/>
  <c r="BC214" i="1"/>
  <c r="AQ215" i="1"/>
  <c r="AU215" i="1"/>
  <c r="AQ216" i="1"/>
  <c r="AU216" i="1"/>
  <c r="AW216" i="1"/>
  <c r="AX216" i="1"/>
  <c r="AY216" i="1"/>
  <c r="AZ216" i="1"/>
  <c r="BA216" i="1"/>
  <c r="BB216" i="1"/>
  <c r="BC216" i="1"/>
  <c r="AQ217" i="1"/>
  <c r="AU217" i="1"/>
  <c r="AW217" i="1"/>
  <c r="AX217" i="1"/>
  <c r="AY217" i="1"/>
  <c r="AZ217" i="1"/>
  <c r="BA217" i="1"/>
  <c r="BB217" i="1"/>
  <c r="BC217" i="1"/>
  <c r="AQ218" i="1"/>
  <c r="AU218" i="1"/>
  <c r="AQ219" i="1"/>
  <c r="AU219" i="1"/>
  <c r="AW219" i="1"/>
  <c r="AX219" i="1"/>
  <c r="AY219" i="1"/>
  <c r="AZ219" i="1"/>
  <c r="BA219" i="1"/>
  <c r="BB219" i="1"/>
  <c r="BC219" i="1"/>
  <c r="AQ220" i="1"/>
  <c r="AU220" i="1"/>
  <c r="AW220" i="1"/>
  <c r="AX220" i="1"/>
  <c r="AY220" i="1"/>
  <c r="AZ220" i="1"/>
  <c r="BA220" i="1"/>
  <c r="BB220" i="1"/>
  <c r="BC220" i="1"/>
  <c r="AQ221" i="1"/>
  <c r="AU221" i="1"/>
  <c r="AQ222" i="1"/>
  <c r="AU222" i="1"/>
  <c r="AW222" i="1"/>
  <c r="AX222" i="1"/>
  <c r="AY222" i="1"/>
  <c r="AZ222" i="1"/>
  <c r="BA222" i="1"/>
  <c r="BB222" i="1"/>
  <c r="BC222" i="1"/>
  <c r="AQ223" i="1"/>
  <c r="AU223" i="1"/>
  <c r="AW223" i="1"/>
  <c r="AX223" i="1"/>
  <c r="AY223" i="1"/>
  <c r="AZ223" i="1"/>
  <c r="BA223" i="1"/>
  <c r="BB223" i="1"/>
  <c r="BC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1" i="2"/>
  <c r="B2" i="2"/>
  <c r="Q3" i="2"/>
  <c r="B4" i="2"/>
  <c r="G4" i="2"/>
  <c r="H4" i="2"/>
  <c r="I4" i="2"/>
  <c r="J4" i="2"/>
  <c r="K4" i="2"/>
  <c r="Q4" i="2"/>
  <c r="B5" i="2"/>
  <c r="G5" i="2"/>
  <c r="I5" i="2"/>
  <c r="J5" i="2"/>
  <c r="K5" i="2"/>
  <c r="Q5" i="2"/>
  <c r="A6" i="2"/>
  <c r="G6" i="2"/>
  <c r="H6" i="2"/>
  <c r="I6" i="2"/>
  <c r="J6" i="2"/>
  <c r="K6" i="2"/>
  <c r="L8" i="2"/>
  <c r="P9" i="2"/>
  <c r="CG10" i="2"/>
  <c r="CH10" i="2"/>
  <c r="CI10" i="2"/>
  <c r="ET10" i="2"/>
  <c r="EU10" i="2"/>
  <c r="Y11" i="2"/>
  <c r="Z11" i="2"/>
  <c r="AA11" i="2"/>
  <c r="AB11" i="2"/>
  <c r="AC11" i="2"/>
  <c r="AD11" i="2"/>
  <c r="AE11" i="2"/>
  <c r="AF11" i="2"/>
  <c r="AG11" i="2"/>
  <c r="AH11" i="2"/>
  <c r="AI11" i="2"/>
  <c r="A12" i="2"/>
  <c r="B12" i="2"/>
  <c r="B12" i="2" a="1"/>
  <c r="C12" i="2"/>
  <c r="D12" i="2"/>
  <c r="E12" i="2"/>
  <c r="F12" i="2"/>
  <c r="G12" i="2"/>
  <c r="H12" i="2"/>
  <c r="I12" i="2"/>
  <c r="J12" i="2"/>
  <c r="K12" i="2"/>
  <c r="L12" i="2"/>
  <c r="N12" i="2"/>
  <c r="Q12" i="2"/>
  <c r="R12" i="2"/>
  <c r="S12" i="2"/>
  <c r="T12" i="2"/>
  <c r="U12" i="2"/>
  <c r="V12" i="2"/>
  <c r="W12" i="2"/>
  <c r="W12" i="2" a="1"/>
  <c r="X12" i="2"/>
  <c r="X12" i="2" a="1"/>
  <c r="AJ12" i="2"/>
  <c r="BY12" i="2"/>
  <c r="BZ12" i="2"/>
  <c r="CB12" i="2"/>
  <c r="CC12" i="2"/>
  <c r="CD12" i="2"/>
  <c r="CE12" i="2"/>
  <c r="CF12" i="2"/>
  <c r="CG12" i="2"/>
  <c r="CH12" i="2"/>
  <c r="CI12" i="2"/>
  <c r="CJ12" i="2"/>
  <c r="CK12" i="2"/>
  <c r="CK12" i="2" a="1"/>
  <c r="CM12" i="2"/>
  <c r="CN12" i="2"/>
  <c r="CN12" i="2" a="1"/>
  <c r="DJ12" i="2"/>
  <c r="DK12" i="2"/>
  <c r="DP12" i="2"/>
  <c r="DQ12" i="2"/>
  <c r="DR12" i="2"/>
  <c r="DS12" i="2"/>
  <c r="DT12" i="2"/>
  <c r="DU12" i="2"/>
  <c r="DV12" i="2"/>
  <c r="DX12" i="2"/>
  <c r="DY12" i="2"/>
  <c r="DZ12" i="2"/>
  <c r="EO12" i="2"/>
  <c r="EP12" i="2"/>
  <c r="EQ12" i="2"/>
  <c r="ER12" i="2"/>
  <c r="ES12" i="2"/>
  <c r="ET12" i="2"/>
  <c r="EU12" i="2"/>
  <c r="A13" i="2"/>
  <c r="B13" i="2"/>
  <c r="C13" i="2"/>
  <c r="D13" i="2"/>
  <c r="E13" i="2"/>
  <c r="F13" i="2"/>
  <c r="G13" i="2"/>
  <c r="H13" i="2"/>
  <c r="I13" i="2"/>
  <c r="J13" i="2"/>
  <c r="K13" i="2"/>
  <c r="L13" i="2"/>
  <c r="N13" i="2"/>
  <c r="Q13" i="2"/>
  <c r="R13" i="2"/>
  <c r="S13" i="2"/>
  <c r="T13" i="2"/>
  <c r="U13" i="2"/>
  <c r="V13" i="2"/>
  <c r="W13" i="2"/>
  <c r="W13" i="2" a="1"/>
  <c r="X13" i="2"/>
  <c r="X13" i="2" a="1"/>
  <c r="Y13" i="2"/>
  <c r="AJ13" i="2"/>
  <c r="AO13" i="2"/>
  <c r="AP13" i="2"/>
  <c r="AQ13" i="2"/>
  <c r="AR13" i="2"/>
  <c r="BY13" i="2"/>
  <c r="BZ13" i="2"/>
  <c r="CB13" i="2"/>
  <c r="CC13" i="2"/>
  <c r="CD13" i="2"/>
  <c r="CE13" i="2"/>
  <c r="CF13" i="2"/>
  <c r="CG13" i="2"/>
  <c r="CH13" i="2"/>
  <c r="CI13" i="2"/>
  <c r="CJ13" i="2"/>
  <c r="CK13" i="2"/>
  <c r="CM13" i="2"/>
  <c r="CN13" i="2"/>
  <c r="CO13" i="2"/>
  <c r="DJ13" i="2"/>
  <c r="DK13" i="2"/>
  <c r="DP13" i="2"/>
  <c r="DQ13" i="2"/>
  <c r="DR13" i="2"/>
  <c r="DS13" i="2"/>
  <c r="DT13" i="2"/>
  <c r="DU13" i="2"/>
  <c r="DV13" i="2"/>
  <c r="DX13" i="2"/>
  <c r="DY13" i="2"/>
  <c r="DZ13" i="2"/>
  <c r="EO13" i="2"/>
  <c r="EP13" i="2"/>
  <c r="EQ13" i="2"/>
  <c r="ER13" i="2"/>
  <c r="ES13" i="2"/>
  <c r="ET13" i="2"/>
  <c r="EU13" i="2"/>
  <c r="A14" i="2"/>
  <c r="B14" i="2"/>
  <c r="C14" i="2"/>
  <c r="D14" i="2"/>
  <c r="E14" i="2"/>
  <c r="F14" i="2"/>
  <c r="G14" i="2"/>
  <c r="H14" i="2"/>
  <c r="I14" i="2"/>
  <c r="J14" i="2"/>
  <c r="K14" i="2"/>
  <c r="L14" i="2"/>
  <c r="N14" i="2"/>
  <c r="Q14" i="2"/>
  <c r="R14" i="2"/>
  <c r="S14" i="2"/>
  <c r="T14" i="2"/>
  <c r="U14" i="2"/>
  <c r="V14" i="2"/>
  <c r="W14" i="2"/>
  <c r="W14" i="2" a="1"/>
  <c r="X14" i="2"/>
  <c r="X14" i="2" a="1"/>
  <c r="Y14" i="2"/>
  <c r="Z14" i="2"/>
  <c r="AJ14" i="2"/>
  <c r="AO14" i="2"/>
  <c r="AP14" i="2"/>
  <c r="AQ14" i="2"/>
  <c r="AR14" i="2"/>
  <c r="BY14" i="2"/>
  <c r="BZ14" i="2"/>
  <c r="CB14" i="2"/>
  <c r="CC14" i="2"/>
  <c r="CD14" i="2"/>
  <c r="CE14" i="2"/>
  <c r="CF14" i="2"/>
  <c r="CG14" i="2"/>
  <c r="CH14" i="2"/>
  <c r="CI14" i="2"/>
  <c r="CJ14" i="2"/>
  <c r="CK14" i="2"/>
  <c r="CM14" i="2"/>
  <c r="CN14" i="2"/>
  <c r="CO14" i="2"/>
  <c r="DJ14" i="2"/>
  <c r="DK14" i="2"/>
  <c r="DP14" i="2"/>
  <c r="DQ14" i="2"/>
  <c r="DR14" i="2"/>
  <c r="DS14" i="2"/>
  <c r="DT14" i="2"/>
  <c r="DU14" i="2"/>
  <c r="DV14" i="2"/>
  <c r="DX14" i="2"/>
  <c r="DY14" i="2"/>
  <c r="DZ14" i="2"/>
  <c r="EO14" i="2"/>
  <c r="EP14" i="2"/>
  <c r="EQ14" i="2"/>
  <c r="ER14" i="2"/>
  <c r="ES14" i="2"/>
  <c r="ET14" i="2"/>
  <c r="EU14" i="2"/>
  <c r="A15" i="2"/>
  <c r="B15" i="2"/>
  <c r="C15" i="2"/>
  <c r="D15" i="2"/>
  <c r="E15" i="2"/>
  <c r="F15" i="2"/>
  <c r="G15" i="2"/>
  <c r="H15" i="2"/>
  <c r="I15" i="2"/>
  <c r="J15" i="2"/>
  <c r="K15" i="2"/>
  <c r="L15" i="2"/>
  <c r="N15" i="2"/>
  <c r="Q15" i="2"/>
  <c r="R15" i="2"/>
  <c r="S15" i="2"/>
  <c r="T15" i="2"/>
  <c r="U15" i="2"/>
  <c r="V15" i="2"/>
  <c r="W15" i="2"/>
  <c r="W15" i="2" a="1"/>
  <c r="X15" i="2"/>
  <c r="X15" i="2" a="1"/>
  <c r="Y15" i="2"/>
  <c r="Z15" i="2"/>
  <c r="AA15" i="2"/>
  <c r="AJ15" i="2"/>
  <c r="BY15" i="2"/>
  <c r="BZ15" i="2"/>
  <c r="CB15" i="2"/>
  <c r="CC15" i="2"/>
  <c r="CD15" i="2"/>
  <c r="CE15" i="2"/>
  <c r="CF15" i="2"/>
  <c r="CG15" i="2"/>
  <c r="CH15" i="2"/>
  <c r="CI15" i="2"/>
  <c r="CJ15" i="2"/>
  <c r="CK15" i="2"/>
  <c r="CM15" i="2"/>
  <c r="CN15" i="2"/>
  <c r="CO15" i="2"/>
  <c r="DJ15" i="2"/>
  <c r="DK15" i="2"/>
  <c r="DP15" i="2"/>
  <c r="DQ15" i="2"/>
  <c r="DR15" i="2"/>
  <c r="DS15" i="2"/>
  <c r="DT15" i="2"/>
  <c r="DU15" i="2"/>
  <c r="DV15" i="2"/>
  <c r="DX15" i="2"/>
  <c r="DY15" i="2"/>
  <c r="DZ15" i="2"/>
  <c r="EO15" i="2"/>
  <c r="EP15" i="2"/>
  <c r="EQ15" i="2"/>
  <c r="ER15" i="2"/>
  <c r="ES15" i="2"/>
  <c r="ET15" i="2"/>
  <c r="EU15" i="2"/>
  <c r="A16" i="2"/>
  <c r="B16" i="2"/>
  <c r="C16" i="2"/>
  <c r="D16" i="2"/>
  <c r="E16" i="2"/>
  <c r="F16" i="2"/>
  <c r="G16" i="2"/>
  <c r="H16" i="2"/>
  <c r="I16" i="2"/>
  <c r="J16" i="2"/>
  <c r="K16" i="2"/>
  <c r="L16" i="2"/>
  <c r="N16" i="2"/>
  <c r="Q16" i="2"/>
  <c r="R16" i="2"/>
  <c r="S16" i="2"/>
  <c r="T16" i="2"/>
  <c r="U16" i="2"/>
  <c r="V16" i="2"/>
  <c r="W16" i="2"/>
  <c r="W16" i="2" a="1"/>
  <c r="X16" i="2"/>
  <c r="X16" i="2" a="1"/>
  <c r="Y16" i="2"/>
  <c r="Z16" i="2"/>
  <c r="AA16" i="2"/>
  <c r="AB16" i="2"/>
  <c r="AJ16" i="2"/>
  <c r="AK16" i="2"/>
  <c r="AL16" i="2"/>
  <c r="AM16" i="2"/>
  <c r="AN16" i="2"/>
  <c r="AO16" i="2"/>
  <c r="AP16" i="2"/>
  <c r="AQ16" i="2"/>
  <c r="AR16" i="2"/>
  <c r="AU16" i="2"/>
  <c r="AV16" i="2"/>
  <c r="AW16" i="2"/>
  <c r="AX16" i="2"/>
  <c r="BY16" i="2"/>
  <c r="BZ16" i="2"/>
  <c r="CB16" i="2"/>
  <c r="CC16" i="2"/>
  <c r="CD16" i="2"/>
  <c r="CE16" i="2"/>
  <c r="CF16" i="2"/>
  <c r="CG16" i="2"/>
  <c r="CH16" i="2"/>
  <c r="CI16" i="2"/>
  <c r="CJ16" i="2"/>
  <c r="CK16" i="2"/>
  <c r="CM16" i="2"/>
  <c r="CN16" i="2"/>
  <c r="CO16" i="2"/>
  <c r="CQ16" i="2"/>
  <c r="CR16" i="2"/>
  <c r="CS16" i="2"/>
  <c r="CU16" i="2"/>
  <c r="CV16" i="2"/>
  <c r="DJ16" i="2"/>
  <c r="DK16" i="2"/>
  <c r="DP16" i="2"/>
  <c r="DQ16" i="2"/>
  <c r="DR16" i="2"/>
  <c r="DS16" i="2"/>
  <c r="DT16" i="2"/>
  <c r="DU16" i="2"/>
  <c r="DV16" i="2"/>
  <c r="DX16" i="2"/>
  <c r="DY16" i="2"/>
  <c r="DZ16" i="2"/>
  <c r="EO16" i="2"/>
  <c r="EP16" i="2"/>
  <c r="EQ16" i="2"/>
  <c r="ER16" i="2"/>
  <c r="ES16" i="2"/>
  <c r="ET16" i="2"/>
  <c r="EU16" i="2"/>
  <c r="A17" i="2"/>
  <c r="B17" i="2"/>
  <c r="C17" i="2"/>
  <c r="D17" i="2"/>
  <c r="E17" i="2"/>
  <c r="F17" i="2"/>
  <c r="G17" i="2"/>
  <c r="H17" i="2"/>
  <c r="I17" i="2"/>
  <c r="J17" i="2"/>
  <c r="K17" i="2"/>
  <c r="L17" i="2"/>
  <c r="N17" i="2"/>
  <c r="Q17" i="2"/>
  <c r="R17" i="2"/>
  <c r="S17" i="2"/>
  <c r="T17" i="2"/>
  <c r="U17" i="2"/>
  <c r="V17" i="2"/>
  <c r="W17" i="2"/>
  <c r="W17" i="2" a="1"/>
  <c r="X17" i="2"/>
  <c r="X17" i="2" a="1"/>
  <c r="Y17" i="2"/>
  <c r="Z17" i="2"/>
  <c r="AA17" i="2"/>
  <c r="AB17" i="2"/>
  <c r="AC17" i="2"/>
  <c r="AJ17" i="2"/>
  <c r="AU17" i="2"/>
  <c r="AV17" i="2"/>
  <c r="AW17" i="2"/>
  <c r="AX17" i="2"/>
  <c r="BY17" i="2"/>
  <c r="BZ17" i="2"/>
  <c r="CB17" i="2"/>
  <c r="CC17" i="2"/>
  <c r="CD17" i="2"/>
  <c r="CE17" i="2"/>
  <c r="CF17" i="2"/>
  <c r="CG17" i="2"/>
  <c r="CH17" i="2"/>
  <c r="CI17" i="2"/>
  <c r="CJ17" i="2"/>
  <c r="CK17" i="2"/>
  <c r="CM17" i="2"/>
  <c r="CN17" i="2"/>
  <c r="CO17" i="2"/>
  <c r="CU17" i="2"/>
  <c r="CV17" i="2"/>
  <c r="DJ17" i="2"/>
  <c r="DK17" i="2"/>
  <c r="DP17" i="2"/>
  <c r="DQ17" i="2"/>
  <c r="DR17" i="2"/>
  <c r="DS17" i="2"/>
  <c r="DT17" i="2"/>
  <c r="DU17" i="2"/>
  <c r="DV17" i="2"/>
  <c r="DX17" i="2"/>
  <c r="DY17" i="2"/>
  <c r="DZ17" i="2"/>
  <c r="EO17" i="2"/>
  <c r="EP17" i="2"/>
  <c r="EQ17" i="2"/>
  <c r="ER17" i="2"/>
  <c r="ES17" i="2"/>
  <c r="ET17" i="2"/>
  <c r="EU17" i="2"/>
  <c r="A18" i="2"/>
  <c r="B18" i="2"/>
  <c r="C18" i="2"/>
  <c r="D18" i="2"/>
  <c r="E18" i="2"/>
  <c r="F18" i="2"/>
  <c r="G18" i="2"/>
  <c r="H18" i="2"/>
  <c r="I18" i="2"/>
  <c r="J18" i="2"/>
  <c r="K18" i="2"/>
  <c r="L18" i="2"/>
  <c r="N18" i="2"/>
  <c r="Q18" i="2"/>
  <c r="R18" i="2"/>
  <c r="S18" i="2"/>
  <c r="T18" i="2"/>
  <c r="U18" i="2"/>
  <c r="V18" i="2"/>
  <c r="W18" i="2"/>
  <c r="W18" i="2" a="1"/>
  <c r="X18" i="2"/>
  <c r="X18" i="2" a="1"/>
  <c r="Y18" i="2"/>
  <c r="Z18" i="2"/>
  <c r="AA18" i="2"/>
  <c r="AB18" i="2"/>
  <c r="AC18" i="2"/>
  <c r="AD18" i="2"/>
  <c r="AJ18" i="2"/>
  <c r="AK18" i="2"/>
  <c r="AL18" i="2"/>
  <c r="AM18" i="2"/>
  <c r="AN18" i="2"/>
  <c r="AO18" i="2"/>
  <c r="AP18" i="2"/>
  <c r="AQ18" i="2"/>
  <c r="AR18" i="2"/>
  <c r="AU18" i="2"/>
  <c r="AV18" i="2"/>
  <c r="AW18" i="2"/>
  <c r="AX18" i="2"/>
  <c r="BY18" i="2"/>
  <c r="BZ18" i="2"/>
  <c r="CB18" i="2"/>
  <c r="CC18" i="2"/>
  <c r="CD18" i="2"/>
  <c r="CE18" i="2"/>
  <c r="CF18" i="2"/>
  <c r="CG18" i="2"/>
  <c r="CH18" i="2"/>
  <c r="CI18" i="2"/>
  <c r="CJ18" i="2"/>
  <c r="CK18" i="2"/>
  <c r="CM18" i="2"/>
  <c r="CN18" i="2"/>
  <c r="CO18" i="2"/>
  <c r="CQ18" i="2"/>
  <c r="CR18" i="2"/>
  <c r="CS18" i="2"/>
  <c r="CU18" i="2"/>
  <c r="CV18" i="2"/>
  <c r="CW18" i="2"/>
  <c r="DJ18" i="2"/>
  <c r="DK18" i="2"/>
  <c r="DP18" i="2"/>
  <c r="DQ18" i="2"/>
  <c r="DR18" i="2"/>
  <c r="DS18" i="2"/>
  <c r="DT18" i="2"/>
  <c r="DU18" i="2"/>
  <c r="DV18" i="2"/>
  <c r="DX18" i="2"/>
  <c r="DY18" i="2"/>
  <c r="DZ18" i="2"/>
  <c r="EO18" i="2"/>
  <c r="EP18" i="2"/>
  <c r="EQ18" i="2"/>
  <c r="ER18" i="2"/>
  <c r="ES18" i="2"/>
  <c r="ET18" i="2"/>
  <c r="EU18" i="2"/>
  <c r="A19" i="2"/>
  <c r="B19" i="2"/>
  <c r="C19" i="2"/>
  <c r="D19" i="2"/>
  <c r="E19" i="2"/>
  <c r="F19" i="2"/>
  <c r="G19" i="2"/>
  <c r="H19" i="2"/>
  <c r="I19" i="2"/>
  <c r="J19" i="2"/>
  <c r="K19" i="2"/>
  <c r="L19" i="2"/>
  <c r="N19" i="2"/>
  <c r="Q19" i="2"/>
  <c r="R19" i="2"/>
  <c r="S19" i="2"/>
  <c r="T19" i="2"/>
  <c r="U19" i="2"/>
  <c r="V19" i="2"/>
  <c r="W19" i="2"/>
  <c r="W19" i="2" a="1"/>
  <c r="X19" i="2"/>
  <c r="X19" i="2" a="1"/>
  <c r="Y19" i="2"/>
  <c r="Z19" i="2"/>
  <c r="AA19" i="2"/>
  <c r="AB19" i="2"/>
  <c r="AC19" i="2"/>
  <c r="AD19" i="2"/>
  <c r="AE19" i="2"/>
  <c r="AJ19" i="2"/>
  <c r="AU19" i="2"/>
  <c r="AV19" i="2"/>
  <c r="AW19" i="2"/>
  <c r="AX19" i="2"/>
  <c r="BY19" i="2"/>
  <c r="BZ19" i="2"/>
  <c r="CB19" i="2"/>
  <c r="CC19" i="2"/>
  <c r="CD19" i="2"/>
  <c r="CE19" i="2"/>
  <c r="CF19" i="2"/>
  <c r="CG19" i="2"/>
  <c r="CH19" i="2"/>
  <c r="CI19" i="2"/>
  <c r="CJ19" i="2"/>
  <c r="CK19" i="2"/>
  <c r="CM19" i="2"/>
  <c r="CN19" i="2"/>
  <c r="CO19" i="2"/>
  <c r="CQ19" i="2"/>
  <c r="CR19" i="2"/>
  <c r="CS19" i="2"/>
  <c r="DJ19" i="2"/>
  <c r="DK19" i="2"/>
  <c r="DP19" i="2"/>
  <c r="DQ19" i="2"/>
  <c r="DR19" i="2"/>
  <c r="DS19" i="2"/>
  <c r="DT19" i="2"/>
  <c r="DU19" i="2"/>
  <c r="DV19" i="2"/>
  <c r="DX19" i="2"/>
  <c r="DY19" i="2"/>
  <c r="DZ19" i="2"/>
  <c r="EO19" i="2"/>
  <c r="EP19" i="2"/>
  <c r="EQ19" i="2"/>
  <c r="ER19" i="2"/>
  <c r="ES19" i="2"/>
  <c r="ET19" i="2"/>
  <c r="EU19" i="2"/>
  <c r="A20" i="2"/>
  <c r="B20" i="2"/>
  <c r="C20" i="2"/>
  <c r="D20" i="2"/>
  <c r="E20" i="2"/>
  <c r="F20" i="2"/>
  <c r="G20" i="2"/>
  <c r="H20" i="2"/>
  <c r="I20" i="2"/>
  <c r="J20" i="2"/>
  <c r="K20" i="2"/>
  <c r="L20" i="2"/>
  <c r="N20" i="2"/>
  <c r="Q20" i="2"/>
  <c r="R20" i="2"/>
  <c r="S20" i="2"/>
  <c r="T20" i="2"/>
  <c r="V20" i="2"/>
  <c r="W20" i="2"/>
  <c r="W20" i="2" a="1"/>
  <c r="X20" i="2"/>
  <c r="X20" i="2" a="1"/>
  <c r="Y20" i="2"/>
  <c r="Z20" i="2"/>
  <c r="AA20" i="2"/>
  <c r="AB20" i="2"/>
  <c r="AC20" i="2"/>
  <c r="AD20" i="2"/>
  <c r="AE20" i="2"/>
  <c r="AF20" i="2"/>
  <c r="AJ20" i="2"/>
  <c r="AU20" i="2"/>
  <c r="AV20" i="2"/>
  <c r="AW20" i="2"/>
  <c r="AX20" i="2"/>
  <c r="BY20" i="2"/>
  <c r="BZ20" i="2"/>
  <c r="CB20" i="2"/>
  <c r="CC20" i="2"/>
  <c r="CD20" i="2"/>
  <c r="CE20" i="2"/>
  <c r="CF20" i="2"/>
  <c r="CG20" i="2"/>
  <c r="CH20" i="2"/>
  <c r="CI20" i="2"/>
  <c r="CJ20" i="2"/>
  <c r="CK20" i="2"/>
  <c r="CM20" i="2"/>
  <c r="CN20" i="2"/>
  <c r="CO20" i="2"/>
  <c r="CQ20" i="2"/>
  <c r="CR20" i="2"/>
  <c r="CS20" i="2"/>
  <c r="DJ20" i="2"/>
  <c r="DK20" i="2"/>
  <c r="DP20" i="2"/>
  <c r="DQ20" i="2"/>
  <c r="DR20" i="2"/>
  <c r="DS20" i="2"/>
  <c r="DT20" i="2"/>
  <c r="DU20" i="2"/>
  <c r="DV20" i="2"/>
  <c r="DX20" i="2"/>
  <c r="DY20" i="2"/>
  <c r="DZ20" i="2"/>
  <c r="EO20" i="2"/>
  <c r="EP20" i="2"/>
  <c r="EQ20" i="2"/>
  <c r="ER20" i="2"/>
  <c r="ES20" i="2"/>
  <c r="ET20" i="2"/>
  <c r="EU20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Q21" i="2"/>
  <c r="R21" i="2"/>
  <c r="S21" i="2"/>
  <c r="T21" i="2"/>
  <c r="V21" i="2"/>
  <c r="W21" i="2"/>
  <c r="W21" i="2" a="1"/>
  <c r="X21" i="2"/>
  <c r="X21" i="2" a="1"/>
  <c r="Y21" i="2"/>
  <c r="Z21" i="2"/>
  <c r="AA21" i="2"/>
  <c r="AB21" i="2"/>
  <c r="AC21" i="2"/>
  <c r="AD21" i="2"/>
  <c r="AE21" i="2"/>
  <c r="AF21" i="2"/>
  <c r="AG21" i="2"/>
  <c r="AJ21" i="2"/>
  <c r="AU21" i="2"/>
  <c r="AV21" i="2"/>
  <c r="AW21" i="2"/>
  <c r="AX21" i="2"/>
  <c r="BY21" i="2"/>
  <c r="BZ21" i="2"/>
  <c r="CB21" i="2"/>
  <c r="CC21" i="2"/>
  <c r="CD21" i="2"/>
  <c r="CE21" i="2"/>
  <c r="CF21" i="2"/>
  <c r="CG21" i="2"/>
  <c r="CH21" i="2"/>
  <c r="CI21" i="2"/>
  <c r="CJ21" i="2"/>
  <c r="CK21" i="2"/>
  <c r="CM21" i="2"/>
  <c r="CN21" i="2"/>
  <c r="CO21" i="2"/>
  <c r="DJ21" i="2"/>
  <c r="DK21" i="2"/>
  <c r="DP21" i="2"/>
  <c r="DQ21" i="2"/>
  <c r="DR21" i="2"/>
  <c r="DS21" i="2"/>
  <c r="DT21" i="2"/>
  <c r="DU21" i="2"/>
  <c r="DV21" i="2"/>
  <c r="DX21" i="2"/>
  <c r="DY21" i="2"/>
  <c r="DZ21" i="2"/>
  <c r="EO21" i="2"/>
  <c r="EP21" i="2"/>
  <c r="EQ21" i="2"/>
  <c r="ER21" i="2"/>
  <c r="ES21" i="2"/>
  <c r="ET21" i="2"/>
  <c r="EU21" i="2"/>
  <c r="A22" i="2"/>
  <c r="B22" i="2"/>
  <c r="C22" i="2"/>
  <c r="D22" i="2"/>
  <c r="E22" i="2"/>
  <c r="F22" i="2"/>
  <c r="G22" i="2"/>
  <c r="H22" i="2"/>
  <c r="I22" i="2"/>
  <c r="J22" i="2"/>
  <c r="K22" i="2"/>
  <c r="L22" i="2"/>
  <c r="N22" i="2"/>
  <c r="Q22" i="2"/>
  <c r="R22" i="2"/>
  <c r="S22" i="2"/>
  <c r="T22" i="2"/>
  <c r="V22" i="2"/>
  <c r="W22" i="2"/>
  <c r="W22" i="2" a="1"/>
  <c r="X22" i="2"/>
  <c r="X22" i="2" a="1"/>
  <c r="Y22" i="2"/>
  <c r="Z22" i="2"/>
  <c r="AA22" i="2"/>
  <c r="AB22" i="2"/>
  <c r="AC22" i="2"/>
  <c r="AD22" i="2"/>
  <c r="AE22" i="2"/>
  <c r="AF22" i="2"/>
  <c r="AG22" i="2"/>
  <c r="AH22" i="2"/>
  <c r="AJ22" i="2"/>
  <c r="AK22" i="2"/>
  <c r="AL22" i="2"/>
  <c r="AM22" i="2"/>
  <c r="AN22" i="2"/>
  <c r="AO22" i="2"/>
  <c r="AP22" i="2"/>
  <c r="AQ22" i="2"/>
  <c r="AR22" i="2"/>
  <c r="AU22" i="2"/>
  <c r="AV22" i="2"/>
  <c r="AW22" i="2"/>
  <c r="AX22" i="2"/>
  <c r="BY22" i="2"/>
  <c r="BZ22" i="2"/>
  <c r="CB22" i="2"/>
  <c r="CC22" i="2"/>
  <c r="CD22" i="2"/>
  <c r="CE22" i="2"/>
  <c r="CF22" i="2"/>
  <c r="CG22" i="2"/>
  <c r="CH22" i="2"/>
  <c r="CI22" i="2"/>
  <c r="CJ22" i="2"/>
  <c r="CM22" i="2"/>
  <c r="CN22" i="2"/>
  <c r="CO22" i="2"/>
  <c r="CQ22" i="2"/>
  <c r="CR22" i="2"/>
  <c r="CS22" i="2"/>
  <c r="DJ22" i="2"/>
  <c r="DK22" i="2"/>
  <c r="DP22" i="2"/>
  <c r="DQ22" i="2"/>
  <c r="DR22" i="2"/>
  <c r="DS22" i="2"/>
  <c r="DT22" i="2"/>
  <c r="DU22" i="2"/>
  <c r="DV22" i="2"/>
  <c r="DX22" i="2"/>
  <c r="DY22" i="2"/>
  <c r="DZ22" i="2"/>
  <c r="EO22" i="2"/>
  <c r="EP22" i="2"/>
  <c r="EQ22" i="2"/>
  <c r="ER22" i="2"/>
  <c r="ES22" i="2"/>
  <c r="ET22" i="2"/>
  <c r="EU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Q23" i="2"/>
  <c r="R23" i="2"/>
  <c r="S23" i="2"/>
  <c r="T23" i="2"/>
  <c r="W23" i="2"/>
  <c r="W23" i="2" a="1"/>
  <c r="AJ23" i="2"/>
  <c r="AU23" i="2"/>
  <c r="AV23" i="2"/>
  <c r="AW23" i="2"/>
  <c r="AX23" i="2"/>
  <c r="BY23" i="2"/>
  <c r="BZ23" i="2"/>
  <c r="CB23" i="2"/>
  <c r="CC23" i="2"/>
  <c r="CD23" i="2"/>
  <c r="CE23" i="2"/>
  <c r="CF23" i="2"/>
  <c r="CG23" i="2"/>
  <c r="CH23" i="2"/>
  <c r="CI23" i="2"/>
  <c r="CJ23" i="2"/>
  <c r="CM23" i="2"/>
  <c r="CN23" i="2"/>
  <c r="CO23" i="2"/>
  <c r="CQ23" i="2"/>
  <c r="CR23" i="2"/>
  <c r="CS23" i="2"/>
  <c r="DJ23" i="2"/>
  <c r="DK23" i="2"/>
  <c r="DP23" i="2"/>
  <c r="DQ23" i="2"/>
  <c r="DR23" i="2"/>
  <c r="DS23" i="2"/>
  <c r="DT23" i="2"/>
  <c r="DU23" i="2"/>
  <c r="DV23" i="2"/>
  <c r="DX23" i="2"/>
  <c r="DY23" i="2"/>
  <c r="DZ23" i="2"/>
  <c r="EO23" i="2"/>
  <c r="EP23" i="2"/>
  <c r="EQ23" i="2"/>
  <c r="ER23" i="2"/>
  <c r="ES23" i="2"/>
  <c r="ET23" i="2"/>
  <c r="EU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Q24" i="2"/>
  <c r="R24" i="2"/>
  <c r="S24" i="2"/>
  <c r="T24" i="2"/>
  <c r="W24" i="2"/>
  <c r="W24" i="2" a="1"/>
  <c r="AJ24" i="2"/>
  <c r="AU24" i="2"/>
  <c r="AV24" i="2"/>
  <c r="AW24" i="2"/>
  <c r="AX24" i="2"/>
  <c r="BY24" i="2"/>
  <c r="BZ24" i="2"/>
  <c r="CB24" i="2"/>
  <c r="CC24" i="2"/>
  <c r="CD24" i="2"/>
  <c r="CE24" i="2"/>
  <c r="CF24" i="2"/>
  <c r="CG24" i="2"/>
  <c r="CH24" i="2"/>
  <c r="CI24" i="2"/>
  <c r="CJ24" i="2"/>
  <c r="CM24" i="2"/>
  <c r="CN24" i="2"/>
  <c r="CO24" i="2"/>
  <c r="DJ24" i="2"/>
  <c r="DK24" i="2"/>
  <c r="DP24" i="2"/>
  <c r="DQ24" i="2"/>
  <c r="DR24" i="2"/>
  <c r="DS24" i="2"/>
  <c r="DT24" i="2"/>
  <c r="DU24" i="2"/>
  <c r="DV24" i="2"/>
  <c r="DX24" i="2"/>
  <c r="DY24" i="2"/>
  <c r="DZ24" i="2"/>
  <c r="EO24" i="2"/>
  <c r="EP24" i="2"/>
  <c r="EQ24" i="2"/>
  <c r="ER24" i="2"/>
  <c r="ES24" i="2"/>
  <c r="ET24" i="2"/>
  <c r="EU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Q25" i="2"/>
  <c r="R25" i="2"/>
  <c r="S25" i="2"/>
  <c r="AJ25" i="2"/>
  <c r="AK25" i="2"/>
  <c r="AL25" i="2"/>
  <c r="AM25" i="2"/>
  <c r="AN25" i="2"/>
  <c r="AO25" i="2"/>
  <c r="AP25" i="2"/>
  <c r="AQ25" i="2"/>
  <c r="AR25" i="2"/>
  <c r="AU25" i="2"/>
  <c r="AV25" i="2"/>
  <c r="AW25" i="2"/>
  <c r="AX25" i="2"/>
  <c r="BY25" i="2"/>
  <c r="BZ25" i="2"/>
  <c r="CB25" i="2"/>
  <c r="CC25" i="2"/>
  <c r="CD25" i="2"/>
  <c r="CE25" i="2"/>
  <c r="CF25" i="2"/>
  <c r="CG25" i="2"/>
  <c r="CH25" i="2"/>
  <c r="CI25" i="2"/>
  <c r="CJ25" i="2"/>
  <c r="CM25" i="2"/>
  <c r="CN25" i="2"/>
  <c r="CO25" i="2"/>
  <c r="DJ25" i="2"/>
  <c r="DK25" i="2"/>
  <c r="DP25" i="2"/>
  <c r="DQ25" i="2"/>
  <c r="DR25" i="2"/>
  <c r="DS25" i="2"/>
  <c r="DT25" i="2"/>
  <c r="DU25" i="2"/>
  <c r="DV25" i="2"/>
  <c r="DX25" i="2"/>
  <c r="DY25" i="2"/>
  <c r="DZ25" i="2"/>
  <c r="EO25" i="2"/>
  <c r="EP25" i="2"/>
  <c r="EQ25" i="2"/>
  <c r="ER25" i="2"/>
  <c r="ES25" i="2"/>
  <c r="ET25" i="2"/>
  <c r="EU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Q26" i="2"/>
  <c r="R26" i="2"/>
  <c r="S26" i="2"/>
  <c r="Z26" i="2"/>
  <c r="AA26" i="2"/>
  <c r="AB26" i="2"/>
  <c r="AC26" i="2"/>
  <c r="AD26" i="2"/>
  <c r="AJ26" i="2"/>
  <c r="AK26" i="2"/>
  <c r="AL26" i="2"/>
  <c r="AM26" i="2"/>
  <c r="AN26" i="2"/>
  <c r="AO26" i="2"/>
  <c r="AP26" i="2"/>
  <c r="AQ26" i="2"/>
  <c r="AR26" i="2"/>
  <c r="AU26" i="2"/>
  <c r="AV26" i="2"/>
  <c r="AW26" i="2"/>
  <c r="AX26" i="2"/>
  <c r="BY26" i="2"/>
  <c r="BZ26" i="2"/>
  <c r="CB26" i="2"/>
  <c r="CC26" i="2"/>
  <c r="CD26" i="2"/>
  <c r="CE26" i="2"/>
  <c r="CF26" i="2"/>
  <c r="CG26" i="2"/>
  <c r="CH26" i="2"/>
  <c r="CI26" i="2"/>
  <c r="CJ26" i="2"/>
  <c r="CM26" i="2"/>
  <c r="CN26" i="2"/>
  <c r="CO26" i="2"/>
  <c r="CQ26" i="2"/>
  <c r="CR26" i="2"/>
  <c r="CS26" i="2"/>
  <c r="DJ26" i="2"/>
  <c r="DK26" i="2"/>
  <c r="DP26" i="2"/>
  <c r="DQ26" i="2"/>
  <c r="DR26" i="2"/>
  <c r="DS26" i="2"/>
  <c r="DT26" i="2"/>
  <c r="DU26" i="2"/>
  <c r="DV26" i="2"/>
  <c r="DX26" i="2"/>
  <c r="DY26" i="2"/>
  <c r="DZ26" i="2"/>
  <c r="EO26" i="2"/>
  <c r="EP26" i="2"/>
  <c r="EQ26" i="2"/>
  <c r="ER26" i="2"/>
  <c r="ES26" i="2"/>
  <c r="ET26" i="2"/>
  <c r="EU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Q27" i="2"/>
  <c r="R27" i="2"/>
  <c r="S27" i="2"/>
  <c r="T27" i="2"/>
  <c r="U27" i="2"/>
  <c r="V27" i="2"/>
  <c r="W27" i="2"/>
  <c r="W27" i="2" a="1"/>
  <c r="X27" i="2"/>
  <c r="X27" i="2" a="1"/>
  <c r="Z27" i="2"/>
  <c r="AA27" i="2"/>
  <c r="AB27" i="2"/>
  <c r="AC27" i="2"/>
  <c r="AD27" i="2"/>
  <c r="AJ27" i="2"/>
  <c r="BY27" i="2"/>
  <c r="BZ27" i="2"/>
  <c r="CB27" i="2"/>
  <c r="CC27" i="2"/>
  <c r="CD27" i="2"/>
  <c r="CE27" i="2"/>
  <c r="CF27" i="2"/>
  <c r="CG27" i="2"/>
  <c r="CH27" i="2"/>
  <c r="CI27" i="2"/>
  <c r="CJ27" i="2"/>
  <c r="CM27" i="2"/>
  <c r="CN27" i="2"/>
  <c r="CO27" i="2"/>
  <c r="DJ27" i="2"/>
  <c r="DK27" i="2"/>
  <c r="DP27" i="2"/>
  <c r="DQ27" i="2"/>
  <c r="DR27" i="2"/>
  <c r="DS27" i="2"/>
  <c r="DT27" i="2"/>
  <c r="DU27" i="2"/>
  <c r="DV27" i="2"/>
  <c r="DX27" i="2"/>
  <c r="DY27" i="2"/>
  <c r="DZ27" i="2"/>
  <c r="EO27" i="2"/>
  <c r="EP27" i="2"/>
  <c r="EQ27" i="2"/>
  <c r="ER27" i="2"/>
  <c r="ES27" i="2"/>
  <c r="ET27" i="2"/>
  <c r="EU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Q28" i="2"/>
  <c r="R28" i="2"/>
  <c r="S28" i="2"/>
  <c r="T28" i="2"/>
  <c r="U28" i="2"/>
  <c r="V28" i="2"/>
  <c r="W28" i="2"/>
  <c r="W28" i="2" a="1"/>
  <c r="X28" i="2"/>
  <c r="X28" i="2" a="1"/>
  <c r="Z28" i="2"/>
  <c r="AA28" i="2"/>
  <c r="AB28" i="2"/>
  <c r="AC28" i="2"/>
  <c r="AD28" i="2"/>
  <c r="AJ28" i="2"/>
  <c r="AK28" i="2"/>
  <c r="AL28" i="2"/>
  <c r="AM28" i="2"/>
  <c r="AN28" i="2"/>
  <c r="AO28" i="2"/>
  <c r="AP28" i="2"/>
  <c r="AQ28" i="2"/>
  <c r="AR28" i="2"/>
  <c r="AU28" i="2"/>
  <c r="AV28" i="2"/>
  <c r="AW28" i="2"/>
  <c r="AX28" i="2"/>
  <c r="BY28" i="2"/>
  <c r="BZ28" i="2"/>
  <c r="CB28" i="2"/>
  <c r="CC28" i="2"/>
  <c r="CD28" i="2"/>
  <c r="CE28" i="2"/>
  <c r="CF28" i="2"/>
  <c r="CG28" i="2"/>
  <c r="CH28" i="2"/>
  <c r="CI28" i="2"/>
  <c r="CJ28" i="2"/>
  <c r="CM28" i="2"/>
  <c r="CN28" i="2"/>
  <c r="CO28" i="2"/>
  <c r="CQ28" i="2"/>
  <c r="CR28" i="2"/>
  <c r="CY28" i="2"/>
  <c r="DJ28" i="2"/>
  <c r="DK28" i="2"/>
  <c r="DP28" i="2"/>
  <c r="DQ28" i="2"/>
  <c r="DR28" i="2"/>
  <c r="DS28" i="2"/>
  <c r="DT28" i="2"/>
  <c r="DU28" i="2"/>
  <c r="DV28" i="2"/>
  <c r="DX28" i="2"/>
  <c r="DY28" i="2"/>
  <c r="DZ28" i="2"/>
  <c r="EO28" i="2"/>
  <c r="EP28" i="2"/>
  <c r="EQ28" i="2"/>
  <c r="ER28" i="2"/>
  <c r="ES28" i="2"/>
  <c r="ET28" i="2"/>
  <c r="EU28" i="2"/>
  <c r="A29" i="2"/>
  <c r="B29" i="2"/>
  <c r="C29" i="2"/>
  <c r="D29" i="2"/>
  <c r="E29" i="2"/>
  <c r="F29" i="2"/>
  <c r="G29" i="2"/>
  <c r="H29" i="2"/>
  <c r="I29" i="2"/>
  <c r="J29" i="2"/>
  <c r="K29" i="2"/>
  <c r="L29" i="2"/>
  <c r="N29" i="2"/>
  <c r="Q29" i="2"/>
  <c r="R29" i="2"/>
  <c r="S29" i="2"/>
  <c r="T29" i="2"/>
  <c r="U29" i="2"/>
  <c r="V29" i="2"/>
  <c r="W29" i="2"/>
  <c r="W29" i="2" a="1"/>
  <c r="X29" i="2"/>
  <c r="X29" i="2" a="1"/>
  <c r="Z29" i="2"/>
  <c r="AA29" i="2"/>
  <c r="AB29" i="2"/>
  <c r="AC29" i="2"/>
  <c r="AD29" i="2"/>
  <c r="AJ29" i="2"/>
  <c r="AU29" i="2"/>
  <c r="AV29" i="2"/>
  <c r="AW29" i="2"/>
  <c r="AX29" i="2"/>
  <c r="BY29" i="2"/>
  <c r="BZ29" i="2"/>
  <c r="CB29" i="2"/>
  <c r="CC29" i="2"/>
  <c r="CD29" i="2"/>
  <c r="CE29" i="2"/>
  <c r="CF29" i="2"/>
  <c r="CG29" i="2"/>
  <c r="CH29" i="2"/>
  <c r="CI29" i="2"/>
  <c r="CJ29" i="2"/>
  <c r="CM29" i="2"/>
  <c r="CN29" i="2"/>
  <c r="CO29" i="2"/>
  <c r="CY29" i="2"/>
  <c r="DJ29" i="2"/>
  <c r="DK29" i="2"/>
  <c r="DP29" i="2"/>
  <c r="DQ29" i="2"/>
  <c r="DR29" i="2"/>
  <c r="DS29" i="2"/>
  <c r="DT29" i="2"/>
  <c r="DU29" i="2"/>
  <c r="DV29" i="2"/>
  <c r="DX29" i="2"/>
  <c r="DY29" i="2"/>
  <c r="DZ29" i="2"/>
  <c r="EO29" i="2"/>
  <c r="EP29" i="2"/>
  <c r="EQ29" i="2"/>
  <c r="ER29" i="2"/>
  <c r="ES29" i="2"/>
  <c r="ET29" i="2"/>
  <c r="EU29" i="2"/>
  <c r="A30" i="2"/>
  <c r="B30" i="2"/>
  <c r="C30" i="2"/>
  <c r="D30" i="2"/>
  <c r="E30" i="2"/>
  <c r="F30" i="2"/>
  <c r="G30" i="2"/>
  <c r="H30" i="2"/>
  <c r="I30" i="2"/>
  <c r="J30" i="2"/>
  <c r="K30" i="2"/>
  <c r="L30" i="2"/>
  <c r="N30" i="2"/>
  <c r="Q30" i="2"/>
  <c r="R30" i="2"/>
  <c r="S30" i="2"/>
  <c r="T30" i="2"/>
  <c r="U30" i="2"/>
  <c r="V30" i="2"/>
  <c r="W30" i="2"/>
  <c r="W30" i="2" a="1"/>
  <c r="X30" i="2"/>
  <c r="X30" i="2" a="1"/>
  <c r="Z30" i="2"/>
  <c r="AA30" i="2"/>
  <c r="AB30" i="2"/>
  <c r="AC30" i="2"/>
  <c r="AD30" i="2"/>
  <c r="AJ30" i="2"/>
  <c r="AK30" i="2"/>
  <c r="AL30" i="2"/>
  <c r="AM30" i="2"/>
  <c r="AN30" i="2"/>
  <c r="AO30" i="2"/>
  <c r="AP30" i="2"/>
  <c r="AQ30" i="2"/>
  <c r="AR30" i="2"/>
  <c r="AU30" i="2"/>
  <c r="AV30" i="2"/>
  <c r="AW30" i="2"/>
  <c r="AX30" i="2"/>
  <c r="BY30" i="2"/>
  <c r="BZ30" i="2"/>
  <c r="CB30" i="2"/>
  <c r="CC30" i="2"/>
  <c r="CD30" i="2"/>
  <c r="CE30" i="2"/>
  <c r="CF30" i="2"/>
  <c r="CG30" i="2"/>
  <c r="CH30" i="2"/>
  <c r="CI30" i="2"/>
  <c r="CJ30" i="2"/>
  <c r="CM30" i="2"/>
  <c r="CN30" i="2"/>
  <c r="CO30" i="2"/>
  <c r="CY30" i="2"/>
  <c r="DJ30" i="2"/>
  <c r="DK30" i="2"/>
  <c r="DP30" i="2"/>
  <c r="DQ30" i="2"/>
  <c r="DR30" i="2"/>
  <c r="DS30" i="2"/>
  <c r="DT30" i="2"/>
  <c r="DU30" i="2"/>
  <c r="DV30" i="2"/>
  <c r="DX30" i="2"/>
  <c r="DY30" i="2"/>
  <c r="DZ30" i="2"/>
  <c r="EO30" i="2"/>
  <c r="EP30" i="2"/>
  <c r="EQ30" i="2"/>
  <c r="ER30" i="2"/>
  <c r="ES30" i="2"/>
  <c r="ET30" i="2"/>
  <c r="EU30" i="2"/>
  <c r="A31" i="2"/>
  <c r="B31" i="2"/>
  <c r="C31" i="2"/>
  <c r="D31" i="2"/>
  <c r="E31" i="2"/>
  <c r="F31" i="2"/>
  <c r="G31" i="2"/>
  <c r="H31" i="2"/>
  <c r="I31" i="2"/>
  <c r="J31" i="2"/>
  <c r="K31" i="2"/>
  <c r="L31" i="2"/>
  <c r="N31" i="2"/>
  <c r="Q31" i="2"/>
  <c r="R31" i="2"/>
  <c r="S31" i="2"/>
  <c r="T31" i="2"/>
  <c r="U31" i="2"/>
  <c r="V31" i="2"/>
  <c r="W31" i="2"/>
  <c r="W31" i="2" a="1"/>
  <c r="X31" i="2"/>
  <c r="X31" i="2" a="1"/>
  <c r="Z31" i="2"/>
  <c r="AA31" i="2"/>
  <c r="AB31" i="2"/>
  <c r="AC31" i="2"/>
  <c r="AD31" i="2"/>
  <c r="AJ31" i="2"/>
  <c r="AU31" i="2"/>
  <c r="AV31" i="2"/>
  <c r="AW31" i="2"/>
  <c r="AX31" i="2"/>
  <c r="BY31" i="2"/>
  <c r="BZ31" i="2"/>
  <c r="CB31" i="2"/>
  <c r="CC31" i="2"/>
  <c r="CD31" i="2"/>
  <c r="CE31" i="2"/>
  <c r="CF31" i="2"/>
  <c r="CG31" i="2"/>
  <c r="CH31" i="2"/>
  <c r="CI31" i="2"/>
  <c r="CJ31" i="2"/>
  <c r="CM31" i="2"/>
  <c r="CN31" i="2"/>
  <c r="CO31" i="2"/>
  <c r="CY31" i="2"/>
  <c r="DJ31" i="2"/>
  <c r="DK31" i="2"/>
  <c r="DP31" i="2"/>
  <c r="DQ31" i="2"/>
  <c r="DR31" i="2"/>
  <c r="DS31" i="2"/>
  <c r="DT31" i="2"/>
  <c r="DU31" i="2"/>
  <c r="DV31" i="2"/>
  <c r="DX31" i="2"/>
  <c r="DY31" i="2"/>
  <c r="DZ31" i="2"/>
  <c r="EO31" i="2"/>
  <c r="EP31" i="2"/>
  <c r="EQ31" i="2"/>
  <c r="ER31" i="2"/>
  <c r="ES31" i="2"/>
  <c r="ET31" i="2"/>
  <c r="EU31" i="2"/>
  <c r="A32" i="2"/>
  <c r="B32" i="2"/>
  <c r="C32" i="2"/>
  <c r="D32" i="2"/>
  <c r="E32" i="2"/>
  <c r="F32" i="2"/>
  <c r="G32" i="2"/>
  <c r="H32" i="2"/>
  <c r="I32" i="2"/>
  <c r="J32" i="2"/>
  <c r="K32" i="2"/>
  <c r="L32" i="2"/>
  <c r="N32" i="2"/>
  <c r="Q32" i="2"/>
  <c r="R32" i="2"/>
  <c r="S32" i="2"/>
  <c r="T32" i="2"/>
  <c r="U32" i="2"/>
  <c r="V32" i="2"/>
  <c r="W32" i="2"/>
  <c r="W32" i="2" a="1"/>
  <c r="X32" i="2"/>
  <c r="X32" i="2" a="1"/>
  <c r="Z32" i="2"/>
  <c r="AA32" i="2"/>
  <c r="AB32" i="2"/>
  <c r="AC32" i="2"/>
  <c r="AD32" i="2"/>
  <c r="AJ32" i="2"/>
  <c r="AU32" i="2"/>
  <c r="AV32" i="2"/>
  <c r="AW32" i="2"/>
  <c r="AX32" i="2"/>
  <c r="BY32" i="2"/>
  <c r="BZ32" i="2"/>
  <c r="CB32" i="2"/>
  <c r="CC32" i="2"/>
  <c r="CD32" i="2"/>
  <c r="CE32" i="2"/>
  <c r="CF32" i="2"/>
  <c r="CG32" i="2"/>
  <c r="CH32" i="2"/>
  <c r="CI32" i="2"/>
  <c r="CJ32" i="2"/>
  <c r="CM32" i="2"/>
  <c r="CN32" i="2"/>
  <c r="CO32" i="2"/>
  <c r="CY32" i="2"/>
  <c r="DJ32" i="2"/>
  <c r="DK32" i="2"/>
  <c r="DP32" i="2"/>
  <c r="DQ32" i="2"/>
  <c r="DR32" i="2"/>
  <c r="DS32" i="2"/>
  <c r="DT32" i="2"/>
  <c r="DU32" i="2"/>
  <c r="DV32" i="2"/>
  <c r="DX32" i="2"/>
  <c r="DY32" i="2"/>
  <c r="DZ32" i="2"/>
  <c r="EO32" i="2"/>
  <c r="EP32" i="2"/>
  <c r="EQ32" i="2"/>
  <c r="ER32" i="2"/>
  <c r="ES32" i="2"/>
  <c r="ET32" i="2"/>
  <c r="EU32" i="2"/>
  <c r="A33" i="2"/>
  <c r="B33" i="2"/>
  <c r="C33" i="2"/>
  <c r="D33" i="2"/>
  <c r="E33" i="2"/>
  <c r="F33" i="2"/>
  <c r="G33" i="2"/>
  <c r="H33" i="2"/>
  <c r="I33" i="2"/>
  <c r="J33" i="2"/>
  <c r="K33" i="2"/>
  <c r="L33" i="2"/>
  <c r="N33" i="2"/>
  <c r="Q33" i="2"/>
  <c r="R33" i="2"/>
  <c r="S33" i="2"/>
  <c r="T33" i="2"/>
  <c r="U33" i="2"/>
  <c r="V33" i="2"/>
  <c r="W33" i="2"/>
  <c r="W33" i="2" a="1"/>
  <c r="X33" i="2"/>
  <c r="X33" i="2" a="1"/>
  <c r="Z33" i="2"/>
  <c r="AA33" i="2"/>
  <c r="AB33" i="2"/>
  <c r="AC33" i="2"/>
  <c r="AD33" i="2"/>
  <c r="AJ33" i="2"/>
  <c r="AU33" i="2"/>
  <c r="AV33" i="2"/>
  <c r="AW33" i="2"/>
  <c r="AX33" i="2"/>
  <c r="BY33" i="2"/>
  <c r="BZ33" i="2"/>
  <c r="CB33" i="2"/>
  <c r="CC33" i="2"/>
  <c r="CD33" i="2"/>
  <c r="CE33" i="2"/>
  <c r="CF33" i="2"/>
  <c r="CG33" i="2"/>
  <c r="CH33" i="2"/>
  <c r="CI33" i="2"/>
  <c r="CJ33" i="2"/>
  <c r="CM33" i="2"/>
  <c r="CY33" i="2"/>
  <c r="DJ33" i="2"/>
  <c r="DK33" i="2"/>
  <c r="DP33" i="2"/>
  <c r="DQ33" i="2"/>
  <c r="DR33" i="2"/>
  <c r="DS33" i="2"/>
  <c r="DT33" i="2"/>
  <c r="DU33" i="2"/>
  <c r="DV33" i="2"/>
  <c r="DX33" i="2"/>
  <c r="DY33" i="2"/>
  <c r="DZ33" i="2"/>
  <c r="EO33" i="2"/>
  <c r="EP33" i="2"/>
  <c r="EQ33" i="2"/>
  <c r="ER33" i="2"/>
  <c r="ES33" i="2"/>
  <c r="ET33" i="2"/>
  <c r="EU33" i="2"/>
  <c r="A34" i="2"/>
  <c r="B34" i="2"/>
  <c r="C34" i="2"/>
  <c r="D34" i="2"/>
  <c r="E34" i="2"/>
  <c r="F34" i="2"/>
  <c r="G34" i="2"/>
  <c r="H34" i="2"/>
  <c r="I34" i="2"/>
  <c r="J34" i="2"/>
  <c r="K34" i="2"/>
  <c r="L34" i="2"/>
  <c r="N34" i="2"/>
  <c r="Q34" i="2"/>
  <c r="R34" i="2"/>
  <c r="S34" i="2"/>
  <c r="T34" i="2"/>
  <c r="U34" i="2"/>
  <c r="V34" i="2"/>
  <c r="W34" i="2"/>
  <c r="W34" i="2" a="1"/>
  <c r="X34" i="2"/>
  <c r="X34" i="2" a="1"/>
  <c r="Z34" i="2"/>
  <c r="AA34" i="2"/>
  <c r="AB34" i="2"/>
  <c r="AC34" i="2"/>
  <c r="AD34" i="2"/>
  <c r="AJ34" i="2"/>
  <c r="AK34" i="2"/>
  <c r="AL34" i="2"/>
  <c r="AM34" i="2"/>
  <c r="AN34" i="2"/>
  <c r="AO34" i="2"/>
  <c r="AP34" i="2"/>
  <c r="AQ34" i="2"/>
  <c r="AR34" i="2"/>
  <c r="AU34" i="2"/>
  <c r="AV34" i="2"/>
  <c r="AW34" i="2"/>
  <c r="AX34" i="2"/>
  <c r="BY34" i="2"/>
  <c r="BZ34" i="2"/>
  <c r="CB34" i="2"/>
  <c r="CC34" i="2"/>
  <c r="CD34" i="2"/>
  <c r="CE34" i="2"/>
  <c r="CF34" i="2"/>
  <c r="CG34" i="2"/>
  <c r="CH34" i="2"/>
  <c r="CI34" i="2"/>
  <c r="CJ34" i="2"/>
  <c r="CM34" i="2"/>
  <c r="CY34" i="2"/>
  <c r="DJ34" i="2"/>
  <c r="DK34" i="2"/>
  <c r="DP34" i="2"/>
  <c r="DQ34" i="2"/>
  <c r="DR34" i="2"/>
  <c r="DS34" i="2"/>
  <c r="DT34" i="2"/>
  <c r="DU34" i="2"/>
  <c r="DV34" i="2"/>
  <c r="DX34" i="2"/>
  <c r="DY34" i="2"/>
  <c r="DZ34" i="2"/>
  <c r="EO34" i="2"/>
  <c r="EP34" i="2"/>
  <c r="EQ34" i="2"/>
  <c r="ER34" i="2"/>
  <c r="ES34" i="2"/>
  <c r="ET34" i="2"/>
  <c r="EU34" i="2"/>
  <c r="A35" i="2"/>
  <c r="B35" i="2"/>
  <c r="C35" i="2"/>
  <c r="D35" i="2"/>
  <c r="E35" i="2"/>
  <c r="F35" i="2"/>
  <c r="G35" i="2"/>
  <c r="H35" i="2"/>
  <c r="I35" i="2"/>
  <c r="J35" i="2"/>
  <c r="K35" i="2"/>
  <c r="L35" i="2"/>
  <c r="N35" i="2"/>
  <c r="Q35" i="2"/>
  <c r="R35" i="2"/>
  <c r="S35" i="2"/>
  <c r="T35" i="2"/>
  <c r="V35" i="2"/>
  <c r="W35" i="2"/>
  <c r="W35" i="2" a="1"/>
  <c r="X35" i="2"/>
  <c r="X35" i="2" a="1"/>
  <c r="Z35" i="2"/>
  <c r="AA35" i="2"/>
  <c r="AB35" i="2"/>
  <c r="AC35" i="2"/>
  <c r="AD35" i="2"/>
  <c r="AJ35" i="2"/>
  <c r="AU35" i="2"/>
  <c r="AV35" i="2"/>
  <c r="AW35" i="2"/>
  <c r="AX35" i="2"/>
  <c r="BY35" i="2"/>
  <c r="BZ35" i="2"/>
  <c r="CB35" i="2"/>
  <c r="CC35" i="2"/>
  <c r="CD35" i="2"/>
  <c r="CE35" i="2"/>
  <c r="CF35" i="2"/>
  <c r="CG35" i="2"/>
  <c r="CH35" i="2"/>
  <c r="CI35" i="2"/>
  <c r="CJ35" i="2"/>
  <c r="CM35" i="2"/>
  <c r="CY35" i="2"/>
  <c r="DJ35" i="2"/>
  <c r="DK35" i="2"/>
  <c r="DP35" i="2"/>
  <c r="DQ35" i="2"/>
  <c r="DR35" i="2"/>
  <c r="DS35" i="2"/>
  <c r="DT35" i="2"/>
  <c r="DU35" i="2"/>
  <c r="DV35" i="2"/>
  <c r="DX35" i="2"/>
  <c r="DY35" i="2"/>
  <c r="DZ35" i="2"/>
  <c r="EO35" i="2"/>
  <c r="EP35" i="2"/>
  <c r="EQ35" i="2"/>
  <c r="ER35" i="2"/>
  <c r="ES35" i="2"/>
  <c r="ET35" i="2"/>
  <c r="EU35" i="2"/>
  <c r="A36" i="2"/>
  <c r="B36" i="2"/>
  <c r="C36" i="2"/>
  <c r="D36" i="2"/>
  <c r="E36" i="2"/>
  <c r="F36" i="2"/>
  <c r="G36" i="2"/>
  <c r="H36" i="2"/>
  <c r="I36" i="2"/>
  <c r="J36" i="2"/>
  <c r="K36" i="2"/>
  <c r="L36" i="2"/>
  <c r="N36" i="2"/>
  <c r="Q36" i="2"/>
  <c r="R36" i="2"/>
  <c r="S36" i="2"/>
  <c r="T36" i="2"/>
  <c r="V36" i="2"/>
  <c r="W36" i="2"/>
  <c r="W36" i="2" a="1"/>
  <c r="X36" i="2"/>
  <c r="X36" i="2" a="1"/>
  <c r="Z36" i="2"/>
  <c r="AA36" i="2"/>
  <c r="AB36" i="2"/>
  <c r="AC36" i="2"/>
  <c r="AD36" i="2"/>
  <c r="AJ36" i="2"/>
  <c r="AU36" i="2"/>
  <c r="AV36" i="2"/>
  <c r="AW36" i="2"/>
  <c r="AX36" i="2"/>
  <c r="BY36" i="2"/>
  <c r="BZ36" i="2"/>
  <c r="CB36" i="2"/>
  <c r="CC36" i="2"/>
  <c r="CD36" i="2"/>
  <c r="CE36" i="2"/>
  <c r="CF36" i="2"/>
  <c r="CG36" i="2"/>
  <c r="CH36" i="2"/>
  <c r="CI36" i="2"/>
  <c r="CJ36" i="2"/>
  <c r="CM36" i="2"/>
  <c r="CY36" i="2"/>
  <c r="DJ36" i="2"/>
  <c r="DK36" i="2"/>
  <c r="DP36" i="2"/>
  <c r="DQ36" i="2"/>
  <c r="DR36" i="2"/>
  <c r="DS36" i="2"/>
  <c r="DT36" i="2"/>
  <c r="DU36" i="2"/>
  <c r="DV36" i="2"/>
  <c r="DX36" i="2"/>
  <c r="DY36" i="2"/>
  <c r="DZ36" i="2"/>
  <c r="EO36" i="2"/>
  <c r="EP36" i="2"/>
  <c r="EQ36" i="2"/>
  <c r="ER36" i="2"/>
  <c r="A37" i="2"/>
  <c r="B37" i="2"/>
  <c r="C37" i="2"/>
  <c r="D37" i="2"/>
  <c r="E37" i="2"/>
  <c r="F37" i="2"/>
  <c r="G37" i="2"/>
  <c r="H37" i="2"/>
  <c r="I37" i="2"/>
  <c r="J37" i="2"/>
  <c r="K37" i="2"/>
  <c r="L37" i="2"/>
  <c r="N37" i="2"/>
  <c r="Q37" i="2"/>
  <c r="R37" i="2"/>
  <c r="S37" i="2"/>
  <c r="T37" i="2"/>
  <c r="V37" i="2"/>
  <c r="W37" i="2"/>
  <c r="W37" i="2" a="1"/>
  <c r="X37" i="2"/>
  <c r="X37" i="2" a="1"/>
  <c r="Z37" i="2"/>
  <c r="AA37" i="2"/>
  <c r="AB37" i="2"/>
  <c r="AC37" i="2"/>
  <c r="AD37" i="2"/>
  <c r="AJ37" i="2"/>
  <c r="AK37" i="2"/>
  <c r="AL37" i="2"/>
  <c r="AM37" i="2"/>
  <c r="AN37" i="2"/>
  <c r="AO37" i="2"/>
  <c r="AP37" i="2"/>
  <c r="AQ37" i="2"/>
  <c r="AR37" i="2"/>
  <c r="AU37" i="2"/>
  <c r="AV37" i="2"/>
  <c r="AW37" i="2"/>
  <c r="AX37" i="2"/>
  <c r="BY37" i="2"/>
  <c r="BZ37" i="2"/>
  <c r="CB37" i="2"/>
  <c r="CC37" i="2"/>
  <c r="CD37" i="2"/>
  <c r="CE37" i="2"/>
  <c r="CF37" i="2"/>
  <c r="CG37" i="2"/>
  <c r="CH37" i="2"/>
  <c r="CI37" i="2"/>
  <c r="CJ37" i="2"/>
  <c r="CM37" i="2"/>
  <c r="CY37" i="2"/>
  <c r="DJ37" i="2"/>
  <c r="DK37" i="2"/>
  <c r="DP37" i="2"/>
  <c r="DQ37" i="2"/>
  <c r="DR37" i="2"/>
  <c r="DS37" i="2"/>
  <c r="DT37" i="2"/>
  <c r="DU37" i="2"/>
  <c r="DV37" i="2"/>
  <c r="DX37" i="2"/>
  <c r="DY37" i="2"/>
  <c r="DZ37" i="2"/>
  <c r="EO37" i="2"/>
  <c r="EP37" i="2"/>
  <c r="EQ37" i="2"/>
  <c r="ER37" i="2"/>
  <c r="A38" i="2"/>
  <c r="B38" i="2"/>
  <c r="C38" i="2"/>
  <c r="D38" i="2"/>
  <c r="E38" i="2"/>
  <c r="F38" i="2"/>
  <c r="G38" i="2"/>
  <c r="H38" i="2"/>
  <c r="I38" i="2"/>
  <c r="J38" i="2"/>
  <c r="K38" i="2"/>
  <c r="L38" i="2"/>
  <c r="N38" i="2"/>
  <c r="Q38" i="2"/>
  <c r="R38" i="2"/>
  <c r="S38" i="2"/>
  <c r="W38" i="2"/>
  <c r="X38" i="2"/>
  <c r="Z38" i="2"/>
  <c r="AA38" i="2"/>
  <c r="AB38" i="2"/>
  <c r="AC38" i="2"/>
  <c r="AD38" i="2"/>
  <c r="AG38" i="2"/>
  <c r="AH38" i="2"/>
  <c r="AJ38" i="2"/>
  <c r="AK38" i="2"/>
  <c r="AL38" i="2"/>
  <c r="AM38" i="2"/>
  <c r="AN38" i="2"/>
  <c r="AO38" i="2"/>
  <c r="AP38" i="2"/>
  <c r="AQ38" i="2"/>
  <c r="AR38" i="2"/>
  <c r="AU38" i="2"/>
  <c r="AV38" i="2"/>
  <c r="AW38" i="2"/>
  <c r="AX38" i="2"/>
  <c r="BY38" i="2"/>
  <c r="BZ38" i="2"/>
  <c r="CB38" i="2"/>
  <c r="CC38" i="2"/>
  <c r="CD38" i="2"/>
  <c r="CE38" i="2"/>
  <c r="CF38" i="2"/>
  <c r="CG38" i="2"/>
  <c r="CH38" i="2"/>
  <c r="CI38" i="2"/>
  <c r="CJ38" i="2"/>
  <c r="CM38" i="2"/>
  <c r="DJ38" i="2"/>
  <c r="DK38" i="2"/>
  <c r="DP38" i="2"/>
  <c r="DQ38" i="2"/>
  <c r="DR38" i="2"/>
  <c r="DS38" i="2"/>
  <c r="DT38" i="2"/>
  <c r="DU38" i="2"/>
  <c r="DV38" i="2"/>
  <c r="DX38" i="2"/>
  <c r="DY38" i="2"/>
  <c r="DZ38" i="2"/>
  <c r="EO38" i="2"/>
  <c r="EP38" i="2"/>
  <c r="EQ38" i="2"/>
  <c r="ER38" i="2"/>
  <c r="A39" i="2"/>
  <c r="B39" i="2"/>
  <c r="C39" i="2"/>
  <c r="D39" i="2"/>
  <c r="E39" i="2"/>
  <c r="F39" i="2"/>
  <c r="G39" i="2"/>
  <c r="H39" i="2"/>
  <c r="I39" i="2"/>
  <c r="J39" i="2"/>
  <c r="K39" i="2"/>
  <c r="L39" i="2"/>
  <c r="N39" i="2"/>
  <c r="Q39" i="2"/>
  <c r="R39" i="2"/>
  <c r="S39" i="2"/>
  <c r="AD39" i="2"/>
  <c r="AJ39" i="2"/>
  <c r="BY39" i="2"/>
  <c r="BZ39" i="2"/>
  <c r="CB39" i="2"/>
  <c r="CC39" i="2"/>
  <c r="CD39" i="2"/>
  <c r="CE39" i="2"/>
  <c r="CF39" i="2"/>
  <c r="CG39" i="2"/>
  <c r="CH39" i="2"/>
  <c r="CI39" i="2"/>
  <c r="CJ39" i="2"/>
  <c r="CM39" i="2"/>
  <c r="DJ39" i="2"/>
  <c r="DK39" i="2"/>
  <c r="DP39" i="2"/>
  <c r="DQ39" i="2"/>
  <c r="DR39" i="2"/>
  <c r="DS39" i="2"/>
  <c r="DT39" i="2"/>
  <c r="DU39" i="2"/>
  <c r="DV39" i="2"/>
  <c r="DX39" i="2"/>
  <c r="DY39" i="2"/>
  <c r="DZ39" i="2"/>
  <c r="A40" i="2"/>
  <c r="B40" i="2"/>
  <c r="C40" i="2"/>
  <c r="D40" i="2"/>
  <c r="E40" i="2"/>
  <c r="F40" i="2"/>
  <c r="G40" i="2"/>
  <c r="H40" i="2"/>
  <c r="I40" i="2"/>
  <c r="J40" i="2"/>
  <c r="K40" i="2"/>
  <c r="L40" i="2"/>
  <c r="N40" i="2"/>
  <c r="Q40" i="2"/>
  <c r="R40" i="2"/>
  <c r="S40" i="2"/>
  <c r="AJ40" i="2"/>
  <c r="BY40" i="2"/>
  <c r="BZ40" i="2"/>
  <c r="CB40" i="2"/>
  <c r="CC40" i="2"/>
  <c r="CD40" i="2"/>
  <c r="CE40" i="2"/>
  <c r="CF40" i="2"/>
  <c r="CG40" i="2"/>
  <c r="CH40" i="2"/>
  <c r="CI40" i="2"/>
  <c r="CJ40" i="2"/>
  <c r="CM40" i="2"/>
  <c r="DJ40" i="2"/>
  <c r="DK40" i="2"/>
  <c r="DP40" i="2"/>
  <c r="DQ40" i="2"/>
  <c r="DR40" i="2"/>
  <c r="DS40" i="2"/>
  <c r="DT40" i="2"/>
  <c r="DU40" i="2"/>
  <c r="DV40" i="2"/>
  <c r="DX40" i="2"/>
  <c r="DY40" i="2"/>
  <c r="DZ40" i="2"/>
  <c r="A41" i="2"/>
  <c r="B41" i="2"/>
  <c r="C41" i="2"/>
  <c r="D41" i="2"/>
  <c r="E41" i="2"/>
  <c r="F41" i="2"/>
  <c r="G41" i="2"/>
  <c r="H41" i="2"/>
  <c r="I41" i="2"/>
  <c r="J41" i="2"/>
  <c r="K41" i="2"/>
  <c r="L41" i="2"/>
  <c r="N41" i="2"/>
  <c r="Q41" i="2"/>
  <c r="R41" i="2"/>
  <c r="S41" i="2"/>
  <c r="AJ41" i="2"/>
  <c r="BY41" i="2"/>
  <c r="BZ41" i="2"/>
  <c r="CB41" i="2"/>
  <c r="CC41" i="2"/>
  <c r="CD41" i="2"/>
  <c r="CE41" i="2"/>
  <c r="CF41" i="2"/>
  <c r="CG41" i="2"/>
  <c r="CH41" i="2"/>
  <c r="CI41" i="2"/>
  <c r="CJ41" i="2"/>
  <c r="CM41" i="2"/>
  <c r="DJ41" i="2"/>
  <c r="DK41" i="2"/>
  <c r="DP41" i="2"/>
  <c r="DQ41" i="2"/>
  <c r="DR41" i="2"/>
  <c r="DS41" i="2"/>
  <c r="DT41" i="2"/>
  <c r="DU41" i="2"/>
  <c r="DV41" i="2"/>
  <c r="DX41" i="2"/>
  <c r="DY41" i="2"/>
  <c r="DZ41" i="2"/>
  <c r="A42" i="2"/>
  <c r="B42" i="2"/>
  <c r="C42" i="2"/>
  <c r="D42" i="2"/>
  <c r="E42" i="2"/>
  <c r="F42" i="2"/>
  <c r="G42" i="2"/>
  <c r="H42" i="2"/>
  <c r="I42" i="2"/>
  <c r="J42" i="2"/>
  <c r="K42" i="2"/>
  <c r="L42" i="2"/>
  <c r="N42" i="2"/>
  <c r="Q42" i="2"/>
  <c r="R42" i="2"/>
  <c r="S42" i="2"/>
  <c r="AG42" i="2"/>
  <c r="AH42" i="2"/>
  <c r="AJ42" i="2"/>
  <c r="BY42" i="2"/>
  <c r="BZ42" i="2"/>
  <c r="CB42" i="2"/>
  <c r="CC42" i="2"/>
  <c r="CD42" i="2"/>
  <c r="CE42" i="2"/>
  <c r="CF42" i="2"/>
  <c r="CG42" i="2"/>
  <c r="CH42" i="2"/>
  <c r="CI42" i="2"/>
  <c r="CJ42" i="2"/>
  <c r="CM42" i="2"/>
  <c r="DJ42" i="2"/>
  <c r="DK42" i="2"/>
  <c r="DP42" i="2"/>
  <c r="DQ42" i="2"/>
  <c r="DR42" i="2"/>
  <c r="DS42" i="2"/>
  <c r="DT42" i="2"/>
  <c r="DU42" i="2"/>
  <c r="DV42" i="2"/>
  <c r="DX42" i="2"/>
  <c r="DY42" i="2"/>
  <c r="DZ42" i="2"/>
  <c r="A43" i="2"/>
  <c r="B43" i="2"/>
  <c r="C43" i="2"/>
  <c r="D43" i="2"/>
  <c r="E43" i="2"/>
  <c r="F43" i="2"/>
  <c r="G43" i="2"/>
  <c r="H43" i="2"/>
  <c r="I43" i="2"/>
  <c r="J43" i="2"/>
  <c r="K43" i="2"/>
  <c r="L43" i="2"/>
  <c r="N43" i="2"/>
  <c r="Q43" i="2"/>
  <c r="R43" i="2"/>
  <c r="S43" i="2"/>
  <c r="AJ43" i="2"/>
  <c r="BY43" i="2"/>
  <c r="BZ43" i="2"/>
  <c r="CB43" i="2"/>
  <c r="CC43" i="2"/>
  <c r="CD43" i="2"/>
  <c r="CE43" i="2"/>
  <c r="CF43" i="2"/>
  <c r="CG43" i="2"/>
  <c r="CH43" i="2"/>
  <c r="CI43" i="2"/>
  <c r="CJ43" i="2"/>
  <c r="CM43" i="2"/>
  <c r="DJ43" i="2"/>
  <c r="DK43" i="2"/>
  <c r="DP43" i="2"/>
  <c r="DQ43" i="2"/>
  <c r="DR43" i="2"/>
  <c r="DS43" i="2"/>
  <c r="DT43" i="2"/>
  <c r="DU43" i="2"/>
  <c r="DV43" i="2"/>
  <c r="DX43" i="2"/>
  <c r="DY43" i="2"/>
  <c r="DZ43" i="2"/>
  <c r="A44" i="2"/>
  <c r="B44" i="2"/>
  <c r="C44" i="2"/>
  <c r="D44" i="2"/>
  <c r="E44" i="2"/>
  <c r="F44" i="2"/>
  <c r="G44" i="2"/>
  <c r="H44" i="2"/>
  <c r="I44" i="2"/>
  <c r="J44" i="2"/>
  <c r="K44" i="2"/>
  <c r="L44" i="2"/>
  <c r="N44" i="2"/>
  <c r="Q44" i="2"/>
  <c r="R44" i="2"/>
  <c r="S44" i="2"/>
  <c r="AJ44" i="2"/>
  <c r="BY44" i="2"/>
  <c r="BZ44" i="2"/>
  <c r="CB44" i="2"/>
  <c r="CC44" i="2"/>
  <c r="CD44" i="2"/>
  <c r="CE44" i="2"/>
  <c r="CF44" i="2"/>
  <c r="CG44" i="2"/>
  <c r="CH44" i="2"/>
  <c r="CI44" i="2"/>
  <c r="CJ44" i="2"/>
  <c r="CM44" i="2"/>
  <c r="DJ44" i="2"/>
  <c r="DK44" i="2"/>
  <c r="DP44" i="2"/>
  <c r="DQ44" i="2"/>
  <c r="DR44" i="2"/>
  <c r="DS44" i="2"/>
  <c r="DT44" i="2"/>
  <c r="DU44" i="2"/>
  <c r="DV44" i="2"/>
  <c r="DX44" i="2"/>
  <c r="DY44" i="2"/>
  <c r="DZ44" i="2"/>
  <c r="A45" i="2"/>
  <c r="B45" i="2"/>
  <c r="C45" i="2"/>
  <c r="D45" i="2"/>
  <c r="E45" i="2"/>
  <c r="F45" i="2"/>
  <c r="G45" i="2"/>
  <c r="H45" i="2"/>
  <c r="I45" i="2"/>
  <c r="J45" i="2"/>
  <c r="K45" i="2"/>
  <c r="L45" i="2"/>
  <c r="N45" i="2"/>
  <c r="Q45" i="2"/>
  <c r="R45" i="2"/>
  <c r="S45" i="2"/>
  <c r="AJ45" i="2"/>
  <c r="BY45" i="2"/>
  <c r="BZ45" i="2"/>
  <c r="CB45" i="2"/>
  <c r="CC45" i="2"/>
  <c r="CD45" i="2"/>
  <c r="CE45" i="2"/>
  <c r="CF45" i="2"/>
  <c r="CG45" i="2"/>
  <c r="CH45" i="2"/>
  <c r="CI45" i="2"/>
  <c r="CJ45" i="2"/>
  <c r="CM45" i="2"/>
  <c r="DJ45" i="2"/>
  <c r="DK45" i="2"/>
  <c r="DP45" i="2"/>
  <c r="DQ45" i="2"/>
  <c r="DR45" i="2"/>
  <c r="DS45" i="2"/>
  <c r="DT45" i="2"/>
  <c r="DU45" i="2"/>
  <c r="DV45" i="2"/>
  <c r="DX45" i="2"/>
  <c r="DY45" i="2"/>
  <c r="DZ45" i="2"/>
  <c r="A46" i="2"/>
  <c r="B46" i="2"/>
  <c r="C46" i="2"/>
  <c r="D46" i="2"/>
  <c r="E46" i="2"/>
  <c r="F46" i="2"/>
  <c r="G46" i="2"/>
  <c r="H46" i="2"/>
  <c r="I46" i="2"/>
  <c r="J46" i="2"/>
  <c r="K46" i="2"/>
  <c r="L46" i="2"/>
  <c r="N46" i="2"/>
  <c r="Q46" i="2"/>
  <c r="R46" i="2"/>
  <c r="S46" i="2"/>
  <c r="AJ46" i="2"/>
  <c r="BY46" i="2"/>
  <c r="BZ46" i="2"/>
  <c r="CB46" i="2"/>
  <c r="CC46" i="2"/>
  <c r="CD46" i="2"/>
  <c r="CE46" i="2"/>
  <c r="CF46" i="2"/>
  <c r="CG46" i="2"/>
  <c r="CH46" i="2"/>
  <c r="CI46" i="2"/>
  <c r="CJ46" i="2"/>
  <c r="CM46" i="2"/>
  <c r="DJ46" i="2"/>
  <c r="DK46" i="2"/>
  <c r="DP46" i="2"/>
  <c r="DQ46" i="2"/>
  <c r="DR46" i="2"/>
  <c r="DS46" i="2"/>
  <c r="DT46" i="2"/>
  <c r="DU46" i="2"/>
  <c r="DV46" i="2"/>
  <c r="DX46" i="2"/>
  <c r="DY46" i="2"/>
  <c r="DZ46" i="2"/>
  <c r="A47" i="2"/>
  <c r="B47" i="2"/>
  <c r="C47" i="2"/>
  <c r="D47" i="2"/>
  <c r="E47" i="2"/>
  <c r="F47" i="2"/>
  <c r="G47" i="2"/>
  <c r="H47" i="2"/>
  <c r="I47" i="2"/>
  <c r="J47" i="2"/>
  <c r="K47" i="2"/>
  <c r="L47" i="2"/>
  <c r="N47" i="2"/>
  <c r="Q47" i="2"/>
  <c r="R47" i="2"/>
  <c r="S47" i="2"/>
  <c r="AJ47" i="2"/>
  <c r="BY47" i="2"/>
  <c r="BZ47" i="2"/>
  <c r="CB47" i="2"/>
  <c r="CC47" i="2"/>
  <c r="CD47" i="2"/>
  <c r="CE47" i="2"/>
  <c r="CF47" i="2"/>
  <c r="CG47" i="2"/>
  <c r="CH47" i="2"/>
  <c r="CI47" i="2"/>
  <c r="CJ47" i="2"/>
  <c r="CM47" i="2"/>
  <c r="DJ47" i="2"/>
  <c r="DK47" i="2"/>
  <c r="DP47" i="2"/>
  <c r="DQ47" i="2"/>
  <c r="DR47" i="2"/>
  <c r="DS47" i="2"/>
  <c r="DT47" i="2"/>
  <c r="DU47" i="2"/>
  <c r="DV47" i="2"/>
  <c r="DX47" i="2"/>
  <c r="DY47" i="2"/>
  <c r="DZ47" i="2"/>
  <c r="A48" i="2"/>
  <c r="B48" i="2"/>
  <c r="C48" i="2"/>
  <c r="D48" i="2"/>
  <c r="E48" i="2"/>
  <c r="F48" i="2"/>
  <c r="G48" i="2"/>
  <c r="H48" i="2"/>
  <c r="I48" i="2"/>
  <c r="J48" i="2"/>
  <c r="K48" i="2"/>
  <c r="L48" i="2"/>
  <c r="AJ48" i="2"/>
  <c r="BY48" i="2"/>
  <c r="BZ48" i="2"/>
  <c r="CB48" i="2"/>
  <c r="CC48" i="2"/>
  <c r="CD48" i="2"/>
  <c r="CD48" i="2" a="1"/>
  <c r="CE48" i="2"/>
  <c r="CF48" i="2"/>
  <c r="CG48" i="2"/>
  <c r="CH48" i="2"/>
  <c r="CI48" i="2"/>
  <c r="CJ48" i="2"/>
  <c r="CM48" i="2"/>
  <c r="DJ48" i="2"/>
  <c r="DK48" i="2"/>
  <c r="DP48" i="2"/>
  <c r="DQ48" i="2"/>
  <c r="DR48" i="2"/>
  <c r="DS48" i="2"/>
  <c r="DT48" i="2"/>
  <c r="DU48" i="2"/>
  <c r="DV48" i="2"/>
  <c r="DX48" i="2"/>
  <c r="DY48" i="2"/>
  <c r="DZ48" i="2"/>
  <c r="A49" i="2"/>
  <c r="B49" i="2"/>
  <c r="C49" i="2"/>
  <c r="D49" i="2"/>
  <c r="E49" i="2"/>
  <c r="F49" i="2"/>
  <c r="G49" i="2"/>
  <c r="H49" i="2"/>
  <c r="I49" i="2"/>
  <c r="J49" i="2"/>
  <c r="K49" i="2"/>
  <c r="L49" i="2"/>
  <c r="AJ49" i="2"/>
  <c r="BY49" i="2"/>
  <c r="BZ49" i="2"/>
  <c r="CB49" i="2"/>
  <c r="CC49" i="2"/>
  <c r="CD49" i="2"/>
  <c r="CD49" i="2" a="1"/>
  <c r="CE49" i="2"/>
  <c r="CF49" i="2"/>
  <c r="CG49" i="2"/>
  <c r="CH49" i="2"/>
  <c r="CI49" i="2"/>
  <c r="CJ49" i="2"/>
  <c r="CM49" i="2"/>
  <c r="DJ49" i="2"/>
  <c r="DK49" i="2"/>
  <c r="DP49" i="2"/>
  <c r="DQ49" i="2"/>
  <c r="DR49" i="2"/>
  <c r="DS49" i="2"/>
  <c r="DT49" i="2"/>
  <c r="DU49" i="2"/>
  <c r="DV49" i="2"/>
  <c r="DX49" i="2"/>
  <c r="DY49" i="2"/>
  <c r="DZ49" i="2"/>
  <c r="A50" i="2"/>
  <c r="B50" i="2"/>
  <c r="C50" i="2"/>
  <c r="D50" i="2"/>
  <c r="E50" i="2"/>
  <c r="F50" i="2"/>
  <c r="G50" i="2"/>
  <c r="H50" i="2"/>
  <c r="I50" i="2"/>
  <c r="J50" i="2"/>
  <c r="K50" i="2"/>
  <c r="L50" i="2"/>
  <c r="AJ50" i="2"/>
  <c r="BY50" i="2"/>
  <c r="BZ50" i="2"/>
  <c r="CB50" i="2"/>
  <c r="CC50" i="2"/>
  <c r="CD50" i="2"/>
  <c r="CD50" i="2" a="1"/>
  <c r="CE50" i="2"/>
  <c r="CF50" i="2"/>
  <c r="CG50" i="2"/>
  <c r="CH50" i="2"/>
  <c r="CI50" i="2"/>
  <c r="CJ50" i="2"/>
  <c r="CM50" i="2"/>
  <c r="DJ50" i="2"/>
  <c r="DK50" i="2"/>
  <c r="DP50" i="2"/>
  <c r="DQ50" i="2"/>
  <c r="DR50" i="2"/>
  <c r="DS50" i="2"/>
  <c r="DT50" i="2"/>
  <c r="DU50" i="2"/>
  <c r="DV50" i="2"/>
  <c r="DX50" i="2"/>
  <c r="DY50" i="2"/>
  <c r="DZ50" i="2"/>
  <c r="CJ51" i="2"/>
  <c r="DJ51" i="2"/>
  <c r="DK51" i="2"/>
  <c r="DP51" i="2"/>
  <c r="DQ51" i="2"/>
  <c r="DR51" i="2"/>
  <c r="DS51" i="2"/>
  <c r="DT51" i="2"/>
  <c r="DU51" i="2"/>
  <c r="DV51" i="2"/>
  <c r="DX51" i="2"/>
  <c r="DY51" i="2"/>
  <c r="DZ51" i="2"/>
  <c r="DJ52" i="2"/>
  <c r="DK52" i="2"/>
  <c r="DP52" i="2"/>
  <c r="DQ52" i="2"/>
  <c r="DR52" i="2"/>
  <c r="DS52" i="2"/>
  <c r="DT52" i="2"/>
  <c r="DU52" i="2"/>
  <c r="DV52" i="2"/>
  <c r="DX52" i="2"/>
  <c r="DY52" i="2"/>
  <c r="DZ52" i="2"/>
  <c r="DJ53" i="2"/>
  <c r="DK53" i="2"/>
  <c r="DP53" i="2"/>
  <c r="DQ53" i="2"/>
  <c r="DR53" i="2"/>
  <c r="DS53" i="2"/>
  <c r="DT53" i="2"/>
  <c r="DU53" i="2"/>
  <c r="DV53" i="2"/>
  <c r="DX53" i="2"/>
  <c r="DY53" i="2"/>
  <c r="DZ53" i="2"/>
  <c r="CG54" i="2"/>
  <c r="CH54" i="2"/>
  <c r="CI54" i="2"/>
  <c r="DJ54" i="2"/>
  <c r="DK54" i="2"/>
  <c r="DP54" i="2"/>
  <c r="DQ54" i="2"/>
  <c r="DR54" i="2"/>
  <c r="DS54" i="2"/>
  <c r="DT54" i="2"/>
  <c r="DU54" i="2"/>
  <c r="DV54" i="2"/>
  <c r="DX54" i="2"/>
  <c r="DY54" i="2"/>
  <c r="DZ54" i="2"/>
  <c r="ET54" i="2"/>
  <c r="EU54" i="2"/>
  <c r="Y55" i="2"/>
  <c r="Z55" i="2"/>
  <c r="AA55" i="2"/>
  <c r="AB55" i="2"/>
  <c r="AC55" i="2"/>
  <c r="AD55" i="2"/>
  <c r="AE55" i="2"/>
  <c r="AF55" i="2"/>
  <c r="AG55" i="2"/>
  <c r="AH55" i="2"/>
  <c r="AI55" i="2"/>
  <c r="DJ55" i="2"/>
  <c r="DK55" i="2"/>
  <c r="DP55" i="2"/>
  <c r="DQ55" i="2"/>
  <c r="DR55" i="2"/>
  <c r="DS55" i="2"/>
  <c r="DT55" i="2"/>
  <c r="DU55" i="2"/>
  <c r="DV55" i="2"/>
  <c r="DX55" i="2"/>
  <c r="DY55" i="2"/>
  <c r="DZ55" i="2"/>
  <c r="A56" i="2"/>
  <c r="B56" i="2"/>
  <c r="B56" i="2" a="1"/>
  <c r="C56" i="2"/>
  <c r="D56" i="2"/>
  <c r="E56" i="2"/>
  <c r="F56" i="2"/>
  <c r="G56" i="2"/>
  <c r="H56" i="2"/>
  <c r="I56" i="2"/>
  <c r="J56" i="2"/>
  <c r="J56" i="2" a="1"/>
  <c r="K56" i="2"/>
  <c r="L56" i="2"/>
  <c r="N56" i="2"/>
  <c r="Q56" i="2"/>
  <c r="R56" i="2"/>
  <c r="S56" i="2"/>
  <c r="T56" i="2"/>
  <c r="U56" i="2"/>
  <c r="V56" i="2"/>
  <c r="W56" i="2"/>
  <c r="W56" i="2" a="1"/>
  <c r="X56" i="2"/>
  <c r="X56" i="2" a="1"/>
  <c r="AJ56" i="2"/>
  <c r="BY56" i="2"/>
  <c r="BZ56" i="2"/>
  <c r="CB56" i="2"/>
  <c r="CC56" i="2"/>
  <c r="CD56" i="2"/>
  <c r="CE56" i="2"/>
  <c r="CF56" i="2"/>
  <c r="CG56" i="2"/>
  <c r="CH56" i="2"/>
  <c r="CI56" i="2"/>
  <c r="CJ56" i="2"/>
  <c r="CM56" i="2"/>
  <c r="DJ56" i="2"/>
  <c r="DK56" i="2"/>
  <c r="DP56" i="2"/>
  <c r="DQ56" i="2"/>
  <c r="DR56" i="2"/>
  <c r="DS56" i="2"/>
  <c r="DT56" i="2"/>
  <c r="DU56" i="2"/>
  <c r="DV56" i="2"/>
  <c r="DX56" i="2"/>
  <c r="DY56" i="2"/>
  <c r="DZ56" i="2"/>
  <c r="EO56" i="2"/>
  <c r="EP56" i="2"/>
  <c r="EQ56" i="2"/>
  <c r="ER56" i="2"/>
  <c r="ES56" i="2"/>
  <c r="ET56" i="2"/>
  <c r="EU56" i="2"/>
  <c r="A57" i="2"/>
  <c r="B57" i="2"/>
  <c r="C57" i="2"/>
  <c r="D57" i="2"/>
  <c r="E57" i="2"/>
  <c r="F57" i="2"/>
  <c r="G57" i="2"/>
  <c r="H57" i="2"/>
  <c r="I57" i="2"/>
  <c r="J57" i="2"/>
  <c r="K57" i="2"/>
  <c r="L57" i="2"/>
  <c r="N57" i="2"/>
  <c r="Q57" i="2"/>
  <c r="R57" i="2"/>
  <c r="S57" i="2"/>
  <c r="T57" i="2"/>
  <c r="U57" i="2"/>
  <c r="V57" i="2"/>
  <c r="W57" i="2"/>
  <c r="W57" i="2" a="1"/>
  <c r="X57" i="2"/>
  <c r="X57" i="2" a="1"/>
  <c r="Y57" i="2"/>
  <c r="AJ57" i="2"/>
  <c r="AO57" i="2"/>
  <c r="AP57" i="2"/>
  <c r="AQ57" i="2"/>
  <c r="AR57" i="2"/>
  <c r="BY57" i="2"/>
  <c r="BZ57" i="2"/>
  <c r="CB57" i="2"/>
  <c r="CC57" i="2"/>
  <c r="CD57" i="2"/>
  <c r="CE57" i="2"/>
  <c r="CF57" i="2"/>
  <c r="CG57" i="2"/>
  <c r="CH57" i="2"/>
  <c r="CI57" i="2"/>
  <c r="CJ57" i="2"/>
  <c r="CM57" i="2"/>
  <c r="DJ57" i="2"/>
  <c r="DK57" i="2"/>
  <c r="DP57" i="2"/>
  <c r="DQ57" i="2"/>
  <c r="DR57" i="2"/>
  <c r="DS57" i="2"/>
  <c r="DT57" i="2"/>
  <c r="DU57" i="2"/>
  <c r="DV57" i="2"/>
  <c r="DX57" i="2"/>
  <c r="DY57" i="2"/>
  <c r="DZ57" i="2"/>
  <c r="EO57" i="2"/>
  <c r="EP57" i="2"/>
  <c r="EQ57" i="2"/>
  <c r="ER57" i="2"/>
  <c r="ES57" i="2"/>
  <c r="ET57" i="2"/>
  <c r="EU57" i="2"/>
  <c r="A58" i="2"/>
  <c r="B58" i="2"/>
  <c r="C58" i="2"/>
  <c r="D58" i="2"/>
  <c r="E58" i="2"/>
  <c r="F58" i="2"/>
  <c r="G58" i="2"/>
  <c r="H58" i="2"/>
  <c r="I58" i="2"/>
  <c r="J58" i="2"/>
  <c r="K58" i="2"/>
  <c r="L58" i="2"/>
  <c r="N58" i="2"/>
  <c r="Q58" i="2"/>
  <c r="R58" i="2"/>
  <c r="S58" i="2"/>
  <c r="T58" i="2"/>
  <c r="U58" i="2"/>
  <c r="V58" i="2"/>
  <c r="W58" i="2"/>
  <c r="W58" i="2" a="1"/>
  <c r="X58" i="2"/>
  <c r="X58" i="2" a="1"/>
  <c r="Y58" i="2"/>
  <c r="Z58" i="2"/>
  <c r="AJ58" i="2"/>
  <c r="AO58" i="2"/>
  <c r="AP58" i="2"/>
  <c r="AQ58" i="2"/>
  <c r="AR58" i="2"/>
  <c r="BY58" i="2"/>
  <c r="BZ58" i="2"/>
  <c r="CB58" i="2"/>
  <c r="CC58" i="2"/>
  <c r="CD58" i="2"/>
  <c r="CE58" i="2"/>
  <c r="CF58" i="2"/>
  <c r="CG58" i="2"/>
  <c r="CH58" i="2"/>
  <c r="CI58" i="2"/>
  <c r="CJ58" i="2"/>
  <c r="CM58" i="2"/>
  <c r="DJ58" i="2"/>
  <c r="DK58" i="2"/>
  <c r="DP58" i="2"/>
  <c r="DQ58" i="2"/>
  <c r="DR58" i="2"/>
  <c r="DS58" i="2"/>
  <c r="DT58" i="2"/>
  <c r="DU58" i="2"/>
  <c r="DV58" i="2"/>
  <c r="DX58" i="2"/>
  <c r="DY58" i="2"/>
  <c r="DZ58" i="2"/>
  <c r="EO58" i="2"/>
  <c r="EP58" i="2"/>
  <c r="EQ58" i="2"/>
  <c r="ER58" i="2"/>
  <c r="ES58" i="2"/>
  <c r="ET58" i="2"/>
  <c r="EU58" i="2"/>
  <c r="A59" i="2"/>
  <c r="B59" i="2"/>
  <c r="C59" i="2"/>
  <c r="D59" i="2"/>
  <c r="E59" i="2"/>
  <c r="F59" i="2"/>
  <c r="G59" i="2"/>
  <c r="H59" i="2"/>
  <c r="I59" i="2"/>
  <c r="J59" i="2"/>
  <c r="K59" i="2"/>
  <c r="L59" i="2"/>
  <c r="N59" i="2"/>
  <c r="Q59" i="2"/>
  <c r="R59" i="2"/>
  <c r="S59" i="2"/>
  <c r="T59" i="2"/>
  <c r="U59" i="2"/>
  <c r="V59" i="2"/>
  <c r="W59" i="2"/>
  <c r="W59" i="2" a="1"/>
  <c r="X59" i="2"/>
  <c r="X59" i="2" a="1"/>
  <c r="Y59" i="2"/>
  <c r="Z59" i="2"/>
  <c r="AA59" i="2"/>
  <c r="AJ59" i="2"/>
  <c r="BY59" i="2"/>
  <c r="BZ59" i="2"/>
  <c r="CB59" i="2"/>
  <c r="CC59" i="2"/>
  <c r="CD59" i="2"/>
  <c r="CE59" i="2"/>
  <c r="CF59" i="2"/>
  <c r="CG59" i="2"/>
  <c r="CH59" i="2"/>
  <c r="CI59" i="2"/>
  <c r="CJ59" i="2"/>
  <c r="CM59" i="2"/>
  <c r="DJ59" i="2"/>
  <c r="DK59" i="2"/>
  <c r="DP59" i="2"/>
  <c r="DQ59" i="2"/>
  <c r="DR59" i="2"/>
  <c r="DS59" i="2"/>
  <c r="DT59" i="2"/>
  <c r="DU59" i="2"/>
  <c r="DV59" i="2"/>
  <c r="DX59" i="2"/>
  <c r="DY59" i="2"/>
  <c r="DZ59" i="2"/>
  <c r="EO59" i="2"/>
  <c r="EP59" i="2"/>
  <c r="EQ59" i="2"/>
  <c r="ER59" i="2"/>
  <c r="ES59" i="2"/>
  <c r="ET59" i="2"/>
  <c r="EU59" i="2"/>
  <c r="A60" i="2"/>
  <c r="B60" i="2"/>
  <c r="C60" i="2"/>
  <c r="D60" i="2"/>
  <c r="E60" i="2"/>
  <c r="F60" i="2"/>
  <c r="G60" i="2"/>
  <c r="H60" i="2"/>
  <c r="I60" i="2"/>
  <c r="J60" i="2"/>
  <c r="K60" i="2"/>
  <c r="L60" i="2"/>
  <c r="N60" i="2"/>
  <c r="Q60" i="2"/>
  <c r="R60" i="2"/>
  <c r="S60" i="2"/>
  <c r="T60" i="2"/>
  <c r="U60" i="2"/>
  <c r="V60" i="2"/>
  <c r="W60" i="2"/>
  <c r="W60" i="2" a="1"/>
  <c r="X60" i="2"/>
  <c r="X60" i="2" a="1"/>
  <c r="Y60" i="2"/>
  <c r="Z60" i="2"/>
  <c r="AA60" i="2"/>
  <c r="AB60" i="2"/>
  <c r="AJ60" i="2"/>
  <c r="AK60" i="2"/>
  <c r="AL60" i="2"/>
  <c r="AM60" i="2"/>
  <c r="AN60" i="2"/>
  <c r="AO60" i="2"/>
  <c r="AP60" i="2"/>
  <c r="AQ60" i="2"/>
  <c r="AR60" i="2"/>
  <c r="AU60" i="2"/>
  <c r="AV60" i="2"/>
  <c r="AW60" i="2"/>
  <c r="AX60" i="2"/>
  <c r="BY60" i="2"/>
  <c r="BZ60" i="2"/>
  <c r="CB60" i="2"/>
  <c r="CC60" i="2"/>
  <c r="CD60" i="2"/>
  <c r="CE60" i="2"/>
  <c r="CF60" i="2"/>
  <c r="CG60" i="2"/>
  <c r="CH60" i="2"/>
  <c r="CI60" i="2"/>
  <c r="CJ60" i="2"/>
  <c r="CM60" i="2"/>
  <c r="DJ60" i="2"/>
  <c r="DK60" i="2"/>
  <c r="DP60" i="2"/>
  <c r="DQ60" i="2"/>
  <c r="DR60" i="2"/>
  <c r="DS60" i="2"/>
  <c r="DT60" i="2"/>
  <c r="DU60" i="2"/>
  <c r="DV60" i="2"/>
  <c r="DX60" i="2"/>
  <c r="DY60" i="2"/>
  <c r="DZ60" i="2"/>
  <c r="EO60" i="2"/>
  <c r="EP60" i="2"/>
  <c r="EQ60" i="2"/>
  <c r="ER60" i="2"/>
  <c r="ES60" i="2"/>
  <c r="ET60" i="2"/>
  <c r="EU60" i="2"/>
  <c r="A61" i="2"/>
  <c r="B61" i="2"/>
  <c r="C61" i="2"/>
  <c r="D61" i="2"/>
  <c r="E61" i="2"/>
  <c r="F61" i="2"/>
  <c r="G61" i="2"/>
  <c r="H61" i="2"/>
  <c r="I61" i="2"/>
  <c r="J61" i="2"/>
  <c r="K61" i="2"/>
  <c r="L61" i="2"/>
  <c r="N61" i="2"/>
  <c r="Q61" i="2"/>
  <c r="R61" i="2"/>
  <c r="S61" i="2"/>
  <c r="T61" i="2"/>
  <c r="U61" i="2"/>
  <c r="V61" i="2"/>
  <c r="W61" i="2"/>
  <c r="W61" i="2" a="1"/>
  <c r="X61" i="2"/>
  <c r="X61" i="2" a="1"/>
  <c r="Y61" i="2"/>
  <c r="Z61" i="2"/>
  <c r="AA61" i="2"/>
  <c r="AB61" i="2"/>
  <c r="AC61" i="2"/>
  <c r="AJ61" i="2"/>
  <c r="AU61" i="2"/>
  <c r="AV61" i="2"/>
  <c r="AW61" i="2"/>
  <c r="AX61" i="2"/>
  <c r="BY61" i="2"/>
  <c r="BZ61" i="2"/>
  <c r="CB61" i="2"/>
  <c r="CC61" i="2"/>
  <c r="CD61" i="2"/>
  <c r="CE61" i="2"/>
  <c r="CF61" i="2"/>
  <c r="CG61" i="2"/>
  <c r="CH61" i="2"/>
  <c r="CI61" i="2"/>
  <c r="CJ61" i="2"/>
  <c r="CM61" i="2"/>
  <c r="DJ61" i="2"/>
  <c r="DK61" i="2"/>
  <c r="DP61" i="2"/>
  <c r="DQ61" i="2"/>
  <c r="DR61" i="2"/>
  <c r="DS61" i="2"/>
  <c r="DT61" i="2"/>
  <c r="DU61" i="2"/>
  <c r="DV61" i="2"/>
  <c r="DX61" i="2"/>
  <c r="DY61" i="2"/>
  <c r="DZ61" i="2"/>
  <c r="EO61" i="2"/>
  <c r="EP61" i="2"/>
  <c r="EQ61" i="2"/>
  <c r="ER61" i="2"/>
  <c r="ES61" i="2"/>
  <c r="ET61" i="2"/>
  <c r="EU61" i="2"/>
  <c r="A62" i="2"/>
  <c r="B62" i="2"/>
  <c r="C62" i="2"/>
  <c r="D62" i="2"/>
  <c r="E62" i="2"/>
  <c r="F62" i="2"/>
  <c r="G62" i="2"/>
  <c r="H62" i="2"/>
  <c r="I62" i="2"/>
  <c r="J62" i="2"/>
  <c r="K62" i="2"/>
  <c r="L62" i="2"/>
  <c r="N62" i="2"/>
  <c r="Q62" i="2"/>
  <c r="R62" i="2"/>
  <c r="S62" i="2"/>
  <c r="T62" i="2"/>
  <c r="U62" i="2"/>
  <c r="V62" i="2"/>
  <c r="W62" i="2"/>
  <c r="W62" i="2" a="1"/>
  <c r="X62" i="2"/>
  <c r="X62" i="2" a="1"/>
  <c r="Y62" i="2"/>
  <c r="Z62" i="2"/>
  <c r="AA62" i="2"/>
  <c r="AB62" i="2"/>
  <c r="AC62" i="2"/>
  <c r="AD62" i="2"/>
  <c r="AJ62" i="2"/>
  <c r="AK62" i="2"/>
  <c r="AL62" i="2"/>
  <c r="AM62" i="2"/>
  <c r="AN62" i="2"/>
  <c r="AO62" i="2"/>
  <c r="AP62" i="2"/>
  <c r="AQ62" i="2"/>
  <c r="AR62" i="2"/>
  <c r="AU62" i="2"/>
  <c r="AV62" i="2"/>
  <c r="AW62" i="2"/>
  <c r="AX62" i="2"/>
  <c r="BY62" i="2"/>
  <c r="BZ62" i="2"/>
  <c r="CB62" i="2"/>
  <c r="CC62" i="2"/>
  <c r="CD62" i="2"/>
  <c r="CE62" i="2"/>
  <c r="CF62" i="2"/>
  <c r="CG62" i="2"/>
  <c r="CH62" i="2"/>
  <c r="CI62" i="2"/>
  <c r="CJ62" i="2"/>
  <c r="CM62" i="2"/>
  <c r="DJ62" i="2"/>
  <c r="DK62" i="2"/>
  <c r="DP62" i="2"/>
  <c r="DQ62" i="2"/>
  <c r="DR62" i="2"/>
  <c r="DS62" i="2"/>
  <c r="DT62" i="2"/>
  <c r="DU62" i="2"/>
  <c r="DV62" i="2"/>
  <c r="DX62" i="2"/>
  <c r="DY62" i="2"/>
  <c r="DZ62" i="2"/>
  <c r="EO62" i="2"/>
  <c r="EP62" i="2"/>
  <c r="EQ62" i="2"/>
  <c r="ER62" i="2"/>
  <c r="ES62" i="2"/>
  <c r="ET62" i="2"/>
  <c r="EU62" i="2"/>
  <c r="A63" i="2"/>
  <c r="B63" i="2"/>
  <c r="C63" i="2"/>
  <c r="D63" i="2"/>
  <c r="E63" i="2"/>
  <c r="F63" i="2"/>
  <c r="G63" i="2"/>
  <c r="H63" i="2"/>
  <c r="I63" i="2"/>
  <c r="J63" i="2"/>
  <c r="K63" i="2"/>
  <c r="L63" i="2"/>
  <c r="N63" i="2"/>
  <c r="Q63" i="2"/>
  <c r="R63" i="2"/>
  <c r="S63" i="2"/>
  <c r="T63" i="2"/>
  <c r="U63" i="2"/>
  <c r="V63" i="2"/>
  <c r="W63" i="2"/>
  <c r="W63" i="2" a="1"/>
  <c r="X63" i="2"/>
  <c r="X63" i="2" a="1"/>
  <c r="Y63" i="2"/>
  <c r="Z63" i="2"/>
  <c r="AA63" i="2"/>
  <c r="AB63" i="2"/>
  <c r="AC63" i="2"/>
  <c r="AD63" i="2"/>
  <c r="AE63" i="2"/>
  <c r="AJ63" i="2"/>
  <c r="AU63" i="2"/>
  <c r="AV63" i="2"/>
  <c r="AW63" i="2"/>
  <c r="AX63" i="2"/>
  <c r="BY63" i="2"/>
  <c r="BZ63" i="2"/>
  <c r="CB63" i="2"/>
  <c r="CC63" i="2"/>
  <c r="CD63" i="2"/>
  <c r="CE63" i="2"/>
  <c r="CF63" i="2"/>
  <c r="CG63" i="2"/>
  <c r="CH63" i="2"/>
  <c r="CI63" i="2"/>
  <c r="CJ63" i="2"/>
  <c r="CM63" i="2"/>
  <c r="DJ63" i="2"/>
  <c r="DK63" i="2"/>
  <c r="DP63" i="2"/>
  <c r="DQ63" i="2"/>
  <c r="DR63" i="2"/>
  <c r="DS63" i="2"/>
  <c r="DT63" i="2"/>
  <c r="DU63" i="2"/>
  <c r="DV63" i="2"/>
  <c r="DX63" i="2"/>
  <c r="DY63" i="2"/>
  <c r="DZ63" i="2"/>
  <c r="EO63" i="2"/>
  <c r="EP63" i="2"/>
  <c r="EQ63" i="2"/>
  <c r="ER63" i="2"/>
  <c r="ES63" i="2"/>
  <c r="ET63" i="2"/>
  <c r="EU63" i="2"/>
  <c r="A64" i="2"/>
  <c r="B64" i="2"/>
  <c r="C64" i="2"/>
  <c r="D64" i="2"/>
  <c r="E64" i="2"/>
  <c r="F64" i="2"/>
  <c r="G64" i="2"/>
  <c r="H64" i="2"/>
  <c r="I64" i="2"/>
  <c r="J64" i="2"/>
  <c r="K64" i="2"/>
  <c r="L64" i="2"/>
  <c r="N64" i="2"/>
  <c r="Q64" i="2"/>
  <c r="R64" i="2"/>
  <c r="S64" i="2"/>
  <c r="T64" i="2"/>
  <c r="V64" i="2"/>
  <c r="W64" i="2"/>
  <c r="W64" i="2" a="1"/>
  <c r="X64" i="2"/>
  <c r="X64" i="2" a="1"/>
  <c r="Y64" i="2"/>
  <c r="Z64" i="2"/>
  <c r="AA64" i="2"/>
  <c r="AB64" i="2"/>
  <c r="AC64" i="2"/>
  <c r="AD64" i="2"/>
  <c r="AE64" i="2"/>
  <c r="AF64" i="2"/>
  <c r="AJ64" i="2"/>
  <c r="AU64" i="2"/>
  <c r="AV64" i="2"/>
  <c r="AW64" i="2"/>
  <c r="AX64" i="2"/>
  <c r="BY64" i="2"/>
  <c r="BZ64" i="2"/>
  <c r="CB64" i="2"/>
  <c r="CC64" i="2"/>
  <c r="CD64" i="2"/>
  <c r="CE64" i="2"/>
  <c r="CF64" i="2"/>
  <c r="CG64" i="2"/>
  <c r="CH64" i="2"/>
  <c r="CI64" i="2"/>
  <c r="CJ64" i="2"/>
  <c r="CM64" i="2"/>
  <c r="DJ64" i="2"/>
  <c r="DK64" i="2"/>
  <c r="DP64" i="2"/>
  <c r="DQ64" i="2"/>
  <c r="DR64" i="2"/>
  <c r="DS64" i="2"/>
  <c r="DT64" i="2"/>
  <c r="DU64" i="2"/>
  <c r="DV64" i="2"/>
  <c r="DX64" i="2"/>
  <c r="DY64" i="2"/>
  <c r="DZ64" i="2"/>
  <c r="EO64" i="2"/>
  <c r="EP64" i="2"/>
  <c r="EQ64" i="2"/>
  <c r="ER64" i="2"/>
  <c r="ES64" i="2"/>
  <c r="ET64" i="2"/>
  <c r="EU64" i="2"/>
  <c r="A65" i="2"/>
  <c r="B65" i="2"/>
  <c r="C65" i="2"/>
  <c r="D65" i="2"/>
  <c r="E65" i="2"/>
  <c r="F65" i="2"/>
  <c r="G65" i="2"/>
  <c r="H65" i="2"/>
  <c r="I65" i="2"/>
  <c r="J65" i="2"/>
  <c r="K65" i="2"/>
  <c r="L65" i="2"/>
  <c r="N65" i="2"/>
  <c r="Q65" i="2"/>
  <c r="R65" i="2"/>
  <c r="S65" i="2"/>
  <c r="T65" i="2"/>
  <c r="V65" i="2"/>
  <c r="W65" i="2"/>
  <c r="W65" i="2" a="1"/>
  <c r="X65" i="2"/>
  <c r="X65" i="2" a="1"/>
  <c r="Y65" i="2"/>
  <c r="Z65" i="2"/>
  <c r="AA65" i="2"/>
  <c r="AB65" i="2"/>
  <c r="AC65" i="2"/>
  <c r="AD65" i="2"/>
  <c r="AE65" i="2"/>
  <c r="AF65" i="2"/>
  <c r="AG65" i="2"/>
  <c r="AJ65" i="2"/>
  <c r="AU65" i="2"/>
  <c r="AV65" i="2"/>
  <c r="AW65" i="2"/>
  <c r="AX65" i="2"/>
  <c r="BY65" i="2"/>
  <c r="BZ65" i="2"/>
  <c r="CB65" i="2"/>
  <c r="CC65" i="2"/>
  <c r="CD65" i="2"/>
  <c r="CE65" i="2"/>
  <c r="CF65" i="2"/>
  <c r="CG65" i="2"/>
  <c r="CH65" i="2"/>
  <c r="CI65" i="2"/>
  <c r="CJ65" i="2"/>
  <c r="CM65" i="2"/>
  <c r="DJ65" i="2"/>
  <c r="DK65" i="2"/>
  <c r="DP65" i="2"/>
  <c r="DQ65" i="2"/>
  <c r="DR65" i="2"/>
  <c r="DS65" i="2"/>
  <c r="DT65" i="2"/>
  <c r="DU65" i="2"/>
  <c r="DV65" i="2"/>
  <c r="DX65" i="2"/>
  <c r="DY65" i="2"/>
  <c r="DZ65" i="2"/>
  <c r="EO65" i="2"/>
  <c r="EP65" i="2"/>
  <c r="EQ65" i="2"/>
  <c r="ER65" i="2"/>
  <c r="ES65" i="2"/>
  <c r="ET65" i="2"/>
  <c r="EU65" i="2"/>
  <c r="A66" i="2"/>
  <c r="B66" i="2"/>
  <c r="C66" i="2"/>
  <c r="D66" i="2"/>
  <c r="E66" i="2"/>
  <c r="F66" i="2"/>
  <c r="G66" i="2"/>
  <c r="H66" i="2"/>
  <c r="I66" i="2"/>
  <c r="J66" i="2"/>
  <c r="K66" i="2"/>
  <c r="L66" i="2"/>
  <c r="N66" i="2"/>
  <c r="Q66" i="2"/>
  <c r="R66" i="2"/>
  <c r="S66" i="2"/>
  <c r="T66" i="2"/>
  <c r="V66" i="2"/>
  <c r="W66" i="2"/>
  <c r="W66" i="2" a="1"/>
  <c r="X66" i="2"/>
  <c r="X66" i="2" a="1"/>
  <c r="Y66" i="2"/>
  <c r="Z66" i="2"/>
  <c r="AA66" i="2"/>
  <c r="AB66" i="2"/>
  <c r="AC66" i="2"/>
  <c r="AD66" i="2"/>
  <c r="AE66" i="2"/>
  <c r="AF66" i="2"/>
  <c r="AG66" i="2"/>
  <c r="AH66" i="2"/>
  <c r="AJ66" i="2"/>
  <c r="AK66" i="2"/>
  <c r="AL66" i="2"/>
  <c r="AM66" i="2"/>
  <c r="AN66" i="2"/>
  <c r="AO66" i="2"/>
  <c r="AP66" i="2"/>
  <c r="AQ66" i="2"/>
  <c r="AR66" i="2"/>
  <c r="AU66" i="2"/>
  <c r="AV66" i="2"/>
  <c r="AW66" i="2"/>
  <c r="AX66" i="2"/>
  <c r="BY66" i="2"/>
  <c r="BZ66" i="2"/>
  <c r="CB66" i="2"/>
  <c r="CC66" i="2"/>
  <c r="CD66" i="2"/>
  <c r="CE66" i="2"/>
  <c r="CF66" i="2"/>
  <c r="CG66" i="2"/>
  <c r="CH66" i="2"/>
  <c r="CI66" i="2"/>
  <c r="CJ66" i="2"/>
  <c r="CM66" i="2"/>
  <c r="DJ66" i="2"/>
  <c r="DK66" i="2"/>
  <c r="DP66" i="2"/>
  <c r="DQ66" i="2"/>
  <c r="DR66" i="2"/>
  <c r="DS66" i="2"/>
  <c r="DT66" i="2"/>
  <c r="DU66" i="2"/>
  <c r="DV66" i="2"/>
  <c r="DX66" i="2"/>
  <c r="DY66" i="2"/>
  <c r="DZ66" i="2"/>
  <c r="EO66" i="2"/>
  <c r="EP66" i="2"/>
  <c r="EQ66" i="2"/>
  <c r="ER66" i="2"/>
  <c r="ES66" i="2"/>
  <c r="ET66" i="2"/>
  <c r="EU66" i="2"/>
  <c r="A67" i="2"/>
  <c r="B67" i="2"/>
  <c r="C67" i="2"/>
  <c r="D67" i="2"/>
  <c r="E67" i="2"/>
  <c r="F67" i="2"/>
  <c r="G67" i="2"/>
  <c r="H67" i="2"/>
  <c r="I67" i="2"/>
  <c r="J67" i="2"/>
  <c r="K67" i="2"/>
  <c r="L67" i="2"/>
  <c r="N67" i="2"/>
  <c r="Q67" i="2"/>
  <c r="R67" i="2"/>
  <c r="S67" i="2"/>
  <c r="AJ67" i="2"/>
  <c r="AU67" i="2"/>
  <c r="AV67" i="2"/>
  <c r="AW67" i="2"/>
  <c r="AX67" i="2"/>
  <c r="BY67" i="2"/>
  <c r="BZ67" i="2"/>
  <c r="CB67" i="2"/>
  <c r="CC67" i="2"/>
  <c r="CD67" i="2"/>
  <c r="CE67" i="2"/>
  <c r="CF67" i="2"/>
  <c r="CG67" i="2"/>
  <c r="CH67" i="2"/>
  <c r="CI67" i="2"/>
  <c r="CJ67" i="2"/>
  <c r="CM67" i="2"/>
  <c r="DJ67" i="2"/>
  <c r="DK67" i="2"/>
  <c r="DP67" i="2"/>
  <c r="DQ67" i="2"/>
  <c r="DR67" i="2"/>
  <c r="DS67" i="2"/>
  <c r="DT67" i="2"/>
  <c r="DU67" i="2"/>
  <c r="DV67" i="2"/>
  <c r="DX67" i="2"/>
  <c r="DY67" i="2"/>
  <c r="DZ67" i="2"/>
  <c r="EO67" i="2"/>
  <c r="EP67" i="2"/>
  <c r="EQ67" i="2"/>
  <c r="ER67" i="2"/>
  <c r="ES67" i="2"/>
  <c r="ET67" i="2"/>
  <c r="EU67" i="2"/>
  <c r="A68" i="2"/>
  <c r="B68" i="2"/>
  <c r="C68" i="2"/>
  <c r="D68" i="2"/>
  <c r="E68" i="2"/>
  <c r="F68" i="2"/>
  <c r="G68" i="2"/>
  <c r="H68" i="2"/>
  <c r="I68" i="2"/>
  <c r="J68" i="2"/>
  <c r="K68" i="2"/>
  <c r="L68" i="2"/>
  <c r="N68" i="2"/>
  <c r="Q68" i="2"/>
  <c r="R68" i="2"/>
  <c r="S68" i="2"/>
  <c r="AJ68" i="2"/>
  <c r="AU68" i="2"/>
  <c r="AV68" i="2"/>
  <c r="AW68" i="2"/>
  <c r="AX68" i="2"/>
  <c r="BY68" i="2"/>
  <c r="BZ68" i="2"/>
  <c r="CB68" i="2"/>
  <c r="CC68" i="2"/>
  <c r="CD68" i="2"/>
  <c r="CE68" i="2"/>
  <c r="CF68" i="2"/>
  <c r="CG68" i="2"/>
  <c r="CH68" i="2"/>
  <c r="CI68" i="2"/>
  <c r="CJ68" i="2"/>
  <c r="CM68" i="2"/>
  <c r="DJ68" i="2"/>
  <c r="DK68" i="2"/>
  <c r="DP68" i="2"/>
  <c r="DQ68" i="2"/>
  <c r="DR68" i="2"/>
  <c r="DS68" i="2"/>
  <c r="DT68" i="2"/>
  <c r="DU68" i="2"/>
  <c r="DV68" i="2"/>
  <c r="DX68" i="2"/>
  <c r="DY68" i="2"/>
  <c r="DZ68" i="2"/>
  <c r="EO68" i="2"/>
  <c r="EP68" i="2"/>
  <c r="EQ68" i="2"/>
  <c r="ER68" i="2"/>
  <c r="ES68" i="2"/>
  <c r="ET68" i="2"/>
  <c r="EU68" i="2"/>
  <c r="A69" i="2"/>
  <c r="B69" i="2"/>
  <c r="C69" i="2"/>
  <c r="D69" i="2"/>
  <c r="E69" i="2"/>
  <c r="F69" i="2"/>
  <c r="G69" i="2"/>
  <c r="H69" i="2"/>
  <c r="I69" i="2"/>
  <c r="J69" i="2"/>
  <c r="K69" i="2"/>
  <c r="L69" i="2"/>
  <c r="N69" i="2"/>
  <c r="Q69" i="2"/>
  <c r="R69" i="2"/>
  <c r="S69" i="2"/>
  <c r="AJ69" i="2"/>
  <c r="AK69" i="2"/>
  <c r="AL69" i="2"/>
  <c r="AM69" i="2"/>
  <c r="AN69" i="2"/>
  <c r="AO69" i="2"/>
  <c r="AP69" i="2"/>
  <c r="AQ69" i="2"/>
  <c r="AR69" i="2"/>
  <c r="AU69" i="2"/>
  <c r="AV69" i="2"/>
  <c r="AW69" i="2"/>
  <c r="AX69" i="2"/>
  <c r="BY69" i="2"/>
  <c r="BZ69" i="2"/>
  <c r="CB69" i="2"/>
  <c r="CC69" i="2"/>
  <c r="CD69" i="2"/>
  <c r="CE69" i="2"/>
  <c r="CF69" i="2"/>
  <c r="CG69" i="2"/>
  <c r="CH69" i="2"/>
  <c r="CI69" i="2"/>
  <c r="CJ69" i="2"/>
  <c r="CM69" i="2"/>
  <c r="DJ69" i="2"/>
  <c r="DK69" i="2"/>
  <c r="DP69" i="2"/>
  <c r="DQ69" i="2"/>
  <c r="DR69" i="2"/>
  <c r="DS69" i="2"/>
  <c r="DT69" i="2"/>
  <c r="DU69" i="2"/>
  <c r="DV69" i="2"/>
  <c r="DX69" i="2"/>
  <c r="DY69" i="2"/>
  <c r="DZ69" i="2"/>
  <c r="EO69" i="2"/>
  <c r="EP69" i="2"/>
  <c r="EQ69" i="2"/>
  <c r="ER69" i="2"/>
  <c r="ES69" i="2"/>
  <c r="ET69" i="2"/>
  <c r="EU69" i="2"/>
  <c r="A70" i="2"/>
  <c r="B70" i="2"/>
  <c r="C70" i="2"/>
  <c r="D70" i="2"/>
  <c r="E70" i="2"/>
  <c r="F70" i="2"/>
  <c r="G70" i="2"/>
  <c r="H70" i="2"/>
  <c r="I70" i="2"/>
  <c r="J70" i="2"/>
  <c r="K70" i="2"/>
  <c r="L70" i="2"/>
  <c r="N70" i="2"/>
  <c r="Q70" i="2"/>
  <c r="R70" i="2"/>
  <c r="S70" i="2"/>
  <c r="Z70" i="2"/>
  <c r="AA70" i="2"/>
  <c r="AB70" i="2"/>
  <c r="AC70" i="2"/>
  <c r="AD70" i="2"/>
  <c r="AJ70" i="2"/>
  <c r="AK70" i="2"/>
  <c r="AL70" i="2"/>
  <c r="AM70" i="2"/>
  <c r="AN70" i="2"/>
  <c r="AO70" i="2"/>
  <c r="AP70" i="2"/>
  <c r="AQ70" i="2"/>
  <c r="AR70" i="2"/>
  <c r="AU70" i="2"/>
  <c r="AV70" i="2"/>
  <c r="AW70" i="2"/>
  <c r="AX70" i="2"/>
  <c r="BY70" i="2"/>
  <c r="BZ70" i="2"/>
  <c r="CB70" i="2"/>
  <c r="CC70" i="2"/>
  <c r="CD70" i="2"/>
  <c r="CE70" i="2"/>
  <c r="CF70" i="2"/>
  <c r="CG70" i="2"/>
  <c r="CH70" i="2"/>
  <c r="CI70" i="2"/>
  <c r="CJ70" i="2"/>
  <c r="CM70" i="2"/>
  <c r="DJ70" i="2"/>
  <c r="DK70" i="2"/>
  <c r="DP70" i="2"/>
  <c r="DQ70" i="2"/>
  <c r="DR70" i="2"/>
  <c r="DS70" i="2"/>
  <c r="DT70" i="2"/>
  <c r="DU70" i="2"/>
  <c r="DV70" i="2"/>
  <c r="DX70" i="2"/>
  <c r="DY70" i="2"/>
  <c r="DZ70" i="2"/>
  <c r="EO70" i="2"/>
  <c r="EP70" i="2"/>
  <c r="EQ70" i="2"/>
  <c r="ER70" i="2"/>
  <c r="ES70" i="2"/>
  <c r="ET70" i="2"/>
  <c r="EU70" i="2"/>
  <c r="A71" i="2"/>
  <c r="B71" i="2"/>
  <c r="C71" i="2"/>
  <c r="D71" i="2"/>
  <c r="E71" i="2"/>
  <c r="F71" i="2"/>
  <c r="G71" i="2"/>
  <c r="H71" i="2"/>
  <c r="I71" i="2"/>
  <c r="J71" i="2"/>
  <c r="K71" i="2"/>
  <c r="L71" i="2"/>
  <c r="N71" i="2"/>
  <c r="Q71" i="2"/>
  <c r="R71" i="2"/>
  <c r="S71" i="2"/>
  <c r="T71" i="2"/>
  <c r="U71" i="2"/>
  <c r="V71" i="2"/>
  <c r="W71" i="2"/>
  <c r="W71" i="2" a="1"/>
  <c r="X71" i="2"/>
  <c r="X71" i="2" a="1"/>
  <c r="Z71" i="2"/>
  <c r="AA71" i="2"/>
  <c r="AB71" i="2"/>
  <c r="AC71" i="2"/>
  <c r="AD71" i="2"/>
  <c r="AJ71" i="2"/>
  <c r="BY71" i="2"/>
  <c r="BZ71" i="2"/>
  <c r="CB71" i="2"/>
  <c r="CC71" i="2"/>
  <c r="CD71" i="2"/>
  <c r="CE71" i="2"/>
  <c r="CF71" i="2"/>
  <c r="CG71" i="2"/>
  <c r="CH71" i="2"/>
  <c r="CI71" i="2"/>
  <c r="CJ71" i="2"/>
  <c r="CM71" i="2"/>
  <c r="DJ71" i="2"/>
  <c r="DK71" i="2"/>
  <c r="DP71" i="2"/>
  <c r="DQ71" i="2"/>
  <c r="DR71" i="2"/>
  <c r="DS71" i="2"/>
  <c r="DT71" i="2"/>
  <c r="DU71" i="2"/>
  <c r="DV71" i="2"/>
  <c r="DX71" i="2"/>
  <c r="DY71" i="2"/>
  <c r="DZ71" i="2"/>
  <c r="EO71" i="2"/>
  <c r="EP71" i="2"/>
  <c r="EQ71" i="2"/>
  <c r="ER71" i="2"/>
  <c r="ES71" i="2"/>
  <c r="ET71" i="2"/>
  <c r="EU71" i="2"/>
  <c r="A72" i="2"/>
  <c r="B72" i="2"/>
  <c r="C72" i="2"/>
  <c r="D72" i="2"/>
  <c r="E72" i="2"/>
  <c r="F72" i="2"/>
  <c r="G72" i="2"/>
  <c r="H72" i="2"/>
  <c r="I72" i="2"/>
  <c r="J72" i="2"/>
  <c r="K72" i="2"/>
  <c r="L72" i="2"/>
  <c r="N72" i="2"/>
  <c r="Q72" i="2"/>
  <c r="R72" i="2"/>
  <c r="S72" i="2"/>
  <c r="T72" i="2"/>
  <c r="U72" i="2"/>
  <c r="V72" i="2"/>
  <c r="W72" i="2"/>
  <c r="W72" i="2" a="1"/>
  <c r="X72" i="2"/>
  <c r="X72" i="2" a="1"/>
  <c r="Z72" i="2"/>
  <c r="AA72" i="2"/>
  <c r="AB72" i="2"/>
  <c r="AC72" i="2"/>
  <c r="AD72" i="2"/>
  <c r="AJ72" i="2"/>
  <c r="AK72" i="2"/>
  <c r="AL72" i="2"/>
  <c r="AM72" i="2"/>
  <c r="AN72" i="2"/>
  <c r="AO72" i="2"/>
  <c r="AP72" i="2"/>
  <c r="AQ72" i="2"/>
  <c r="AR72" i="2"/>
  <c r="AU72" i="2"/>
  <c r="AV72" i="2"/>
  <c r="AW72" i="2"/>
  <c r="AX72" i="2"/>
  <c r="BY72" i="2"/>
  <c r="BZ72" i="2"/>
  <c r="CB72" i="2"/>
  <c r="CC72" i="2"/>
  <c r="CD72" i="2"/>
  <c r="CE72" i="2"/>
  <c r="CF72" i="2"/>
  <c r="CG72" i="2"/>
  <c r="CH72" i="2"/>
  <c r="CI72" i="2"/>
  <c r="CJ72" i="2"/>
  <c r="CM72" i="2"/>
  <c r="DJ72" i="2"/>
  <c r="DK72" i="2"/>
  <c r="DP72" i="2"/>
  <c r="DQ72" i="2"/>
  <c r="DR72" i="2"/>
  <c r="DS72" i="2"/>
  <c r="DT72" i="2"/>
  <c r="DU72" i="2"/>
  <c r="DV72" i="2"/>
  <c r="DX72" i="2"/>
  <c r="DY72" i="2"/>
  <c r="DZ72" i="2"/>
  <c r="EO72" i="2"/>
  <c r="EP72" i="2"/>
  <c r="EQ72" i="2"/>
  <c r="ER72" i="2"/>
  <c r="ES72" i="2"/>
  <c r="ET72" i="2"/>
  <c r="EU72" i="2"/>
  <c r="A73" i="2"/>
  <c r="B73" i="2"/>
  <c r="C73" i="2"/>
  <c r="D73" i="2"/>
  <c r="E73" i="2"/>
  <c r="F73" i="2"/>
  <c r="G73" i="2"/>
  <c r="H73" i="2"/>
  <c r="I73" i="2"/>
  <c r="J73" i="2"/>
  <c r="K73" i="2"/>
  <c r="L73" i="2"/>
  <c r="N73" i="2"/>
  <c r="Q73" i="2"/>
  <c r="R73" i="2"/>
  <c r="S73" i="2"/>
  <c r="T73" i="2"/>
  <c r="U73" i="2"/>
  <c r="V73" i="2"/>
  <c r="W73" i="2"/>
  <c r="W73" i="2" a="1"/>
  <c r="X73" i="2"/>
  <c r="X73" i="2" a="1"/>
  <c r="Z73" i="2"/>
  <c r="AA73" i="2"/>
  <c r="AB73" i="2"/>
  <c r="AC73" i="2"/>
  <c r="AD73" i="2"/>
  <c r="AJ73" i="2"/>
  <c r="AU73" i="2"/>
  <c r="AV73" i="2"/>
  <c r="AW73" i="2"/>
  <c r="AX73" i="2"/>
  <c r="BY73" i="2"/>
  <c r="BZ73" i="2"/>
  <c r="CB73" i="2"/>
  <c r="CC73" i="2"/>
  <c r="CD73" i="2"/>
  <c r="CE73" i="2"/>
  <c r="CF73" i="2"/>
  <c r="CG73" i="2"/>
  <c r="CH73" i="2"/>
  <c r="CI73" i="2"/>
  <c r="CJ73" i="2"/>
  <c r="CM73" i="2"/>
  <c r="DJ73" i="2"/>
  <c r="DK73" i="2"/>
  <c r="DP73" i="2"/>
  <c r="DQ73" i="2"/>
  <c r="DR73" i="2"/>
  <c r="DS73" i="2"/>
  <c r="DT73" i="2"/>
  <c r="DU73" i="2"/>
  <c r="DV73" i="2"/>
  <c r="DX73" i="2"/>
  <c r="DY73" i="2"/>
  <c r="DZ73" i="2"/>
  <c r="EO73" i="2"/>
  <c r="EP73" i="2"/>
  <c r="EQ73" i="2"/>
  <c r="ER73" i="2"/>
  <c r="ES73" i="2"/>
  <c r="ET73" i="2"/>
  <c r="EU73" i="2"/>
  <c r="A74" i="2"/>
  <c r="B74" i="2"/>
  <c r="C74" i="2"/>
  <c r="D74" i="2"/>
  <c r="E74" i="2"/>
  <c r="F74" i="2"/>
  <c r="G74" i="2"/>
  <c r="H74" i="2"/>
  <c r="I74" i="2"/>
  <c r="J74" i="2"/>
  <c r="K74" i="2"/>
  <c r="L74" i="2"/>
  <c r="N74" i="2"/>
  <c r="Q74" i="2"/>
  <c r="R74" i="2"/>
  <c r="S74" i="2"/>
  <c r="T74" i="2"/>
  <c r="U74" i="2"/>
  <c r="V74" i="2"/>
  <c r="W74" i="2"/>
  <c r="W74" i="2" a="1"/>
  <c r="X74" i="2"/>
  <c r="X74" i="2" a="1"/>
  <c r="Z74" i="2"/>
  <c r="AA74" i="2"/>
  <c r="AB74" i="2"/>
  <c r="AC74" i="2"/>
  <c r="AD74" i="2"/>
  <c r="AJ74" i="2"/>
  <c r="AK74" i="2"/>
  <c r="AL74" i="2"/>
  <c r="AM74" i="2"/>
  <c r="AN74" i="2"/>
  <c r="AO74" i="2"/>
  <c r="AP74" i="2"/>
  <c r="AQ74" i="2"/>
  <c r="AR74" i="2"/>
  <c r="AU74" i="2"/>
  <c r="AV74" i="2"/>
  <c r="AW74" i="2"/>
  <c r="AX74" i="2"/>
  <c r="BY74" i="2"/>
  <c r="BZ74" i="2"/>
  <c r="CB74" i="2"/>
  <c r="CC74" i="2"/>
  <c r="CD74" i="2"/>
  <c r="CE74" i="2"/>
  <c r="CF74" i="2"/>
  <c r="CG74" i="2"/>
  <c r="CH74" i="2"/>
  <c r="CI74" i="2"/>
  <c r="CJ74" i="2"/>
  <c r="CM74" i="2"/>
  <c r="DJ74" i="2"/>
  <c r="DK74" i="2"/>
  <c r="DP74" i="2"/>
  <c r="DQ74" i="2"/>
  <c r="DR74" i="2"/>
  <c r="DS74" i="2"/>
  <c r="DT74" i="2"/>
  <c r="DU74" i="2"/>
  <c r="DV74" i="2"/>
  <c r="DX74" i="2"/>
  <c r="DY74" i="2"/>
  <c r="DZ74" i="2"/>
  <c r="EO74" i="2"/>
  <c r="EP74" i="2"/>
  <c r="EQ74" i="2"/>
  <c r="ER74" i="2"/>
  <c r="ES74" i="2"/>
  <c r="ET74" i="2"/>
  <c r="EU74" i="2"/>
  <c r="A75" i="2"/>
  <c r="B75" i="2"/>
  <c r="C75" i="2"/>
  <c r="D75" i="2"/>
  <c r="E75" i="2"/>
  <c r="F75" i="2"/>
  <c r="G75" i="2"/>
  <c r="H75" i="2"/>
  <c r="I75" i="2"/>
  <c r="J75" i="2"/>
  <c r="K75" i="2"/>
  <c r="L75" i="2"/>
  <c r="N75" i="2"/>
  <c r="Q75" i="2"/>
  <c r="R75" i="2"/>
  <c r="S75" i="2"/>
  <c r="T75" i="2"/>
  <c r="U75" i="2"/>
  <c r="V75" i="2"/>
  <c r="W75" i="2"/>
  <c r="W75" i="2" a="1"/>
  <c r="X75" i="2"/>
  <c r="X75" i="2" a="1"/>
  <c r="Z75" i="2"/>
  <c r="AA75" i="2"/>
  <c r="AB75" i="2"/>
  <c r="AC75" i="2"/>
  <c r="AD75" i="2"/>
  <c r="AJ75" i="2"/>
  <c r="AU75" i="2"/>
  <c r="AV75" i="2"/>
  <c r="AW75" i="2"/>
  <c r="AX75" i="2"/>
  <c r="BY75" i="2"/>
  <c r="BZ75" i="2"/>
  <c r="CB75" i="2"/>
  <c r="CC75" i="2"/>
  <c r="CD75" i="2"/>
  <c r="CE75" i="2"/>
  <c r="CF75" i="2"/>
  <c r="CG75" i="2"/>
  <c r="CH75" i="2"/>
  <c r="CI75" i="2"/>
  <c r="CJ75" i="2"/>
  <c r="CM75" i="2"/>
  <c r="DJ75" i="2"/>
  <c r="DK75" i="2"/>
  <c r="DP75" i="2"/>
  <c r="DQ75" i="2"/>
  <c r="DR75" i="2"/>
  <c r="DS75" i="2"/>
  <c r="DT75" i="2"/>
  <c r="DU75" i="2"/>
  <c r="DV75" i="2"/>
  <c r="DX75" i="2"/>
  <c r="DY75" i="2"/>
  <c r="DZ75" i="2"/>
  <c r="EO75" i="2"/>
  <c r="EP75" i="2"/>
  <c r="EQ75" i="2"/>
  <c r="ER75" i="2"/>
  <c r="ES75" i="2"/>
  <c r="ET75" i="2"/>
  <c r="EU75" i="2"/>
  <c r="A76" i="2"/>
  <c r="B76" i="2"/>
  <c r="C76" i="2"/>
  <c r="D76" i="2"/>
  <c r="E76" i="2"/>
  <c r="F76" i="2"/>
  <c r="G76" i="2"/>
  <c r="H76" i="2"/>
  <c r="I76" i="2"/>
  <c r="J76" i="2"/>
  <c r="K76" i="2"/>
  <c r="L76" i="2"/>
  <c r="N76" i="2"/>
  <c r="Q76" i="2"/>
  <c r="R76" i="2"/>
  <c r="S76" i="2"/>
  <c r="T76" i="2"/>
  <c r="U76" i="2"/>
  <c r="V76" i="2"/>
  <c r="W76" i="2"/>
  <c r="W76" i="2" a="1"/>
  <c r="X76" i="2"/>
  <c r="X76" i="2" a="1"/>
  <c r="Z76" i="2"/>
  <c r="AA76" i="2"/>
  <c r="AB76" i="2"/>
  <c r="AC76" i="2"/>
  <c r="AD76" i="2"/>
  <c r="AJ76" i="2"/>
  <c r="AU76" i="2"/>
  <c r="AV76" i="2"/>
  <c r="AW76" i="2"/>
  <c r="AX76" i="2"/>
  <c r="BY76" i="2"/>
  <c r="BZ76" i="2"/>
  <c r="CB76" i="2"/>
  <c r="CC76" i="2"/>
  <c r="CD76" i="2"/>
  <c r="CE76" i="2"/>
  <c r="CF76" i="2"/>
  <c r="CG76" i="2"/>
  <c r="CH76" i="2"/>
  <c r="CI76" i="2"/>
  <c r="CJ76" i="2"/>
  <c r="CM76" i="2"/>
  <c r="DJ76" i="2"/>
  <c r="DK76" i="2"/>
  <c r="DP76" i="2"/>
  <c r="DQ76" i="2"/>
  <c r="DR76" i="2"/>
  <c r="DS76" i="2"/>
  <c r="DT76" i="2"/>
  <c r="DU76" i="2"/>
  <c r="DV76" i="2"/>
  <c r="DX76" i="2"/>
  <c r="DY76" i="2"/>
  <c r="DZ76" i="2"/>
  <c r="EO76" i="2"/>
  <c r="EP76" i="2"/>
  <c r="EQ76" i="2"/>
  <c r="ER76" i="2"/>
  <c r="ES76" i="2"/>
  <c r="ET76" i="2"/>
  <c r="EU76" i="2"/>
  <c r="A77" i="2"/>
  <c r="B77" i="2"/>
  <c r="C77" i="2"/>
  <c r="D77" i="2"/>
  <c r="E77" i="2"/>
  <c r="F77" i="2"/>
  <c r="G77" i="2"/>
  <c r="H77" i="2"/>
  <c r="I77" i="2"/>
  <c r="J77" i="2"/>
  <c r="K77" i="2"/>
  <c r="L77" i="2"/>
  <c r="N77" i="2"/>
  <c r="Q77" i="2"/>
  <c r="R77" i="2"/>
  <c r="S77" i="2"/>
  <c r="T77" i="2"/>
  <c r="U77" i="2"/>
  <c r="V77" i="2"/>
  <c r="W77" i="2"/>
  <c r="W77" i="2" a="1"/>
  <c r="X77" i="2"/>
  <c r="X77" i="2" a="1"/>
  <c r="Z77" i="2"/>
  <c r="AA77" i="2"/>
  <c r="AB77" i="2"/>
  <c r="AC77" i="2"/>
  <c r="AD77" i="2"/>
  <c r="AJ77" i="2"/>
  <c r="AU77" i="2"/>
  <c r="AV77" i="2"/>
  <c r="AW77" i="2"/>
  <c r="AX77" i="2"/>
  <c r="BY77" i="2"/>
  <c r="BZ77" i="2"/>
  <c r="CB77" i="2"/>
  <c r="CC77" i="2"/>
  <c r="CD77" i="2"/>
  <c r="CE77" i="2"/>
  <c r="CF77" i="2"/>
  <c r="CG77" i="2"/>
  <c r="CH77" i="2"/>
  <c r="CI77" i="2"/>
  <c r="CJ77" i="2"/>
  <c r="CM77" i="2"/>
  <c r="DJ77" i="2"/>
  <c r="DK77" i="2"/>
  <c r="DP77" i="2"/>
  <c r="DQ77" i="2"/>
  <c r="DR77" i="2"/>
  <c r="DS77" i="2"/>
  <c r="DT77" i="2"/>
  <c r="DU77" i="2"/>
  <c r="DV77" i="2"/>
  <c r="DX77" i="2"/>
  <c r="DY77" i="2"/>
  <c r="DZ77" i="2"/>
  <c r="EO77" i="2"/>
  <c r="EP77" i="2"/>
  <c r="EQ77" i="2"/>
  <c r="ER77" i="2"/>
  <c r="ES77" i="2"/>
  <c r="ET77" i="2"/>
  <c r="EU77" i="2"/>
  <c r="A78" i="2"/>
  <c r="B78" i="2"/>
  <c r="C78" i="2"/>
  <c r="D78" i="2"/>
  <c r="E78" i="2"/>
  <c r="F78" i="2"/>
  <c r="G78" i="2"/>
  <c r="H78" i="2"/>
  <c r="I78" i="2"/>
  <c r="J78" i="2"/>
  <c r="K78" i="2"/>
  <c r="L78" i="2"/>
  <c r="T78" i="2"/>
  <c r="U78" i="2"/>
  <c r="V78" i="2"/>
  <c r="W78" i="2"/>
  <c r="W78" i="2" a="1"/>
  <c r="X78" i="2"/>
  <c r="X78" i="2" a="1"/>
  <c r="Z78" i="2"/>
  <c r="AA78" i="2"/>
  <c r="AB78" i="2"/>
  <c r="AC78" i="2"/>
  <c r="AD78" i="2"/>
  <c r="AJ78" i="2"/>
  <c r="AK78" i="2"/>
  <c r="AL78" i="2"/>
  <c r="AM78" i="2"/>
  <c r="AN78" i="2"/>
  <c r="AO78" i="2"/>
  <c r="AP78" i="2"/>
  <c r="AQ78" i="2"/>
  <c r="AR78" i="2"/>
  <c r="AU78" i="2"/>
  <c r="AV78" i="2"/>
  <c r="AW78" i="2"/>
  <c r="AX78" i="2"/>
  <c r="BY78" i="2"/>
  <c r="BZ78" i="2"/>
  <c r="CB78" i="2"/>
  <c r="CC78" i="2"/>
  <c r="CD78" i="2"/>
  <c r="CE78" i="2"/>
  <c r="CF78" i="2"/>
  <c r="CG78" i="2"/>
  <c r="CH78" i="2"/>
  <c r="CI78" i="2"/>
  <c r="CJ78" i="2"/>
  <c r="CM78" i="2"/>
  <c r="DJ78" i="2"/>
  <c r="DK78" i="2"/>
  <c r="DP78" i="2"/>
  <c r="DQ78" i="2"/>
  <c r="DR78" i="2"/>
  <c r="DS78" i="2"/>
  <c r="DT78" i="2"/>
  <c r="DU78" i="2"/>
  <c r="DV78" i="2"/>
  <c r="DX78" i="2"/>
  <c r="DY78" i="2"/>
  <c r="DZ78" i="2"/>
  <c r="EO78" i="2"/>
  <c r="EP78" i="2"/>
  <c r="EQ78" i="2"/>
  <c r="ER78" i="2"/>
  <c r="ES78" i="2"/>
  <c r="ET78" i="2"/>
  <c r="EU78" i="2"/>
  <c r="A79" i="2"/>
  <c r="B79" i="2"/>
  <c r="C79" i="2"/>
  <c r="D79" i="2"/>
  <c r="E79" i="2"/>
  <c r="F79" i="2"/>
  <c r="G79" i="2"/>
  <c r="H79" i="2"/>
  <c r="I79" i="2"/>
  <c r="J79" i="2"/>
  <c r="K79" i="2"/>
  <c r="L79" i="2"/>
  <c r="S79" i="2"/>
  <c r="T79" i="2"/>
  <c r="V79" i="2"/>
  <c r="W79" i="2"/>
  <c r="W79" i="2" a="1"/>
  <c r="X79" i="2"/>
  <c r="X79" i="2" a="1"/>
  <c r="Z79" i="2"/>
  <c r="AA79" i="2"/>
  <c r="AB79" i="2"/>
  <c r="AC79" i="2"/>
  <c r="AD79" i="2"/>
  <c r="AJ79" i="2"/>
  <c r="AU79" i="2"/>
  <c r="AV79" i="2"/>
  <c r="AW79" i="2"/>
  <c r="AX79" i="2"/>
  <c r="BY79" i="2"/>
  <c r="BZ79" i="2"/>
  <c r="CB79" i="2"/>
  <c r="CC79" i="2"/>
  <c r="CD79" i="2"/>
  <c r="CE79" i="2"/>
  <c r="CF79" i="2"/>
  <c r="CG79" i="2"/>
  <c r="CH79" i="2"/>
  <c r="CI79" i="2"/>
  <c r="CJ79" i="2"/>
  <c r="CM79" i="2"/>
  <c r="DJ79" i="2"/>
  <c r="DK79" i="2"/>
  <c r="DP79" i="2"/>
  <c r="DQ79" i="2"/>
  <c r="DR79" i="2"/>
  <c r="DS79" i="2"/>
  <c r="DT79" i="2"/>
  <c r="DU79" i="2"/>
  <c r="DV79" i="2"/>
  <c r="DX79" i="2"/>
  <c r="DY79" i="2"/>
  <c r="DZ79" i="2"/>
  <c r="EO79" i="2"/>
  <c r="EP79" i="2"/>
  <c r="EQ79" i="2"/>
  <c r="ER79" i="2"/>
  <c r="ES79" i="2"/>
  <c r="ET79" i="2"/>
  <c r="EU79" i="2"/>
  <c r="A80" i="2"/>
  <c r="B80" i="2"/>
  <c r="C80" i="2"/>
  <c r="D80" i="2"/>
  <c r="E80" i="2"/>
  <c r="F80" i="2"/>
  <c r="G80" i="2"/>
  <c r="H80" i="2"/>
  <c r="I80" i="2"/>
  <c r="J80" i="2"/>
  <c r="K80" i="2"/>
  <c r="L80" i="2"/>
  <c r="T80" i="2"/>
  <c r="V80" i="2"/>
  <c r="W80" i="2"/>
  <c r="W80" i="2" a="1"/>
  <c r="X80" i="2"/>
  <c r="X80" i="2" a="1"/>
  <c r="Z80" i="2"/>
  <c r="AA80" i="2"/>
  <c r="AB80" i="2"/>
  <c r="AC80" i="2"/>
  <c r="AD80" i="2"/>
  <c r="AJ80" i="2"/>
  <c r="AU80" i="2"/>
  <c r="AV80" i="2"/>
  <c r="AW80" i="2"/>
  <c r="AX80" i="2"/>
  <c r="BY80" i="2"/>
  <c r="BZ80" i="2"/>
  <c r="CB80" i="2"/>
  <c r="CC80" i="2"/>
  <c r="CD80" i="2"/>
  <c r="CE80" i="2"/>
  <c r="CF80" i="2"/>
  <c r="CG80" i="2"/>
  <c r="CH80" i="2"/>
  <c r="CI80" i="2"/>
  <c r="CJ80" i="2"/>
  <c r="CM80" i="2"/>
  <c r="DJ80" i="2"/>
  <c r="DK80" i="2"/>
  <c r="DP80" i="2"/>
  <c r="DQ80" i="2"/>
  <c r="DR80" i="2"/>
  <c r="DS80" i="2"/>
  <c r="DT80" i="2"/>
  <c r="DU80" i="2"/>
  <c r="DV80" i="2"/>
  <c r="DX80" i="2"/>
  <c r="DY80" i="2"/>
  <c r="DZ80" i="2"/>
  <c r="EO80" i="2"/>
  <c r="EP80" i="2"/>
  <c r="EQ80" i="2"/>
  <c r="ER80" i="2"/>
  <c r="A81" i="2"/>
  <c r="B81" i="2"/>
  <c r="C81" i="2"/>
  <c r="D81" i="2"/>
  <c r="E81" i="2"/>
  <c r="F81" i="2"/>
  <c r="G81" i="2"/>
  <c r="H81" i="2"/>
  <c r="I81" i="2"/>
  <c r="J81" i="2"/>
  <c r="K81" i="2"/>
  <c r="L81" i="2"/>
  <c r="O81" i="2"/>
  <c r="P81" i="2"/>
  <c r="T81" i="2"/>
  <c r="V81" i="2"/>
  <c r="W81" i="2"/>
  <c r="W81" i="2" a="1"/>
  <c r="X81" i="2"/>
  <c r="X81" i="2" a="1"/>
  <c r="Z81" i="2"/>
  <c r="AA81" i="2"/>
  <c r="AB81" i="2"/>
  <c r="AC81" i="2"/>
  <c r="AD81" i="2"/>
  <c r="AJ81" i="2"/>
  <c r="AK81" i="2"/>
  <c r="AL81" i="2"/>
  <c r="AM81" i="2"/>
  <c r="AN81" i="2"/>
  <c r="AO81" i="2"/>
  <c r="AP81" i="2"/>
  <c r="AQ81" i="2"/>
  <c r="AR81" i="2"/>
  <c r="AU81" i="2"/>
  <c r="AV81" i="2"/>
  <c r="AW81" i="2"/>
  <c r="AX81" i="2"/>
  <c r="BY81" i="2"/>
  <c r="BZ81" i="2"/>
  <c r="CB81" i="2"/>
  <c r="CC81" i="2"/>
  <c r="CD81" i="2"/>
  <c r="CE81" i="2"/>
  <c r="CF81" i="2"/>
  <c r="CG81" i="2"/>
  <c r="CH81" i="2"/>
  <c r="CI81" i="2"/>
  <c r="CJ81" i="2"/>
  <c r="CM81" i="2"/>
  <c r="DJ81" i="2"/>
  <c r="DK81" i="2"/>
  <c r="DP81" i="2"/>
  <c r="DQ81" i="2"/>
  <c r="DR81" i="2"/>
  <c r="DS81" i="2"/>
  <c r="DT81" i="2"/>
  <c r="DU81" i="2"/>
  <c r="DV81" i="2"/>
  <c r="DX81" i="2"/>
  <c r="DY81" i="2"/>
  <c r="DZ81" i="2"/>
  <c r="EO81" i="2"/>
  <c r="EP81" i="2"/>
  <c r="EQ81" i="2"/>
  <c r="ER81" i="2"/>
  <c r="A82" i="2"/>
  <c r="B82" i="2"/>
  <c r="C82" i="2"/>
  <c r="D82" i="2"/>
  <c r="E82" i="2"/>
  <c r="F82" i="2"/>
  <c r="G82" i="2"/>
  <c r="H82" i="2"/>
  <c r="I82" i="2"/>
  <c r="J82" i="2"/>
  <c r="K82" i="2"/>
  <c r="L82" i="2"/>
  <c r="W82" i="2"/>
  <c r="X82" i="2"/>
  <c r="Z82" i="2"/>
  <c r="AA82" i="2"/>
  <c r="AB82" i="2"/>
  <c r="AC82" i="2"/>
  <c r="AD82" i="2"/>
  <c r="AJ82" i="2"/>
  <c r="AK82" i="2"/>
  <c r="AL82" i="2"/>
  <c r="AM82" i="2"/>
  <c r="AN82" i="2"/>
  <c r="AO82" i="2"/>
  <c r="AP82" i="2"/>
  <c r="AQ82" i="2"/>
  <c r="AR82" i="2"/>
  <c r="AU82" i="2"/>
  <c r="AV82" i="2"/>
  <c r="AW82" i="2"/>
  <c r="AX82" i="2"/>
  <c r="BY82" i="2"/>
  <c r="BZ82" i="2"/>
  <c r="CB82" i="2"/>
  <c r="CC82" i="2"/>
  <c r="CD82" i="2"/>
  <c r="CE82" i="2"/>
  <c r="CF82" i="2"/>
  <c r="CG82" i="2"/>
  <c r="CH82" i="2"/>
  <c r="CI82" i="2"/>
  <c r="CJ82" i="2"/>
  <c r="CM82" i="2"/>
  <c r="DJ82" i="2"/>
  <c r="DK82" i="2"/>
  <c r="DP82" i="2"/>
  <c r="DQ82" i="2"/>
  <c r="DR82" i="2"/>
  <c r="DS82" i="2"/>
  <c r="DT82" i="2"/>
  <c r="DU82" i="2"/>
  <c r="DV82" i="2"/>
  <c r="DX82" i="2"/>
  <c r="DY82" i="2"/>
  <c r="DZ82" i="2"/>
  <c r="EO82" i="2"/>
  <c r="EP82" i="2"/>
  <c r="EQ82" i="2"/>
  <c r="ER82" i="2"/>
  <c r="A83" i="2"/>
  <c r="B83" i="2"/>
  <c r="C83" i="2"/>
  <c r="D83" i="2"/>
  <c r="E83" i="2"/>
  <c r="F83" i="2"/>
  <c r="G83" i="2"/>
  <c r="H83" i="2"/>
  <c r="I83" i="2"/>
  <c r="J83" i="2"/>
  <c r="K83" i="2"/>
  <c r="L83" i="2"/>
  <c r="AJ83" i="2"/>
  <c r="BY83" i="2"/>
  <c r="BZ83" i="2"/>
  <c r="CB83" i="2"/>
  <c r="CC83" i="2"/>
  <c r="CD83" i="2"/>
  <c r="CE83" i="2"/>
  <c r="CF83" i="2"/>
  <c r="CG83" i="2"/>
  <c r="CH83" i="2"/>
  <c r="CI83" i="2"/>
  <c r="CJ83" i="2"/>
  <c r="CM83" i="2"/>
  <c r="DJ83" i="2"/>
  <c r="DK83" i="2"/>
  <c r="DP83" i="2"/>
  <c r="DQ83" i="2"/>
  <c r="DR83" i="2"/>
  <c r="DS83" i="2"/>
  <c r="DT83" i="2"/>
  <c r="DU83" i="2"/>
  <c r="DV83" i="2"/>
  <c r="DX83" i="2"/>
  <c r="DY83" i="2"/>
  <c r="DZ83" i="2"/>
  <c r="A84" i="2"/>
  <c r="B84" i="2"/>
  <c r="C84" i="2"/>
  <c r="D84" i="2"/>
  <c r="E84" i="2"/>
  <c r="F84" i="2"/>
  <c r="G84" i="2"/>
  <c r="H84" i="2"/>
  <c r="I84" i="2"/>
  <c r="J84" i="2"/>
  <c r="K84" i="2"/>
  <c r="L84" i="2"/>
  <c r="AJ84" i="2"/>
  <c r="BY84" i="2"/>
  <c r="BZ84" i="2"/>
  <c r="CB84" i="2"/>
  <c r="CC84" i="2"/>
  <c r="CD84" i="2"/>
  <c r="CE84" i="2"/>
  <c r="CF84" i="2"/>
  <c r="CG84" i="2"/>
  <c r="CH84" i="2"/>
  <c r="CI84" i="2"/>
  <c r="CJ84" i="2"/>
  <c r="CM84" i="2"/>
  <c r="DJ84" i="2"/>
  <c r="DK84" i="2"/>
  <c r="DP84" i="2"/>
  <c r="DQ84" i="2"/>
  <c r="DR84" i="2"/>
  <c r="DS84" i="2"/>
  <c r="DT84" i="2"/>
  <c r="DU84" i="2"/>
  <c r="DV84" i="2"/>
  <c r="DX84" i="2"/>
  <c r="DY84" i="2"/>
  <c r="DZ84" i="2"/>
  <c r="A85" i="2"/>
  <c r="B85" i="2"/>
  <c r="C85" i="2"/>
  <c r="D85" i="2"/>
  <c r="E85" i="2"/>
  <c r="F85" i="2"/>
  <c r="G85" i="2"/>
  <c r="H85" i="2"/>
  <c r="I85" i="2"/>
  <c r="J85" i="2"/>
  <c r="K85" i="2"/>
  <c r="L85" i="2"/>
  <c r="O85" i="2"/>
  <c r="P85" i="2"/>
  <c r="AJ85" i="2"/>
  <c r="BY85" i="2"/>
  <c r="BZ85" i="2"/>
  <c r="CB85" i="2"/>
  <c r="CC85" i="2"/>
  <c r="CD85" i="2"/>
  <c r="CE85" i="2"/>
  <c r="CF85" i="2"/>
  <c r="CG85" i="2"/>
  <c r="CH85" i="2"/>
  <c r="CI85" i="2"/>
  <c r="CJ85" i="2"/>
  <c r="CM85" i="2"/>
  <c r="DJ85" i="2"/>
  <c r="DK85" i="2"/>
  <c r="DP85" i="2"/>
  <c r="DQ85" i="2"/>
  <c r="DR85" i="2"/>
  <c r="DS85" i="2"/>
  <c r="DT85" i="2"/>
  <c r="DU85" i="2"/>
  <c r="DV85" i="2"/>
  <c r="DX85" i="2"/>
  <c r="DY85" i="2"/>
  <c r="DZ85" i="2"/>
  <c r="A86" i="2"/>
  <c r="B86" i="2"/>
  <c r="C86" i="2"/>
  <c r="D86" i="2"/>
  <c r="E86" i="2"/>
  <c r="F86" i="2"/>
  <c r="G86" i="2"/>
  <c r="H86" i="2"/>
  <c r="I86" i="2"/>
  <c r="J86" i="2"/>
  <c r="K86" i="2"/>
  <c r="L86" i="2"/>
  <c r="AJ86" i="2"/>
  <c r="BY86" i="2"/>
  <c r="BZ86" i="2"/>
  <c r="CB86" i="2"/>
  <c r="CC86" i="2"/>
  <c r="CD86" i="2"/>
  <c r="CE86" i="2"/>
  <c r="CF86" i="2"/>
  <c r="CG86" i="2"/>
  <c r="CH86" i="2"/>
  <c r="CI86" i="2"/>
  <c r="CJ86" i="2"/>
  <c r="CM86" i="2"/>
  <c r="DJ86" i="2"/>
  <c r="DK86" i="2"/>
  <c r="DP86" i="2"/>
  <c r="DQ86" i="2"/>
  <c r="DR86" i="2"/>
  <c r="DS86" i="2"/>
  <c r="DT86" i="2"/>
  <c r="DU86" i="2"/>
  <c r="DV86" i="2"/>
  <c r="DX86" i="2"/>
  <c r="DY86" i="2"/>
  <c r="DZ86" i="2"/>
  <c r="A87" i="2"/>
  <c r="B87" i="2"/>
  <c r="C87" i="2"/>
  <c r="D87" i="2"/>
  <c r="E87" i="2"/>
  <c r="F87" i="2"/>
  <c r="G87" i="2"/>
  <c r="H87" i="2"/>
  <c r="I87" i="2"/>
  <c r="J87" i="2"/>
  <c r="K87" i="2"/>
  <c r="L87" i="2"/>
  <c r="AJ87" i="2"/>
  <c r="BY87" i="2"/>
  <c r="BZ87" i="2"/>
  <c r="CB87" i="2"/>
  <c r="CC87" i="2"/>
  <c r="CD87" i="2"/>
  <c r="CE87" i="2"/>
  <c r="CF87" i="2"/>
  <c r="CG87" i="2"/>
  <c r="CH87" i="2"/>
  <c r="CI87" i="2"/>
  <c r="CJ87" i="2"/>
  <c r="CM87" i="2"/>
  <c r="DJ87" i="2"/>
  <c r="DK87" i="2"/>
  <c r="DP87" i="2"/>
  <c r="DQ87" i="2"/>
  <c r="DR87" i="2"/>
  <c r="DS87" i="2"/>
  <c r="DT87" i="2"/>
  <c r="DU87" i="2"/>
  <c r="DV87" i="2"/>
  <c r="DX87" i="2"/>
  <c r="DY87" i="2"/>
  <c r="DZ87" i="2"/>
  <c r="A88" i="2"/>
  <c r="B88" i="2"/>
  <c r="C88" i="2"/>
  <c r="D88" i="2"/>
  <c r="E88" i="2"/>
  <c r="F88" i="2"/>
  <c r="G88" i="2"/>
  <c r="H88" i="2"/>
  <c r="I88" i="2"/>
  <c r="J88" i="2"/>
  <c r="K88" i="2"/>
  <c r="L88" i="2"/>
  <c r="AJ88" i="2"/>
  <c r="BY88" i="2"/>
  <c r="BZ88" i="2"/>
  <c r="CB88" i="2"/>
  <c r="CC88" i="2"/>
  <c r="CD88" i="2"/>
  <c r="CE88" i="2"/>
  <c r="CF88" i="2"/>
  <c r="CG88" i="2"/>
  <c r="CH88" i="2"/>
  <c r="CI88" i="2"/>
  <c r="CJ88" i="2"/>
  <c r="CM88" i="2"/>
  <c r="DJ88" i="2"/>
  <c r="DK88" i="2"/>
  <c r="DP88" i="2"/>
  <c r="DQ88" i="2"/>
  <c r="DR88" i="2"/>
  <c r="DS88" i="2"/>
  <c r="DT88" i="2"/>
  <c r="DU88" i="2"/>
  <c r="DV88" i="2"/>
  <c r="DX88" i="2"/>
  <c r="DY88" i="2"/>
  <c r="DZ88" i="2"/>
  <c r="A89" i="2"/>
  <c r="B89" i="2"/>
  <c r="C89" i="2"/>
  <c r="D89" i="2"/>
  <c r="E89" i="2"/>
  <c r="F89" i="2"/>
  <c r="G89" i="2"/>
  <c r="H89" i="2"/>
  <c r="I89" i="2"/>
  <c r="J89" i="2"/>
  <c r="K89" i="2"/>
  <c r="L89" i="2"/>
  <c r="AJ89" i="2"/>
  <c r="BY89" i="2"/>
  <c r="BZ89" i="2"/>
  <c r="CB89" i="2"/>
  <c r="CC89" i="2"/>
  <c r="CD89" i="2"/>
  <c r="CE89" i="2"/>
  <c r="CF89" i="2"/>
  <c r="CG89" i="2"/>
  <c r="CH89" i="2"/>
  <c r="CI89" i="2"/>
  <c r="CJ89" i="2"/>
  <c r="DJ89" i="2"/>
  <c r="DK89" i="2"/>
  <c r="DP89" i="2"/>
  <c r="DQ89" i="2"/>
  <c r="DR89" i="2"/>
  <c r="DS89" i="2"/>
  <c r="DT89" i="2"/>
  <c r="DU89" i="2"/>
  <c r="DV89" i="2"/>
  <c r="DX89" i="2"/>
  <c r="DY89" i="2"/>
  <c r="DZ89" i="2"/>
  <c r="A90" i="2"/>
  <c r="B90" i="2"/>
  <c r="C90" i="2"/>
  <c r="D90" i="2"/>
  <c r="E90" i="2"/>
  <c r="F90" i="2"/>
  <c r="G90" i="2"/>
  <c r="H90" i="2"/>
  <c r="I90" i="2"/>
  <c r="J90" i="2"/>
  <c r="K90" i="2"/>
  <c r="L90" i="2"/>
  <c r="AJ90" i="2"/>
  <c r="BY90" i="2"/>
  <c r="BZ90" i="2"/>
  <c r="CB90" i="2"/>
  <c r="CC90" i="2"/>
  <c r="CD90" i="2"/>
  <c r="CE90" i="2"/>
  <c r="CF90" i="2"/>
  <c r="CG90" i="2"/>
  <c r="CH90" i="2"/>
  <c r="CI90" i="2"/>
  <c r="CJ90" i="2"/>
  <c r="CM90" i="2"/>
  <c r="DJ90" i="2"/>
  <c r="DK90" i="2"/>
  <c r="DP90" i="2"/>
  <c r="DQ90" i="2"/>
  <c r="DR90" i="2"/>
  <c r="DS90" i="2"/>
  <c r="DT90" i="2"/>
  <c r="DU90" i="2"/>
  <c r="DV90" i="2"/>
  <c r="DX90" i="2"/>
  <c r="DY90" i="2"/>
  <c r="DZ90" i="2"/>
  <c r="A91" i="2"/>
  <c r="B91" i="2"/>
  <c r="C91" i="2"/>
  <c r="D91" i="2"/>
  <c r="E91" i="2"/>
  <c r="F91" i="2"/>
  <c r="G91" i="2"/>
  <c r="H91" i="2"/>
  <c r="I91" i="2"/>
  <c r="J91" i="2"/>
  <c r="K91" i="2"/>
  <c r="L91" i="2"/>
  <c r="AJ91" i="2"/>
  <c r="BY91" i="2"/>
  <c r="BZ91" i="2"/>
  <c r="CB91" i="2"/>
  <c r="CC91" i="2"/>
  <c r="CD91" i="2"/>
  <c r="CE91" i="2"/>
  <c r="CF91" i="2"/>
  <c r="CG91" i="2"/>
  <c r="CH91" i="2"/>
  <c r="CI91" i="2"/>
  <c r="CJ91" i="2"/>
  <c r="DJ91" i="2"/>
  <c r="DK91" i="2"/>
  <c r="DP91" i="2"/>
  <c r="DQ91" i="2"/>
  <c r="DR91" i="2"/>
  <c r="DS91" i="2"/>
  <c r="DT91" i="2"/>
  <c r="DU91" i="2"/>
  <c r="DV91" i="2"/>
  <c r="DX91" i="2"/>
  <c r="DY91" i="2"/>
  <c r="DZ91" i="2"/>
  <c r="A92" i="2"/>
  <c r="B92" i="2"/>
  <c r="C92" i="2"/>
  <c r="D92" i="2"/>
  <c r="E92" i="2"/>
  <c r="F92" i="2"/>
  <c r="G92" i="2"/>
  <c r="H92" i="2"/>
  <c r="I92" i="2"/>
  <c r="J92" i="2"/>
  <c r="K92" i="2"/>
  <c r="L92" i="2"/>
  <c r="AJ92" i="2"/>
  <c r="BY92" i="2"/>
  <c r="BZ92" i="2"/>
  <c r="CB92" i="2"/>
  <c r="CC92" i="2"/>
  <c r="CD92" i="2"/>
  <c r="CE92" i="2"/>
  <c r="CF92" i="2"/>
  <c r="CG92" i="2"/>
  <c r="CH92" i="2"/>
  <c r="CI92" i="2"/>
  <c r="CJ92" i="2"/>
  <c r="DJ92" i="2"/>
  <c r="DK92" i="2"/>
  <c r="DP92" i="2"/>
  <c r="DQ92" i="2"/>
  <c r="DR92" i="2"/>
  <c r="DS92" i="2"/>
  <c r="DT92" i="2"/>
  <c r="DU92" i="2"/>
  <c r="DV92" i="2"/>
  <c r="DX92" i="2"/>
  <c r="DY92" i="2"/>
  <c r="DZ92" i="2"/>
  <c r="A93" i="2"/>
  <c r="B93" i="2"/>
  <c r="C93" i="2"/>
  <c r="D93" i="2"/>
  <c r="E93" i="2"/>
  <c r="F93" i="2"/>
  <c r="G93" i="2"/>
  <c r="H93" i="2"/>
  <c r="I93" i="2"/>
  <c r="J93" i="2"/>
  <c r="K93" i="2"/>
  <c r="L93" i="2"/>
  <c r="AJ93" i="2"/>
  <c r="BY93" i="2"/>
  <c r="BZ93" i="2"/>
  <c r="CB93" i="2"/>
  <c r="CC93" i="2"/>
  <c r="CD93" i="2"/>
  <c r="CE93" i="2"/>
  <c r="CF93" i="2"/>
  <c r="CG93" i="2"/>
  <c r="CH93" i="2"/>
  <c r="CI93" i="2"/>
  <c r="CJ93" i="2"/>
  <c r="DJ93" i="2"/>
  <c r="DK93" i="2"/>
  <c r="DP93" i="2"/>
  <c r="DQ93" i="2"/>
  <c r="DR93" i="2"/>
  <c r="DS93" i="2"/>
  <c r="DT93" i="2"/>
  <c r="DU93" i="2"/>
  <c r="DV93" i="2"/>
  <c r="DX93" i="2"/>
  <c r="DY93" i="2"/>
  <c r="DZ93" i="2"/>
  <c r="A94" i="2"/>
  <c r="B94" i="2"/>
  <c r="C94" i="2"/>
  <c r="D94" i="2"/>
  <c r="E94" i="2"/>
  <c r="F94" i="2"/>
  <c r="G94" i="2"/>
  <c r="H94" i="2"/>
  <c r="I94" i="2"/>
  <c r="J94" i="2"/>
  <c r="K94" i="2"/>
  <c r="L94" i="2"/>
  <c r="AJ94" i="2"/>
  <c r="BY94" i="2"/>
  <c r="BZ94" i="2"/>
  <c r="CB94" i="2"/>
  <c r="CC94" i="2"/>
  <c r="CD94" i="2"/>
  <c r="CE94" i="2"/>
  <c r="CF94" i="2"/>
  <c r="CG94" i="2"/>
  <c r="CH94" i="2"/>
  <c r="CI94" i="2"/>
  <c r="CJ94" i="2"/>
  <c r="DJ94" i="2"/>
  <c r="DK94" i="2"/>
  <c r="DP94" i="2"/>
  <c r="DQ94" i="2"/>
  <c r="DR94" i="2"/>
  <c r="DS94" i="2"/>
  <c r="DT94" i="2"/>
  <c r="DU94" i="2"/>
  <c r="DV94" i="2"/>
  <c r="DX94" i="2"/>
  <c r="DY94" i="2"/>
  <c r="DZ94" i="2"/>
  <c r="CJ95" i="2"/>
  <c r="DJ95" i="2"/>
  <c r="DK95" i="2"/>
  <c r="DP95" i="2"/>
  <c r="DQ95" i="2"/>
  <c r="DR95" i="2"/>
  <c r="DS95" i="2"/>
  <c r="DT95" i="2"/>
  <c r="DU95" i="2"/>
  <c r="DV95" i="2"/>
  <c r="DX95" i="2"/>
  <c r="DY95" i="2"/>
  <c r="DZ95" i="2"/>
  <c r="CF96" i="2"/>
  <c r="DJ96" i="2"/>
  <c r="DK96" i="2"/>
  <c r="DP96" i="2"/>
  <c r="DQ96" i="2"/>
  <c r="DR96" i="2"/>
  <c r="DS96" i="2"/>
  <c r="DT96" i="2"/>
  <c r="DU96" i="2"/>
  <c r="DV96" i="2"/>
  <c r="DX96" i="2"/>
  <c r="DY96" i="2"/>
  <c r="DZ96" i="2"/>
  <c r="DJ97" i="2"/>
  <c r="DK97" i="2"/>
  <c r="DP97" i="2"/>
  <c r="DQ97" i="2"/>
  <c r="DR97" i="2"/>
  <c r="DS97" i="2"/>
  <c r="DT97" i="2"/>
  <c r="DU97" i="2"/>
  <c r="DV97" i="2"/>
  <c r="DX97" i="2"/>
  <c r="DY97" i="2"/>
  <c r="DZ97" i="2"/>
  <c r="DJ98" i="2"/>
  <c r="DK98" i="2"/>
  <c r="DP98" i="2"/>
  <c r="DQ98" i="2"/>
  <c r="DR98" i="2"/>
  <c r="DS98" i="2"/>
  <c r="DT98" i="2"/>
  <c r="DU98" i="2"/>
  <c r="DV98" i="2"/>
  <c r="DX98" i="2"/>
  <c r="DY98" i="2"/>
  <c r="DZ98" i="2"/>
  <c r="DJ99" i="2"/>
  <c r="DK99" i="2"/>
  <c r="DP99" i="2"/>
  <c r="DQ99" i="2"/>
  <c r="DR99" i="2"/>
  <c r="DS99" i="2"/>
  <c r="DT99" i="2"/>
  <c r="DU99" i="2"/>
  <c r="DV99" i="2"/>
  <c r="DX99" i="2"/>
  <c r="DY99" i="2"/>
  <c r="DZ99" i="2"/>
  <c r="A100" i="2"/>
  <c r="B100" i="2"/>
  <c r="C100" i="2"/>
  <c r="D100" i="2"/>
  <c r="E100" i="2"/>
  <c r="F100" i="2"/>
  <c r="J100" i="2"/>
  <c r="K100" i="2"/>
  <c r="L100" i="2"/>
  <c r="N100" i="2"/>
  <c r="O100" i="2"/>
  <c r="P100" i="2"/>
  <c r="Q100" i="2"/>
  <c r="R100" i="2"/>
  <c r="S100" i="2"/>
  <c r="W100" i="2"/>
  <c r="X100" i="2"/>
  <c r="Y100" i="2"/>
  <c r="Z100" i="2"/>
  <c r="AM100" i="2"/>
  <c r="AS100" i="2"/>
  <c r="DJ100" i="2"/>
  <c r="DK100" i="2"/>
  <c r="DP100" i="2"/>
  <c r="DQ100" i="2"/>
  <c r="DR100" i="2"/>
  <c r="DS100" i="2"/>
  <c r="DT100" i="2"/>
  <c r="DU100" i="2"/>
  <c r="DV100" i="2"/>
  <c r="DX100" i="2"/>
  <c r="DY100" i="2"/>
  <c r="DZ100" i="2"/>
  <c r="A101" i="2"/>
  <c r="B101" i="2"/>
  <c r="C101" i="2"/>
  <c r="D101" i="2"/>
  <c r="E101" i="2"/>
  <c r="F101" i="2"/>
  <c r="J101" i="2"/>
  <c r="K101" i="2"/>
  <c r="L101" i="2"/>
  <c r="N101" i="2"/>
  <c r="O101" i="2"/>
  <c r="P101" i="2"/>
  <c r="Q101" i="2"/>
  <c r="R101" i="2"/>
  <c r="S101" i="2"/>
  <c r="W101" i="2"/>
  <c r="X101" i="2"/>
  <c r="Y101" i="2"/>
  <c r="Z101" i="2"/>
  <c r="AM101" i="2"/>
  <c r="AS101" i="2"/>
  <c r="DJ101" i="2"/>
  <c r="DK101" i="2"/>
  <c r="DP101" i="2"/>
  <c r="DQ101" i="2"/>
  <c r="DR101" i="2"/>
  <c r="DS101" i="2"/>
  <c r="DT101" i="2"/>
  <c r="DU101" i="2"/>
  <c r="DV101" i="2"/>
  <c r="DX101" i="2"/>
  <c r="DY101" i="2"/>
  <c r="DZ101" i="2"/>
  <c r="A102" i="2"/>
  <c r="B102" i="2"/>
  <c r="C102" i="2"/>
  <c r="D102" i="2"/>
  <c r="E102" i="2"/>
  <c r="F102" i="2"/>
  <c r="J102" i="2"/>
  <c r="K102" i="2"/>
  <c r="L102" i="2"/>
  <c r="N102" i="2"/>
  <c r="O102" i="2"/>
  <c r="P102" i="2"/>
  <c r="Q102" i="2"/>
  <c r="R102" i="2"/>
  <c r="S102" i="2"/>
  <c r="W102" i="2"/>
  <c r="X102" i="2"/>
  <c r="Y102" i="2"/>
  <c r="Z102" i="2"/>
  <c r="AM102" i="2"/>
  <c r="AS102" i="2"/>
  <c r="DJ102" i="2"/>
  <c r="DK102" i="2"/>
  <c r="DP102" i="2"/>
  <c r="DQ102" i="2"/>
  <c r="DR102" i="2"/>
  <c r="DS102" i="2"/>
  <c r="DT102" i="2"/>
  <c r="DU102" i="2"/>
  <c r="DV102" i="2"/>
  <c r="DX102" i="2"/>
  <c r="DY102" i="2"/>
  <c r="DZ102" i="2"/>
  <c r="A103" i="2"/>
  <c r="B103" i="2"/>
  <c r="C103" i="2"/>
  <c r="D103" i="2"/>
  <c r="E103" i="2"/>
  <c r="F103" i="2"/>
  <c r="J103" i="2"/>
  <c r="K103" i="2"/>
  <c r="L103" i="2"/>
  <c r="N103" i="2"/>
  <c r="O103" i="2"/>
  <c r="P103" i="2"/>
  <c r="Q103" i="2"/>
  <c r="S103" i="2"/>
  <c r="W103" i="2"/>
  <c r="X103" i="2"/>
  <c r="Y103" i="2"/>
  <c r="Z103" i="2"/>
  <c r="AM103" i="2"/>
  <c r="AS103" i="2"/>
  <c r="DJ103" i="2"/>
  <c r="DK103" i="2"/>
  <c r="DP103" i="2"/>
  <c r="DQ103" i="2"/>
  <c r="DR103" i="2"/>
  <c r="DS103" i="2"/>
  <c r="DT103" i="2"/>
  <c r="DU103" i="2"/>
  <c r="DV103" i="2"/>
  <c r="DX103" i="2"/>
  <c r="DY103" i="2"/>
  <c r="DZ103" i="2"/>
  <c r="A104" i="2"/>
  <c r="B104" i="2"/>
  <c r="C104" i="2"/>
  <c r="D104" i="2"/>
  <c r="E104" i="2"/>
  <c r="F104" i="2"/>
  <c r="J104" i="2"/>
  <c r="K104" i="2"/>
  <c r="L104" i="2"/>
  <c r="N104" i="2"/>
  <c r="O104" i="2"/>
  <c r="P104" i="2"/>
  <c r="Q104" i="2"/>
  <c r="R104" i="2"/>
  <c r="S104" i="2"/>
  <c r="W104" i="2"/>
  <c r="X104" i="2"/>
  <c r="Y104" i="2"/>
  <c r="Z104" i="2"/>
  <c r="AM104" i="2"/>
  <c r="AS104" i="2"/>
  <c r="DJ104" i="2"/>
  <c r="DK104" i="2"/>
  <c r="DP104" i="2"/>
  <c r="DQ104" i="2"/>
  <c r="DR104" i="2"/>
  <c r="DS104" i="2"/>
  <c r="DT104" i="2"/>
  <c r="DU104" i="2"/>
  <c r="DV104" i="2"/>
  <c r="DX104" i="2"/>
  <c r="DY104" i="2"/>
  <c r="DZ104" i="2"/>
  <c r="A105" i="2"/>
  <c r="B105" i="2"/>
  <c r="C105" i="2"/>
  <c r="D105" i="2"/>
  <c r="E105" i="2"/>
  <c r="F105" i="2"/>
  <c r="J105" i="2"/>
  <c r="K105" i="2"/>
  <c r="L105" i="2"/>
  <c r="N105" i="2"/>
  <c r="O105" i="2"/>
  <c r="P105" i="2"/>
  <c r="Q105" i="2"/>
  <c r="R105" i="2"/>
  <c r="S105" i="2"/>
  <c r="W105" i="2"/>
  <c r="X105" i="2"/>
  <c r="Y105" i="2"/>
  <c r="Z105" i="2"/>
  <c r="AM105" i="2"/>
  <c r="AS105" i="2"/>
  <c r="DJ105" i="2"/>
  <c r="DK105" i="2"/>
  <c r="DP105" i="2"/>
  <c r="DQ105" i="2"/>
  <c r="DR105" i="2"/>
  <c r="DS105" i="2"/>
  <c r="DT105" i="2"/>
  <c r="DU105" i="2"/>
  <c r="DV105" i="2"/>
  <c r="DX105" i="2"/>
  <c r="DY105" i="2"/>
  <c r="DZ105" i="2"/>
  <c r="A106" i="2"/>
  <c r="B106" i="2"/>
  <c r="C106" i="2"/>
  <c r="D106" i="2"/>
  <c r="E106" i="2"/>
  <c r="F106" i="2"/>
  <c r="J106" i="2"/>
  <c r="K106" i="2"/>
  <c r="L106" i="2"/>
  <c r="N106" i="2"/>
  <c r="O106" i="2"/>
  <c r="P106" i="2"/>
  <c r="Q106" i="2"/>
  <c r="R106" i="2"/>
  <c r="S106" i="2"/>
  <c r="W106" i="2"/>
  <c r="X106" i="2"/>
  <c r="Y106" i="2"/>
  <c r="Z106" i="2"/>
  <c r="AM106" i="2"/>
  <c r="AS106" i="2"/>
  <c r="DJ106" i="2"/>
  <c r="DK106" i="2"/>
  <c r="DP106" i="2"/>
  <c r="DQ106" i="2"/>
  <c r="DR106" i="2"/>
  <c r="DS106" i="2"/>
  <c r="DT106" i="2"/>
  <c r="DU106" i="2"/>
  <c r="DV106" i="2"/>
  <c r="DX106" i="2"/>
  <c r="DY106" i="2"/>
  <c r="DZ106" i="2"/>
  <c r="A107" i="2"/>
  <c r="B107" i="2"/>
  <c r="C107" i="2"/>
  <c r="D107" i="2"/>
  <c r="E107" i="2"/>
  <c r="F107" i="2"/>
  <c r="J107" i="2"/>
  <c r="K107" i="2"/>
  <c r="L107" i="2"/>
  <c r="N107" i="2"/>
  <c r="O107" i="2"/>
  <c r="P107" i="2"/>
  <c r="Q107" i="2"/>
  <c r="R107" i="2"/>
  <c r="S107" i="2"/>
  <c r="W107" i="2"/>
  <c r="X107" i="2"/>
  <c r="Y107" i="2"/>
  <c r="Z107" i="2"/>
  <c r="AM107" i="2"/>
  <c r="AS107" i="2"/>
  <c r="DJ107" i="2"/>
  <c r="DK107" i="2"/>
  <c r="DP107" i="2"/>
  <c r="DQ107" i="2"/>
  <c r="DR107" i="2"/>
  <c r="DS107" i="2"/>
  <c r="DT107" i="2"/>
  <c r="DU107" i="2"/>
  <c r="DV107" i="2"/>
  <c r="DX107" i="2"/>
  <c r="DY107" i="2"/>
  <c r="DZ107" i="2"/>
  <c r="A108" i="2"/>
  <c r="B108" i="2"/>
  <c r="C108" i="2"/>
  <c r="D108" i="2"/>
  <c r="E108" i="2"/>
  <c r="F108" i="2"/>
  <c r="J108" i="2"/>
  <c r="K108" i="2"/>
  <c r="L108" i="2"/>
  <c r="N108" i="2"/>
  <c r="O108" i="2"/>
  <c r="P108" i="2"/>
  <c r="Q108" i="2"/>
  <c r="R108" i="2"/>
  <c r="S108" i="2"/>
  <c r="W108" i="2"/>
  <c r="X108" i="2"/>
  <c r="Y108" i="2"/>
  <c r="Z108" i="2"/>
  <c r="AM108" i="2"/>
  <c r="AS108" i="2"/>
  <c r="DJ108" i="2"/>
  <c r="DK108" i="2"/>
  <c r="DP108" i="2"/>
  <c r="DQ108" i="2"/>
  <c r="DR108" i="2"/>
  <c r="DS108" i="2"/>
  <c r="DT108" i="2"/>
  <c r="DU108" i="2"/>
  <c r="DV108" i="2"/>
  <c r="DX108" i="2"/>
  <c r="DY108" i="2"/>
  <c r="DZ108" i="2"/>
  <c r="A109" i="2"/>
  <c r="B109" i="2"/>
  <c r="C109" i="2"/>
  <c r="D109" i="2"/>
  <c r="E109" i="2"/>
  <c r="F109" i="2"/>
  <c r="J109" i="2"/>
  <c r="K109" i="2"/>
  <c r="L109" i="2"/>
  <c r="N109" i="2"/>
  <c r="O109" i="2"/>
  <c r="P109" i="2"/>
  <c r="Q109" i="2"/>
  <c r="R109" i="2"/>
  <c r="S109" i="2"/>
  <c r="W109" i="2"/>
  <c r="X109" i="2"/>
  <c r="Y109" i="2"/>
  <c r="Z109" i="2"/>
  <c r="AM109" i="2"/>
  <c r="AS109" i="2"/>
  <c r="DJ109" i="2"/>
  <c r="DK109" i="2"/>
  <c r="DP109" i="2"/>
  <c r="DQ109" i="2"/>
  <c r="DR109" i="2"/>
  <c r="DS109" i="2"/>
  <c r="DT109" i="2"/>
  <c r="DU109" i="2"/>
  <c r="DV109" i="2"/>
  <c r="DX109" i="2"/>
  <c r="DY109" i="2"/>
  <c r="DZ109" i="2"/>
  <c r="A110" i="2"/>
  <c r="B110" i="2"/>
  <c r="C110" i="2"/>
  <c r="D110" i="2"/>
  <c r="E110" i="2"/>
  <c r="F110" i="2"/>
  <c r="J110" i="2"/>
  <c r="K110" i="2"/>
  <c r="L110" i="2"/>
  <c r="N110" i="2"/>
  <c r="O110" i="2"/>
  <c r="P110" i="2"/>
  <c r="Q110" i="2"/>
  <c r="R110" i="2"/>
  <c r="S110" i="2"/>
  <c r="W110" i="2"/>
  <c r="X110" i="2"/>
  <c r="Y110" i="2"/>
  <c r="Z110" i="2"/>
  <c r="AS110" i="2"/>
  <c r="DJ110" i="2"/>
  <c r="DK110" i="2"/>
  <c r="DP110" i="2"/>
  <c r="DQ110" i="2"/>
  <c r="DR110" i="2"/>
  <c r="DS110" i="2"/>
  <c r="DT110" i="2"/>
  <c r="DU110" i="2"/>
  <c r="DV110" i="2"/>
  <c r="DX110" i="2"/>
  <c r="DY110" i="2"/>
  <c r="DZ110" i="2"/>
  <c r="A111" i="2"/>
  <c r="B111" i="2"/>
  <c r="C111" i="2"/>
  <c r="D111" i="2"/>
  <c r="E111" i="2"/>
  <c r="F111" i="2"/>
  <c r="J111" i="2"/>
  <c r="K111" i="2"/>
  <c r="L111" i="2"/>
  <c r="W111" i="2"/>
  <c r="X111" i="2"/>
  <c r="Y111" i="2"/>
  <c r="Z111" i="2"/>
  <c r="AS111" i="2"/>
  <c r="DJ111" i="2"/>
  <c r="DK111" i="2"/>
  <c r="DP111" i="2"/>
  <c r="DQ111" i="2"/>
  <c r="DR111" i="2"/>
  <c r="DS111" i="2"/>
  <c r="DT111" i="2"/>
  <c r="DU111" i="2"/>
  <c r="DV111" i="2"/>
  <c r="DX111" i="2"/>
  <c r="DY111" i="2"/>
  <c r="DZ111" i="2"/>
  <c r="A112" i="2"/>
  <c r="B112" i="2"/>
  <c r="C112" i="2"/>
  <c r="D112" i="2"/>
  <c r="E112" i="2"/>
  <c r="F112" i="2"/>
  <c r="J112" i="2"/>
  <c r="K112" i="2"/>
  <c r="L112" i="2"/>
  <c r="W112" i="2"/>
  <c r="X112" i="2"/>
  <c r="Y112" i="2"/>
  <c r="Z112" i="2"/>
  <c r="AS112" i="2"/>
  <c r="DJ112" i="2"/>
  <c r="DK112" i="2"/>
  <c r="DP112" i="2"/>
  <c r="DQ112" i="2"/>
  <c r="DR112" i="2"/>
  <c r="DS112" i="2"/>
  <c r="DT112" i="2"/>
  <c r="DU112" i="2"/>
  <c r="DV112" i="2"/>
  <c r="DX112" i="2"/>
  <c r="DY112" i="2"/>
  <c r="DZ112" i="2"/>
  <c r="A113" i="2"/>
  <c r="B113" i="2"/>
  <c r="C113" i="2"/>
  <c r="D113" i="2"/>
  <c r="E113" i="2"/>
  <c r="F113" i="2"/>
  <c r="J113" i="2"/>
  <c r="K113" i="2"/>
  <c r="L113" i="2"/>
  <c r="W113" i="2"/>
  <c r="X113" i="2"/>
  <c r="Y113" i="2"/>
  <c r="Z113" i="2"/>
  <c r="AS113" i="2"/>
  <c r="DJ113" i="2"/>
  <c r="DK113" i="2"/>
  <c r="DP113" i="2"/>
  <c r="DQ113" i="2"/>
  <c r="DR113" i="2"/>
  <c r="DS113" i="2"/>
  <c r="DT113" i="2"/>
  <c r="DU113" i="2"/>
  <c r="DV113" i="2"/>
  <c r="DX113" i="2"/>
  <c r="DY113" i="2"/>
  <c r="DZ113" i="2"/>
  <c r="A114" i="2"/>
  <c r="B114" i="2"/>
  <c r="C114" i="2"/>
  <c r="D114" i="2"/>
  <c r="E114" i="2"/>
  <c r="F114" i="2"/>
  <c r="J114" i="2"/>
  <c r="K114" i="2"/>
  <c r="L114" i="2"/>
  <c r="W114" i="2"/>
  <c r="X114" i="2"/>
  <c r="Y114" i="2"/>
  <c r="Z114" i="2"/>
  <c r="AK114" i="2"/>
  <c r="AM114" i="2"/>
  <c r="AQ114" i="2"/>
  <c r="AS114" i="2"/>
  <c r="DJ114" i="2"/>
  <c r="DK114" i="2"/>
  <c r="DP114" i="2"/>
  <c r="DQ114" i="2"/>
  <c r="DR114" i="2"/>
  <c r="DS114" i="2"/>
  <c r="DT114" i="2"/>
  <c r="DU114" i="2"/>
  <c r="DV114" i="2"/>
  <c r="DX114" i="2"/>
  <c r="DY114" i="2"/>
  <c r="DZ114" i="2"/>
  <c r="A115" i="2"/>
  <c r="B115" i="2"/>
  <c r="C115" i="2"/>
  <c r="D115" i="2"/>
  <c r="E115" i="2"/>
  <c r="F115" i="2"/>
  <c r="J115" i="2"/>
  <c r="K115" i="2"/>
  <c r="L115" i="2"/>
  <c r="W115" i="2"/>
  <c r="X115" i="2"/>
  <c r="Y115" i="2"/>
  <c r="Z115" i="2"/>
  <c r="DJ115" i="2"/>
  <c r="DK115" i="2"/>
  <c r="DP115" i="2"/>
  <c r="DQ115" i="2"/>
  <c r="DR115" i="2"/>
  <c r="DS115" i="2"/>
  <c r="DT115" i="2"/>
  <c r="DU115" i="2"/>
  <c r="DV115" i="2"/>
  <c r="DX115" i="2"/>
  <c r="DY115" i="2"/>
  <c r="DZ115" i="2"/>
  <c r="A116" i="2"/>
  <c r="B116" i="2"/>
  <c r="C116" i="2"/>
  <c r="D116" i="2"/>
  <c r="E116" i="2"/>
  <c r="F116" i="2"/>
  <c r="J116" i="2"/>
  <c r="K116" i="2"/>
  <c r="L116" i="2"/>
  <c r="W116" i="2"/>
  <c r="X116" i="2"/>
  <c r="Y116" i="2"/>
  <c r="Z116" i="2"/>
  <c r="DJ116" i="2"/>
  <c r="DK116" i="2"/>
  <c r="DP116" i="2"/>
  <c r="DQ116" i="2"/>
  <c r="DR116" i="2"/>
  <c r="DS116" i="2"/>
  <c r="DT116" i="2"/>
  <c r="DU116" i="2"/>
  <c r="DV116" i="2"/>
  <c r="DX116" i="2"/>
  <c r="DY116" i="2"/>
  <c r="DZ116" i="2"/>
  <c r="A117" i="2"/>
  <c r="B117" i="2"/>
  <c r="C117" i="2"/>
  <c r="D117" i="2"/>
  <c r="E117" i="2"/>
  <c r="F117" i="2"/>
  <c r="J117" i="2"/>
  <c r="K117" i="2"/>
  <c r="L117" i="2"/>
  <c r="W117" i="2"/>
  <c r="X117" i="2"/>
  <c r="Y117" i="2"/>
  <c r="Z117" i="2"/>
  <c r="DJ117" i="2"/>
  <c r="DK117" i="2"/>
  <c r="DP117" i="2"/>
  <c r="DQ117" i="2"/>
  <c r="DR117" i="2"/>
  <c r="DS117" i="2"/>
  <c r="DT117" i="2"/>
  <c r="DU117" i="2"/>
  <c r="DV117" i="2"/>
  <c r="DX117" i="2"/>
  <c r="DY117" i="2"/>
  <c r="DZ117" i="2"/>
  <c r="A118" i="2"/>
  <c r="B118" i="2"/>
  <c r="C118" i="2"/>
  <c r="D118" i="2"/>
  <c r="E118" i="2"/>
  <c r="F118" i="2"/>
  <c r="J118" i="2"/>
  <c r="K118" i="2"/>
  <c r="L118" i="2"/>
  <c r="W118" i="2"/>
  <c r="X118" i="2"/>
  <c r="Y118" i="2"/>
  <c r="Z118" i="2"/>
  <c r="DJ118" i="2"/>
  <c r="DK118" i="2"/>
  <c r="DP118" i="2"/>
  <c r="DQ118" i="2"/>
  <c r="DR118" i="2"/>
  <c r="DS118" i="2"/>
  <c r="DT118" i="2"/>
  <c r="DU118" i="2"/>
  <c r="DV118" i="2"/>
  <c r="DX118" i="2"/>
  <c r="DY118" i="2"/>
  <c r="DZ118" i="2"/>
  <c r="A119" i="2"/>
  <c r="B119" i="2"/>
  <c r="C119" i="2"/>
  <c r="D119" i="2"/>
  <c r="E119" i="2"/>
  <c r="F119" i="2"/>
  <c r="J119" i="2"/>
  <c r="K119" i="2"/>
  <c r="L119" i="2"/>
  <c r="W119" i="2"/>
  <c r="X119" i="2"/>
  <c r="Y119" i="2"/>
  <c r="Z119" i="2"/>
  <c r="DJ119" i="2"/>
  <c r="DK119" i="2"/>
  <c r="DP119" i="2"/>
  <c r="DQ119" i="2"/>
  <c r="DR119" i="2"/>
  <c r="DS119" i="2"/>
  <c r="DT119" i="2"/>
  <c r="DU119" i="2"/>
  <c r="DV119" i="2"/>
  <c r="DX119" i="2"/>
  <c r="DY119" i="2"/>
  <c r="DZ119" i="2"/>
  <c r="A120" i="2"/>
  <c r="B120" i="2"/>
  <c r="C120" i="2"/>
  <c r="D120" i="2"/>
  <c r="E120" i="2"/>
  <c r="F120" i="2"/>
  <c r="J120" i="2"/>
  <c r="K120" i="2"/>
  <c r="L120" i="2"/>
  <c r="W120" i="2"/>
  <c r="X120" i="2"/>
  <c r="Y120" i="2"/>
  <c r="Z120" i="2"/>
  <c r="DJ120" i="2"/>
  <c r="DK120" i="2"/>
  <c r="DP120" i="2"/>
  <c r="DQ120" i="2"/>
  <c r="DR120" i="2"/>
  <c r="DS120" i="2"/>
  <c r="DT120" i="2"/>
  <c r="DU120" i="2"/>
  <c r="DV120" i="2"/>
  <c r="DX120" i="2"/>
  <c r="DY120" i="2"/>
  <c r="DZ120" i="2"/>
  <c r="A121" i="2"/>
  <c r="B121" i="2"/>
  <c r="C121" i="2"/>
  <c r="D121" i="2"/>
  <c r="E121" i="2"/>
  <c r="F121" i="2"/>
  <c r="J121" i="2"/>
  <c r="K121" i="2"/>
  <c r="L121" i="2"/>
  <c r="W121" i="2"/>
  <c r="X121" i="2"/>
  <c r="Y121" i="2"/>
  <c r="Z121" i="2"/>
  <c r="DJ121" i="2"/>
  <c r="DK121" i="2"/>
  <c r="DP121" i="2"/>
  <c r="DQ121" i="2"/>
  <c r="DR121" i="2"/>
  <c r="DS121" i="2"/>
  <c r="DT121" i="2"/>
  <c r="DU121" i="2"/>
  <c r="DV121" i="2"/>
  <c r="DX121" i="2"/>
  <c r="DY121" i="2"/>
  <c r="DZ121" i="2"/>
  <c r="A122" i="2"/>
  <c r="B122" i="2"/>
  <c r="C122" i="2"/>
  <c r="D122" i="2"/>
  <c r="E122" i="2"/>
  <c r="F122" i="2"/>
  <c r="J122" i="2"/>
  <c r="K122" i="2"/>
  <c r="L122" i="2"/>
  <c r="DJ122" i="2"/>
  <c r="DK122" i="2"/>
  <c r="DP122" i="2"/>
  <c r="DQ122" i="2"/>
  <c r="DR122" i="2"/>
  <c r="DS122" i="2"/>
  <c r="DT122" i="2"/>
  <c r="DU122" i="2"/>
  <c r="DV122" i="2"/>
  <c r="DX122" i="2"/>
  <c r="DY122" i="2"/>
  <c r="DZ122" i="2"/>
  <c r="A123" i="2"/>
  <c r="B123" i="2"/>
  <c r="C123" i="2"/>
  <c r="D123" i="2"/>
  <c r="E123" i="2"/>
  <c r="F123" i="2"/>
  <c r="J123" i="2"/>
  <c r="K123" i="2"/>
  <c r="L123" i="2"/>
  <c r="DJ123" i="2"/>
  <c r="DK123" i="2"/>
  <c r="DP123" i="2"/>
  <c r="DQ123" i="2"/>
  <c r="DR123" i="2"/>
  <c r="DS123" i="2"/>
  <c r="DT123" i="2"/>
  <c r="DU123" i="2"/>
  <c r="DV123" i="2"/>
  <c r="DX123" i="2"/>
  <c r="DY123" i="2"/>
  <c r="DZ123" i="2"/>
  <c r="A124" i="2"/>
  <c r="B124" i="2"/>
  <c r="C124" i="2"/>
  <c r="D124" i="2"/>
  <c r="E124" i="2"/>
  <c r="F124" i="2"/>
  <c r="J124" i="2"/>
  <c r="K124" i="2"/>
  <c r="L124" i="2"/>
  <c r="DJ124" i="2"/>
  <c r="DK124" i="2"/>
  <c r="DP124" i="2"/>
  <c r="DQ124" i="2"/>
  <c r="DR124" i="2"/>
  <c r="DS124" i="2"/>
  <c r="DT124" i="2"/>
  <c r="DU124" i="2"/>
  <c r="DV124" i="2"/>
  <c r="DX124" i="2"/>
  <c r="DY124" i="2"/>
  <c r="DZ124" i="2"/>
  <c r="A125" i="2"/>
  <c r="B125" i="2"/>
  <c r="C125" i="2"/>
  <c r="D125" i="2"/>
  <c r="E125" i="2"/>
  <c r="F125" i="2"/>
  <c r="J125" i="2"/>
  <c r="K125" i="2"/>
  <c r="L125" i="2"/>
  <c r="DJ125" i="2"/>
  <c r="DK125" i="2"/>
  <c r="DP125" i="2"/>
  <c r="DQ125" i="2"/>
  <c r="DR125" i="2"/>
  <c r="DS125" i="2"/>
  <c r="DT125" i="2"/>
  <c r="DU125" i="2"/>
  <c r="DV125" i="2"/>
  <c r="DX125" i="2"/>
  <c r="DY125" i="2"/>
  <c r="DZ125" i="2"/>
  <c r="A126" i="2"/>
  <c r="B126" i="2"/>
  <c r="C126" i="2"/>
  <c r="D126" i="2"/>
  <c r="E126" i="2"/>
  <c r="F126" i="2"/>
  <c r="J126" i="2"/>
  <c r="K126" i="2"/>
  <c r="L126" i="2"/>
  <c r="DJ126" i="2"/>
  <c r="DK126" i="2"/>
  <c r="DP126" i="2"/>
  <c r="DQ126" i="2"/>
  <c r="DR126" i="2"/>
  <c r="DS126" i="2"/>
  <c r="DT126" i="2"/>
  <c r="DU126" i="2"/>
  <c r="DV126" i="2"/>
  <c r="DX126" i="2"/>
  <c r="DY126" i="2"/>
  <c r="DZ126" i="2"/>
  <c r="A127" i="2"/>
  <c r="B127" i="2"/>
  <c r="C127" i="2"/>
  <c r="D127" i="2"/>
  <c r="E127" i="2"/>
  <c r="F127" i="2"/>
  <c r="J127" i="2"/>
  <c r="K127" i="2"/>
  <c r="L127" i="2"/>
  <c r="DJ127" i="2"/>
  <c r="DK127" i="2"/>
  <c r="DP127" i="2"/>
  <c r="DQ127" i="2"/>
  <c r="DR127" i="2"/>
  <c r="DS127" i="2"/>
  <c r="DT127" i="2"/>
  <c r="DU127" i="2"/>
  <c r="DV127" i="2"/>
  <c r="DX127" i="2"/>
  <c r="DY127" i="2"/>
  <c r="DZ127" i="2"/>
  <c r="A128" i="2"/>
  <c r="B128" i="2"/>
  <c r="C128" i="2"/>
  <c r="D128" i="2"/>
  <c r="E128" i="2"/>
  <c r="F128" i="2"/>
  <c r="J128" i="2"/>
  <c r="K128" i="2"/>
  <c r="L128" i="2"/>
  <c r="DP128" i="2"/>
  <c r="DQ128" i="2"/>
  <c r="DR128" i="2"/>
  <c r="DS128" i="2"/>
  <c r="DT128" i="2"/>
  <c r="DU128" i="2"/>
  <c r="DV128" i="2"/>
  <c r="DX128" i="2"/>
  <c r="DY128" i="2"/>
  <c r="DZ128" i="2"/>
  <c r="A129" i="2"/>
  <c r="B129" i="2"/>
  <c r="C129" i="2"/>
  <c r="D129" i="2"/>
  <c r="E129" i="2"/>
  <c r="F129" i="2"/>
  <c r="J129" i="2"/>
  <c r="K129" i="2"/>
  <c r="L129" i="2"/>
  <c r="DP129" i="2"/>
  <c r="DQ129" i="2"/>
  <c r="DR129" i="2"/>
  <c r="DS129" i="2"/>
  <c r="DT129" i="2"/>
  <c r="DU129" i="2"/>
  <c r="DV129" i="2"/>
  <c r="DX129" i="2"/>
  <c r="DY129" i="2"/>
  <c r="DZ129" i="2"/>
  <c r="A130" i="2"/>
  <c r="B130" i="2"/>
  <c r="C130" i="2"/>
  <c r="D130" i="2"/>
  <c r="E130" i="2"/>
  <c r="F130" i="2"/>
  <c r="J130" i="2"/>
  <c r="K130" i="2"/>
  <c r="L130" i="2"/>
  <c r="DP130" i="2"/>
  <c r="DQ130" i="2"/>
  <c r="DR130" i="2"/>
  <c r="DS130" i="2"/>
  <c r="DT130" i="2"/>
  <c r="DU130" i="2"/>
  <c r="DV130" i="2"/>
  <c r="DX130" i="2"/>
  <c r="DY130" i="2"/>
  <c r="DZ130" i="2"/>
  <c r="A131" i="2"/>
  <c r="B131" i="2"/>
  <c r="C131" i="2"/>
  <c r="D131" i="2"/>
  <c r="E131" i="2"/>
  <c r="F131" i="2"/>
  <c r="J131" i="2"/>
  <c r="K131" i="2"/>
  <c r="L131" i="2"/>
  <c r="DP131" i="2"/>
  <c r="DQ131" i="2"/>
  <c r="DR131" i="2"/>
  <c r="DS131" i="2"/>
  <c r="DT131" i="2"/>
  <c r="DU131" i="2"/>
  <c r="DV131" i="2"/>
  <c r="DX131" i="2"/>
  <c r="DY131" i="2"/>
  <c r="DZ131" i="2"/>
  <c r="A132" i="2"/>
  <c r="B132" i="2"/>
  <c r="C132" i="2"/>
  <c r="D132" i="2"/>
  <c r="E132" i="2"/>
  <c r="F132" i="2"/>
  <c r="J132" i="2"/>
  <c r="K132" i="2"/>
  <c r="L132" i="2"/>
  <c r="DP132" i="2"/>
  <c r="DQ132" i="2"/>
  <c r="DR132" i="2"/>
  <c r="DS132" i="2"/>
  <c r="DT132" i="2"/>
  <c r="DU132" i="2"/>
  <c r="DV132" i="2"/>
  <c r="DX132" i="2"/>
  <c r="DY132" i="2"/>
  <c r="DZ132" i="2"/>
  <c r="A133" i="2"/>
  <c r="B133" i="2"/>
  <c r="C133" i="2"/>
  <c r="D133" i="2"/>
  <c r="E133" i="2"/>
  <c r="F133" i="2"/>
  <c r="J133" i="2"/>
  <c r="K133" i="2"/>
  <c r="L133" i="2"/>
  <c r="DP133" i="2"/>
  <c r="DQ133" i="2"/>
  <c r="DR133" i="2"/>
  <c r="DS133" i="2"/>
  <c r="DT133" i="2"/>
  <c r="DU133" i="2"/>
  <c r="DV133" i="2"/>
  <c r="DX133" i="2"/>
  <c r="DY133" i="2"/>
  <c r="DZ133" i="2"/>
  <c r="A134" i="2"/>
  <c r="B134" i="2"/>
  <c r="C134" i="2"/>
  <c r="D134" i="2"/>
  <c r="E134" i="2"/>
  <c r="F134" i="2"/>
  <c r="J134" i="2"/>
  <c r="K134" i="2"/>
  <c r="L134" i="2"/>
  <c r="DP134" i="2"/>
  <c r="DQ134" i="2"/>
  <c r="DR134" i="2"/>
  <c r="DS134" i="2"/>
  <c r="DT134" i="2"/>
  <c r="DU134" i="2"/>
  <c r="DV134" i="2"/>
  <c r="DX134" i="2"/>
  <c r="DY134" i="2"/>
  <c r="DZ134" i="2"/>
  <c r="A135" i="2"/>
  <c r="B135" i="2"/>
  <c r="C135" i="2"/>
  <c r="D135" i="2"/>
  <c r="E135" i="2"/>
  <c r="F135" i="2"/>
  <c r="J135" i="2"/>
  <c r="K135" i="2"/>
  <c r="L135" i="2"/>
  <c r="DP135" i="2"/>
  <c r="DQ135" i="2"/>
  <c r="DR135" i="2"/>
  <c r="DS135" i="2"/>
  <c r="DT135" i="2"/>
  <c r="DU135" i="2"/>
  <c r="DV135" i="2"/>
  <c r="DX135" i="2"/>
  <c r="DY135" i="2"/>
  <c r="DZ135" i="2"/>
  <c r="A136" i="2"/>
  <c r="B136" i="2"/>
  <c r="C136" i="2"/>
  <c r="D136" i="2"/>
  <c r="E136" i="2"/>
  <c r="F136" i="2"/>
  <c r="J136" i="2"/>
  <c r="K136" i="2"/>
  <c r="L136" i="2"/>
  <c r="DP136" i="2"/>
  <c r="DQ136" i="2"/>
  <c r="DR136" i="2"/>
  <c r="DS136" i="2"/>
  <c r="DT136" i="2"/>
  <c r="DU136" i="2"/>
  <c r="DV136" i="2"/>
  <c r="DX136" i="2"/>
  <c r="DY136" i="2"/>
  <c r="DZ136" i="2"/>
  <c r="DP137" i="2"/>
  <c r="DQ137" i="2"/>
  <c r="DR137" i="2"/>
  <c r="DS137" i="2"/>
  <c r="DT137" i="2"/>
  <c r="DU137" i="2"/>
  <c r="DV137" i="2"/>
  <c r="DX137" i="2"/>
  <c r="DY137" i="2"/>
  <c r="DZ137" i="2"/>
  <c r="CJ138" i="2"/>
  <c r="DP138" i="2"/>
  <c r="DQ138" i="2"/>
  <c r="DR138" i="2"/>
  <c r="DS138" i="2"/>
  <c r="DT138" i="2"/>
  <c r="DU138" i="2"/>
  <c r="DV138" i="2"/>
  <c r="DX138" i="2"/>
  <c r="DY138" i="2"/>
  <c r="DZ138" i="2"/>
  <c r="DP139" i="2"/>
  <c r="DQ139" i="2"/>
  <c r="DR139" i="2"/>
  <c r="DS139" i="2"/>
  <c r="DT139" i="2"/>
  <c r="DU139" i="2"/>
  <c r="DV139" i="2"/>
  <c r="DX139" i="2"/>
  <c r="DY139" i="2"/>
  <c r="DZ139" i="2"/>
  <c r="DP140" i="2"/>
  <c r="DQ140" i="2"/>
  <c r="DR140" i="2"/>
  <c r="DS140" i="2"/>
  <c r="DT140" i="2"/>
  <c r="DU140" i="2"/>
  <c r="DV140" i="2"/>
  <c r="DX140" i="2"/>
  <c r="DY140" i="2"/>
  <c r="DZ140" i="2"/>
  <c r="B141" i="2"/>
  <c r="G141" i="2"/>
  <c r="L141" i="2"/>
  <c r="DP141" i="2"/>
  <c r="DQ141" i="2"/>
  <c r="DR141" i="2"/>
  <c r="DS141" i="2"/>
  <c r="DT141" i="2"/>
  <c r="DU141" i="2"/>
  <c r="DV141" i="2"/>
  <c r="DX141" i="2"/>
  <c r="DY141" i="2"/>
  <c r="DZ141" i="2"/>
  <c r="DP142" i="2"/>
  <c r="DQ142" i="2"/>
  <c r="DR142" i="2"/>
  <c r="DS142" i="2"/>
  <c r="DT142" i="2"/>
  <c r="DU142" i="2"/>
  <c r="DV142" i="2"/>
  <c r="DX142" i="2"/>
  <c r="DY142" i="2"/>
  <c r="DZ142" i="2"/>
  <c r="B143" i="2"/>
  <c r="B143" i="2" a="1"/>
  <c r="C143" i="2"/>
  <c r="C143" i="2" a="1"/>
  <c r="E143" i="2"/>
  <c r="E143" i="2" a="1"/>
  <c r="F143" i="2"/>
  <c r="G143" i="2"/>
  <c r="G143" i="2" a="1"/>
  <c r="H143" i="2"/>
  <c r="H143" i="2" a="1"/>
  <c r="J143" i="2"/>
  <c r="J143" i="2" a="1"/>
  <c r="K143" i="2"/>
  <c r="L143" i="2"/>
  <c r="L143" i="2" a="1"/>
  <c r="M143" i="2"/>
  <c r="M143" i="2" a="1"/>
  <c r="O143" i="2"/>
  <c r="O143" i="2" a="1"/>
  <c r="P143" i="2"/>
  <c r="Q143" i="2"/>
  <c r="Q143" i="2" a="1"/>
  <c r="R143" i="2"/>
  <c r="R143" i="2" a="1"/>
  <c r="V143" i="2"/>
  <c r="V143" i="2" a="1"/>
  <c r="W143" i="2"/>
  <c r="Y143" i="2"/>
  <c r="DP143" i="2"/>
  <c r="DQ143" i="2"/>
  <c r="DR143" i="2"/>
  <c r="DS143" i="2"/>
  <c r="DT143" i="2"/>
  <c r="DU143" i="2"/>
  <c r="DV143" i="2"/>
  <c r="DX143" i="2"/>
  <c r="DY143" i="2"/>
  <c r="DZ143" i="2"/>
  <c r="B144" i="2"/>
  <c r="B144" i="2" a="1"/>
  <c r="C144" i="2"/>
  <c r="C144" i="2" a="1"/>
  <c r="E144" i="2"/>
  <c r="E144" i="2" a="1"/>
  <c r="F144" i="2"/>
  <c r="G144" i="2"/>
  <c r="G144" i="2" a="1"/>
  <c r="H144" i="2"/>
  <c r="H144" i="2" a="1"/>
  <c r="J144" i="2"/>
  <c r="J144" i="2" a="1"/>
  <c r="K144" i="2"/>
  <c r="L144" i="2"/>
  <c r="L144" i="2" a="1"/>
  <c r="M144" i="2"/>
  <c r="M144" i="2" a="1"/>
  <c r="O144" i="2"/>
  <c r="O144" i="2" a="1"/>
  <c r="P144" i="2"/>
  <c r="Q144" i="2"/>
  <c r="Q144" i="2" a="1"/>
  <c r="R144" i="2"/>
  <c r="R144" i="2" a="1"/>
  <c r="V144" i="2"/>
  <c r="V144" i="2" a="1"/>
  <c r="W144" i="2"/>
  <c r="Y144" i="2"/>
  <c r="AA144" i="2"/>
  <c r="AB144" i="2"/>
  <c r="DP144" i="2"/>
  <c r="DQ144" i="2"/>
  <c r="DR144" i="2"/>
  <c r="DS144" i="2"/>
  <c r="DT144" i="2"/>
  <c r="DU144" i="2"/>
  <c r="DV144" i="2"/>
  <c r="DX144" i="2"/>
  <c r="DY144" i="2"/>
  <c r="DZ144" i="2"/>
  <c r="B145" i="2"/>
  <c r="B145" i="2" a="1"/>
  <c r="C145" i="2"/>
  <c r="C145" i="2" a="1"/>
  <c r="E145" i="2"/>
  <c r="E145" i="2" a="1"/>
  <c r="F145" i="2"/>
  <c r="G145" i="2"/>
  <c r="G145" i="2" a="1"/>
  <c r="H145" i="2"/>
  <c r="H145" i="2" a="1"/>
  <c r="J145" i="2"/>
  <c r="J145" i="2" a="1"/>
  <c r="K145" i="2"/>
  <c r="L145" i="2"/>
  <c r="L145" i="2" a="1"/>
  <c r="M145" i="2"/>
  <c r="M145" i="2" a="1"/>
  <c r="O145" i="2"/>
  <c r="O145" i="2" a="1"/>
  <c r="P145" i="2"/>
  <c r="Q145" i="2"/>
  <c r="Q145" i="2" a="1"/>
  <c r="R145" i="2"/>
  <c r="R145" i="2" a="1"/>
  <c r="V145" i="2"/>
  <c r="V145" i="2" a="1"/>
  <c r="W145" i="2"/>
  <c r="Y145" i="2"/>
  <c r="DP145" i="2"/>
  <c r="DQ145" i="2"/>
  <c r="DR145" i="2"/>
  <c r="DS145" i="2"/>
  <c r="DT145" i="2"/>
  <c r="DU145" i="2"/>
  <c r="DV145" i="2"/>
  <c r="DX145" i="2"/>
  <c r="DY145" i="2"/>
  <c r="DZ145" i="2"/>
  <c r="B146" i="2"/>
  <c r="B146" i="2" a="1"/>
  <c r="C146" i="2"/>
  <c r="C146" i="2" a="1"/>
  <c r="E146" i="2"/>
  <c r="E146" i="2" a="1"/>
  <c r="F146" i="2"/>
  <c r="G146" i="2"/>
  <c r="G146" i="2" a="1"/>
  <c r="H146" i="2"/>
  <c r="H146" i="2" a="1"/>
  <c r="J146" i="2"/>
  <c r="J146" i="2" a="1"/>
  <c r="K146" i="2"/>
  <c r="L146" i="2"/>
  <c r="L146" i="2" a="1"/>
  <c r="M146" i="2"/>
  <c r="M146" i="2" a="1"/>
  <c r="O146" i="2"/>
  <c r="O146" i="2" a="1"/>
  <c r="P146" i="2"/>
  <c r="Q146" i="2"/>
  <c r="Q146" i="2" a="1"/>
  <c r="R146" i="2"/>
  <c r="R146" i="2" a="1"/>
  <c r="V146" i="2"/>
  <c r="V146" i="2" a="1"/>
  <c r="W146" i="2"/>
  <c r="Y146" i="2"/>
  <c r="DP146" i="2"/>
  <c r="DQ146" i="2"/>
  <c r="DR146" i="2"/>
  <c r="DS146" i="2"/>
  <c r="DT146" i="2"/>
  <c r="DU146" i="2"/>
  <c r="DV146" i="2"/>
  <c r="DX146" i="2"/>
  <c r="DY146" i="2"/>
  <c r="DZ146" i="2"/>
  <c r="B147" i="2"/>
  <c r="B147" i="2" a="1"/>
  <c r="C147" i="2"/>
  <c r="C147" i="2" a="1"/>
  <c r="E147" i="2"/>
  <c r="E147" i="2" a="1"/>
  <c r="F147" i="2"/>
  <c r="G147" i="2"/>
  <c r="G147" i="2" a="1"/>
  <c r="H147" i="2"/>
  <c r="H147" i="2" a="1"/>
  <c r="J147" i="2"/>
  <c r="J147" i="2" a="1"/>
  <c r="K147" i="2"/>
  <c r="L147" i="2"/>
  <c r="L147" i="2" a="1"/>
  <c r="M147" i="2"/>
  <c r="M147" i="2" a="1"/>
  <c r="O147" i="2"/>
  <c r="O147" i="2" a="1"/>
  <c r="P147" i="2"/>
  <c r="Q147" i="2"/>
  <c r="Q147" i="2" a="1"/>
  <c r="R147" i="2"/>
  <c r="R147" i="2" a="1"/>
  <c r="V147" i="2"/>
  <c r="V147" i="2" a="1"/>
  <c r="W147" i="2"/>
  <c r="Y147" i="2"/>
  <c r="AA147" i="2"/>
  <c r="AB147" i="2"/>
  <c r="DP147" i="2"/>
  <c r="DQ147" i="2"/>
  <c r="DR147" i="2"/>
  <c r="DS147" i="2"/>
  <c r="DT147" i="2"/>
  <c r="DU147" i="2"/>
  <c r="DV147" i="2"/>
  <c r="DX147" i="2"/>
  <c r="DY147" i="2"/>
  <c r="DZ147" i="2"/>
  <c r="B148" i="2"/>
  <c r="B148" i="2" a="1"/>
  <c r="C148" i="2"/>
  <c r="C148" i="2" a="1"/>
  <c r="E148" i="2"/>
  <c r="E148" i="2" a="1"/>
  <c r="F148" i="2"/>
  <c r="G148" i="2"/>
  <c r="G148" i="2" a="1"/>
  <c r="H148" i="2"/>
  <c r="H148" i="2" a="1"/>
  <c r="J148" i="2"/>
  <c r="J148" i="2" a="1"/>
  <c r="K148" i="2"/>
  <c r="L148" i="2"/>
  <c r="L148" i="2" a="1"/>
  <c r="M148" i="2"/>
  <c r="M148" i="2" a="1"/>
  <c r="O148" i="2"/>
  <c r="O148" i="2" a="1"/>
  <c r="P148" i="2"/>
  <c r="Q148" i="2"/>
  <c r="Q148" i="2" a="1"/>
  <c r="R148" i="2"/>
  <c r="R148" i="2" a="1"/>
  <c r="V148" i="2"/>
  <c r="V148" i="2" a="1"/>
  <c r="W148" i="2"/>
  <c r="Y148" i="2"/>
  <c r="DP148" i="2"/>
  <c r="DQ148" i="2"/>
  <c r="DR148" i="2"/>
  <c r="DS148" i="2"/>
  <c r="DT148" i="2"/>
  <c r="DU148" i="2"/>
  <c r="DV148" i="2"/>
  <c r="DX148" i="2"/>
  <c r="DY148" i="2"/>
  <c r="DZ148" i="2"/>
  <c r="B149" i="2"/>
  <c r="B149" i="2" a="1"/>
  <c r="C149" i="2"/>
  <c r="C149" i="2" a="1"/>
  <c r="E149" i="2"/>
  <c r="E149" i="2" a="1"/>
  <c r="F149" i="2"/>
  <c r="G149" i="2"/>
  <c r="G149" i="2" a="1"/>
  <c r="H149" i="2"/>
  <c r="H149" i="2" a="1"/>
  <c r="J149" i="2"/>
  <c r="J149" i="2" a="1"/>
  <c r="K149" i="2"/>
  <c r="L149" i="2"/>
  <c r="L149" i="2" a="1"/>
  <c r="M149" i="2"/>
  <c r="M149" i="2" a="1"/>
  <c r="O149" i="2"/>
  <c r="O149" i="2" a="1"/>
  <c r="P149" i="2"/>
  <c r="Q149" i="2"/>
  <c r="Q149" i="2" a="1"/>
  <c r="R149" i="2"/>
  <c r="R149" i="2" a="1"/>
  <c r="V149" i="2"/>
  <c r="V149" i="2" a="1"/>
  <c r="W149" i="2"/>
  <c r="Y149" i="2"/>
  <c r="DP149" i="2"/>
  <c r="DQ149" i="2"/>
  <c r="DR149" i="2"/>
  <c r="DS149" i="2"/>
  <c r="DT149" i="2"/>
  <c r="DU149" i="2"/>
  <c r="DV149" i="2"/>
  <c r="DX149" i="2"/>
  <c r="DY149" i="2"/>
  <c r="DZ149" i="2"/>
  <c r="B150" i="2"/>
  <c r="B150" i="2" a="1"/>
  <c r="C150" i="2"/>
  <c r="C150" i="2" a="1"/>
  <c r="E150" i="2"/>
  <c r="E150" i="2" a="1"/>
  <c r="F150" i="2"/>
  <c r="G150" i="2"/>
  <c r="G150" i="2" a="1"/>
  <c r="H150" i="2"/>
  <c r="H150" i="2" a="1"/>
  <c r="J150" i="2"/>
  <c r="J150" i="2" a="1"/>
  <c r="K150" i="2"/>
  <c r="L150" i="2"/>
  <c r="L150" i="2" a="1"/>
  <c r="M150" i="2"/>
  <c r="M150" i="2" a="1"/>
  <c r="O150" i="2"/>
  <c r="O150" i="2" a="1"/>
  <c r="P150" i="2"/>
  <c r="Q150" i="2"/>
  <c r="Q150" i="2" a="1"/>
  <c r="R150" i="2"/>
  <c r="R150" i="2" a="1"/>
  <c r="V150" i="2"/>
  <c r="V150" i="2" a="1"/>
  <c r="W150" i="2"/>
  <c r="Y150" i="2"/>
  <c r="AA150" i="2"/>
  <c r="AB150" i="2"/>
  <c r="DP150" i="2"/>
  <c r="DQ150" i="2"/>
  <c r="DR150" i="2"/>
  <c r="DS150" i="2"/>
  <c r="DT150" i="2"/>
  <c r="DU150" i="2"/>
  <c r="DV150" i="2"/>
  <c r="DX150" i="2"/>
  <c r="DY150" i="2"/>
  <c r="DZ150" i="2"/>
  <c r="B151" i="2"/>
  <c r="B151" i="2" a="1"/>
  <c r="C151" i="2"/>
  <c r="C151" i="2" a="1"/>
  <c r="E151" i="2"/>
  <c r="E151" i="2" a="1"/>
  <c r="F151" i="2"/>
  <c r="G151" i="2"/>
  <c r="G151" i="2" a="1"/>
  <c r="H151" i="2"/>
  <c r="H151" i="2" a="1"/>
  <c r="J151" i="2"/>
  <c r="J151" i="2" a="1"/>
  <c r="K151" i="2"/>
  <c r="L151" i="2"/>
  <c r="L151" i="2" a="1"/>
  <c r="M151" i="2"/>
  <c r="M151" i="2" a="1"/>
  <c r="O151" i="2"/>
  <c r="O151" i="2" a="1"/>
  <c r="P151" i="2"/>
  <c r="Q151" i="2"/>
  <c r="Q151" i="2" a="1"/>
  <c r="R151" i="2"/>
  <c r="R151" i="2" a="1"/>
  <c r="V151" i="2"/>
  <c r="V151" i="2" a="1"/>
  <c r="W151" i="2"/>
  <c r="Y151" i="2"/>
  <c r="DP151" i="2"/>
  <c r="DQ151" i="2"/>
  <c r="DR151" i="2"/>
  <c r="DS151" i="2"/>
  <c r="DT151" i="2"/>
  <c r="DU151" i="2"/>
  <c r="DV151" i="2"/>
  <c r="DX151" i="2"/>
  <c r="DY151" i="2"/>
  <c r="DZ151" i="2"/>
  <c r="B152" i="2"/>
  <c r="B152" i="2" a="1"/>
  <c r="C152" i="2"/>
  <c r="C152" i="2" a="1"/>
  <c r="E152" i="2"/>
  <c r="E152" i="2" a="1"/>
  <c r="F152" i="2"/>
  <c r="G152" i="2"/>
  <c r="G152" i="2" a="1"/>
  <c r="H152" i="2"/>
  <c r="H152" i="2" a="1"/>
  <c r="J152" i="2"/>
  <c r="J152" i="2" a="1"/>
  <c r="K152" i="2"/>
  <c r="L152" i="2"/>
  <c r="L152" i="2" a="1"/>
  <c r="M152" i="2"/>
  <c r="M152" i="2" a="1"/>
  <c r="O152" i="2"/>
  <c r="O152" i="2" a="1"/>
  <c r="P152" i="2"/>
  <c r="Q152" i="2"/>
  <c r="Q152" i="2" a="1"/>
  <c r="R152" i="2"/>
  <c r="R152" i="2" a="1"/>
  <c r="V152" i="2"/>
  <c r="V152" i="2" a="1"/>
  <c r="W152" i="2"/>
  <c r="Y152" i="2"/>
  <c r="DP152" i="2"/>
  <c r="DQ152" i="2"/>
  <c r="DR152" i="2"/>
  <c r="DS152" i="2"/>
  <c r="DT152" i="2"/>
  <c r="DU152" i="2"/>
  <c r="DV152" i="2"/>
  <c r="DX152" i="2"/>
  <c r="DY152" i="2"/>
  <c r="DZ152" i="2"/>
  <c r="B153" i="2"/>
  <c r="B153" i="2" a="1"/>
  <c r="C153" i="2"/>
  <c r="C153" i="2" a="1"/>
  <c r="E153" i="2"/>
  <c r="E153" i="2" a="1"/>
  <c r="F153" i="2"/>
  <c r="G153" i="2"/>
  <c r="G153" i="2" a="1"/>
  <c r="H153" i="2"/>
  <c r="H153" i="2" a="1"/>
  <c r="J153" i="2"/>
  <c r="J153" i="2" a="1"/>
  <c r="K153" i="2"/>
  <c r="L153" i="2"/>
  <c r="L153" i="2" a="1"/>
  <c r="M153" i="2"/>
  <c r="M153" i="2" a="1"/>
  <c r="O153" i="2"/>
  <c r="O153" i="2" a="1"/>
  <c r="P153" i="2"/>
  <c r="Q153" i="2"/>
  <c r="Q153" i="2" a="1"/>
  <c r="R153" i="2"/>
  <c r="R153" i="2" a="1"/>
  <c r="V153" i="2"/>
  <c r="V153" i="2" a="1"/>
  <c r="W153" i="2"/>
  <c r="Y153" i="2"/>
  <c r="AA153" i="2"/>
  <c r="AB153" i="2"/>
  <c r="DP153" i="2"/>
  <c r="DQ153" i="2"/>
  <c r="DR153" i="2"/>
  <c r="DS153" i="2"/>
  <c r="DT153" i="2"/>
  <c r="DU153" i="2"/>
  <c r="DV153" i="2"/>
  <c r="DX153" i="2"/>
  <c r="DY153" i="2"/>
  <c r="DZ153" i="2"/>
  <c r="B154" i="2"/>
  <c r="B154" i="2" a="1"/>
  <c r="C154" i="2"/>
  <c r="C154" i="2" a="1"/>
  <c r="E154" i="2"/>
  <c r="E154" i="2" a="1"/>
  <c r="F154" i="2"/>
  <c r="G154" i="2"/>
  <c r="G154" i="2" a="1"/>
  <c r="H154" i="2"/>
  <c r="H154" i="2" a="1"/>
  <c r="J154" i="2"/>
  <c r="J154" i="2" a="1"/>
  <c r="K154" i="2"/>
  <c r="L154" i="2"/>
  <c r="L154" i="2" a="1"/>
  <c r="M154" i="2"/>
  <c r="M154" i="2" a="1"/>
  <c r="O154" i="2"/>
  <c r="O154" i="2" a="1"/>
  <c r="P154" i="2"/>
  <c r="Q154" i="2"/>
  <c r="Q154" i="2" a="1"/>
  <c r="R154" i="2"/>
  <c r="R154" i="2" a="1"/>
  <c r="V154" i="2"/>
  <c r="V154" i="2" a="1"/>
  <c r="W154" i="2"/>
  <c r="Y154" i="2"/>
  <c r="DP154" i="2"/>
  <c r="DQ154" i="2"/>
  <c r="DR154" i="2"/>
  <c r="DS154" i="2"/>
  <c r="DT154" i="2"/>
  <c r="DU154" i="2"/>
  <c r="DV154" i="2"/>
  <c r="DX154" i="2"/>
  <c r="DY154" i="2"/>
  <c r="DZ154" i="2"/>
  <c r="B155" i="2"/>
  <c r="C155" i="2"/>
  <c r="E155" i="2"/>
  <c r="F155" i="2"/>
  <c r="G155" i="2"/>
  <c r="H155" i="2"/>
  <c r="J155" i="2"/>
  <c r="K155" i="2"/>
  <c r="L155" i="2"/>
  <c r="M155" i="2"/>
  <c r="O155" i="2"/>
  <c r="P155" i="2"/>
  <c r="Q155" i="2"/>
  <c r="R155" i="2"/>
  <c r="V155" i="2"/>
  <c r="W155" i="2"/>
  <c r="Y155" i="2"/>
  <c r="DP155" i="2"/>
  <c r="DQ155" i="2"/>
  <c r="DR155" i="2"/>
  <c r="DS155" i="2"/>
  <c r="DT155" i="2"/>
  <c r="DU155" i="2"/>
  <c r="DV155" i="2"/>
  <c r="DX155" i="2"/>
  <c r="DY155" i="2"/>
  <c r="DZ155" i="2"/>
  <c r="DP156" i="2"/>
  <c r="DQ156" i="2"/>
  <c r="DR156" i="2"/>
  <c r="DS156" i="2"/>
  <c r="DT156" i="2"/>
  <c r="DU156" i="2"/>
  <c r="DV156" i="2"/>
  <c r="DX156" i="2"/>
  <c r="DY156" i="2"/>
  <c r="DZ156" i="2"/>
  <c r="Y157" i="2"/>
  <c r="Y157" i="2" a="1"/>
  <c r="DP157" i="2"/>
  <c r="DQ157" i="2"/>
  <c r="DR157" i="2"/>
  <c r="DS157" i="2"/>
  <c r="DT157" i="2"/>
  <c r="DU157" i="2"/>
  <c r="DV157" i="2"/>
  <c r="DX157" i="2"/>
  <c r="DY157" i="2"/>
  <c r="DZ157" i="2"/>
  <c r="DP158" i="2"/>
  <c r="DQ158" i="2"/>
  <c r="DR158" i="2"/>
  <c r="DS158" i="2"/>
  <c r="DT158" i="2"/>
  <c r="DU158" i="2"/>
  <c r="DV158" i="2"/>
  <c r="DX158" i="2"/>
  <c r="DY158" i="2"/>
  <c r="DZ158" i="2"/>
  <c r="DP159" i="2"/>
  <c r="DQ159" i="2"/>
  <c r="DR159" i="2"/>
  <c r="DS159" i="2"/>
  <c r="DT159" i="2"/>
  <c r="DU159" i="2"/>
  <c r="DV159" i="2"/>
  <c r="DX159" i="2"/>
  <c r="DY159" i="2"/>
  <c r="DZ159" i="2"/>
  <c r="DP160" i="2"/>
  <c r="DQ160" i="2"/>
  <c r="DR160" i="2"/>
  <c r="DS160" i="2"/>
  <c r="DT160" i="2"/>
  <c r="DU160" i="2"/>
  <c r="DV160" i="2"/>
  <c r="B161" i="2"/>
  <c r="G161" i="2"/>
  <c r="L161" i="2"/>
  <c r="DP161" i="2"/>
  <c r="DQ161" i="2"/>
  <c r="DR161" i="2"/>
  <c r="DS161" i="2"/>
  <c r="DT161" i="2"/>
  <c r="DU161" i="2"/>
  <c r="DV161" i="2"/>
  <c r="DP162" i="2"/>
  <c r="DQ162" i="2"/>
  <c r="DR162" i="2"/>
  <c r="DS162" i="2"/>
  <c r="DT162" i="2"/>
  <c r="DU162" i="2"/>
  <c r="DV162" i="2"/>
  <c r="A163" i="2"/>
  <c r="B163" i="2"/>
  <c r="B163" i="2" a="1"/>
  <c r="C163" i="2"/>
  <c r="C163" i="2" a="1"/>
  <c r="D163" i="2"/>
  <c r="D163" i="2" a="1"/>
  <c r="E163" i="2"/>
  <c r="E163" i="2" a="1"/>
  <c r="F163" i="2"/>
  <c r="G163" i="2"/>
  <c r="G163" i="2" a="1"/>
  <c r="H163" i="2"/>
  <c r="H163" i="2" a="1"/>
  <c r="J163" i="2"/>
  <c r="J163" i="2" a="1"/>
  <c r="K163" i="2"/>
  <c r="L163" i="2"/>
  <c r="L163" i="2" a="1"/>
  <c r="M163" i="2"/>
  <c r="M163" i="2" a="1"/>
  <c r="O163" i="2"/>
  <c r="O163" i="2" a="1"/>
  <c r="P163" i="2"/>
  <c r="Q163" i="2"/>
  <c r="Q163" i="2" a="1"/>
  <c r="R163" i="2"/>
  <c r="R163" i="2" a="1"/>
  <c r="V163" i="2"/>
  <c r="V163" i="2" a="1"/>
  <c r="W163" i="2"/>
  <c r="DP163" i="2"/>
  <c r="DQ163" i="2"/>
  <c r="DR163" i="2"/>
  <c r="DS163" i="2"/>
  <c r="DT163" i="2"/>
  <c r="DU163" i="2"/>
  <c r="DV163" i="2"/>
  <c r="B164" i="2"/>
  <c r="B164" i="2" a="1"/>
  <c r="C164" i="2"/>
  <c r="C164" i="2" a="1"/>
  <c r="D164" i="2"/>
  <c r="D164" i="2" a="1"/>
  <c r="E164" i="2"/>
  <c r="E164" i="2" a="1"/>
  <c r="F164" i="2"/>
  <c r="G164" i="2"/>
  <c r="G164" i="2" a="1"/>
  <c r="H164" i="2"/>
  <c r="H164" i="2" a="1"/>
  <c r="J164" i="2"/>
  <c r="J164" i="2" a="1"/>
  <c r="K164" i="2"/>
  <c r="L164" i="2"/>
  <c r="L164" i="2" a="1"/>
  <c r="M164" i="2"/>
  <c r="M164" i="2" a="1"/>
  <c r="O164" i="2"/>
  <c r="O164" i="2" a="1"/>
  <c r="P164" i="2"/>
  <c r="Q164" i="2"/>
  <c r="Q164" i="2" a="1"/>
  <c r="R164" i="2"/>
  <c r="R164" i="2" a="1"/>
  <c r="V164" i="2"/>
  <c r="V164" i="2" a="1"/>
  <c r="W164" i="2"/>
  <c r="AA164" i="2"/>
  <c r="AB164" i="2"/>
  <c r="DP164" i="2"/>
  <c r="DQ164" i="2"/>
  <c r="DR164" i="2"/>
  <c r="DS164" i="2"/>
  <c r="DT164" i="2"/>
  <c r="DU164" i="2"/>
  <c r="DV164" i="2"/>
  <c r="A165" i="2"/>
  <c r="B165" i="2"/>
  <c r="B165" i="2" a="1"/>
  <c r="C165" i="2"/>
  <c r="C165" i="2" a="1"/>
  <c r="D165" i="2"/>
  <c r="D165" i="2" a="1"/>
  <c r="E165" i="2"/>
  <c r="E165" i="2" a="1"/>
  <c r="F165" i="2"/>
  <c r="G165" i="2"/>
  <c r="G165" i="2" a="1"/>
  <c r="H165" i="2"/>
  <c r="H165" i="2" a="1"/>
  <c r="J165" i="2"/>
  <c r="J165" i="2" a="1"/>
  <c r="K165" i="2"/>
  <c r="L165" i="2"/>
  <c r="L165" i="2" a="1"/>
  <c r="M165" i="2"/>
  <c r="M165" i="2" a="1"/>
  <c r="O165" i="2"/>
  <c r="O165" i="2" a="1"/>
  <c r="P165" i="2"/>
  <c r="Q165" i="2"/>
  <c r="Q165" i="2" a="1"/>
  <c r="R165" i="2"/>
  <c r="R165" i="2" a="1"/>
  <c r="V165" i="2"/>
  <c r="V165" i="2" a="1"/>
  <c r="W165" i="2"/>
  <c r="DP165" i="2"/>
  <c r="DQ165" i="2"/>
  <c r="DR165" i="2"/>
  <c r="DS165" i="2"/>
  <c r="DT165" i="2"/>
  <c r="DU165" i="2"/>
  <c r="DV165" i="2"/>
  <c r="A166" i="2"/>
  <c r="B166" i="2"/>
  <c r="B166" i="2" a="1"/>
  <c r="C166" i="2"/>
  <c r="C166" i="2" a="1"/>
  <c r="D166" i="2"/>
  <c r="D166" i="2" a="1"/>
  <c r="E166" i="2"/>
  <c r="E166" i="2" a="1"/>
  <c r="F166" i="2"/>
  <c r="G166" i="2"/>
  <c r="G166" i="2" a="1"/>
  <c r="H166" i="2"/>
  <c r="H166" i="2" a="1"/>
  <c r="J166" i="2"/>
  <c r="J166" i="2" a="1"/>
  <c r="K166" i="2"/>
  <c r="L166" i="2"/>
  <c r="L166" i="2" a="1"/>
  <c r="M166" i="2"/>
  <c r="M166" i="2" a="1"/>
  <c r="O166" i="2"/>
  <c r="O166" i="2" a="1"/>
  <c r="P166" i="2"/>
  <c r="Q166" i="2"/>
  <c r="Q166" i="2" a="1"/>
  <c r="R166" i="2"/>
  <c r="R166" i="2" a="1"/>
  <c r="V166" i="2"/>
  <c r="V166" i="2" a="1"/>
  <c r="W166" i="2"/>
  <c r="DP166" i="2"/>
  <c r="DQ166" i="2"/>
  <c r="DR166" i="2"/>
  <c r="DS166" i="2"/>
  <c r="DT166" i="2"/>
  <c r="DU166" i="2"/>
  <c r="DV166" i="2"/>
  <c r="A167" i="2"/>
  <c r="B167" i="2"/>
  <c r="B167" i="2" a="1"/>
  <c r="C167" i="2"/>
  <c r="C167" i="2" a="1"/>
  <c r="D167" i="2"/>
  <c r="D167" i="2" a="1"/>
  <c r="E167" i="2"/>
  <c r="E167" i="2" a="1"/>
  <c r="F167" i="2"/>
  <c r="G167" i="2"/>
  <c r="G167" i="2" a="1"/>
  <c r="H167" i="2"/>
  <c r="H167" i="2" a="1"/>
  <c r="J167" i="2"/>
  <c r="J167" i="2" a="1"/>
  <c r="K167" i="2"/>
  <c r="L167" i="2"/>
  <c r="L167" i="2" a="1"/>
  <c r="M167" i="2"/>
  <c r="M167" i="2" a="1"/>
  <c r="O167" i="2"/>
  <c r="O167" i="2" a="1"/>
  <c r="P167" i="2"/>
  <c r="Q167" i="2"/>
  <c r="Q167" i="2" a="1"/>
  <c r="R167" i="2"/>
  <c r="R167" i="2" a="1"/>
  <c r="V167" i="2"/>
  <c r="V167" i="2" a="1"/>
  <c r="W167" i="2"/>
  <c r="AA167" i="2"/>
  <c r="AB167" i="2"/>
  <c r="DP167" i="2"/>
  <c r="DQ167" i="2"/>
  <c r="DR167" i="2"/>
  <c r="DS167" i="2"/>
  <c r="DT167" i="2"/>
  <c r="DU167" i="2"/>
  <c r="DV167" i="2"/>
  <c r="A168" i="2"/>
  <c r="B168" i="2"/>
  <c r="B168" i="2" a="1"/>
  <c r="C168" i="2"/>
  <c r="C168" i="2" a="1"/>
  <c r="E168" i="2"/>
  <c r="E168" i="2" a="1"/>
  <c r="G168" i="2"/>
  <c r="G168" i="2" a="1"/>
  <c r="H168" i="2"/>
  <c r="H168" i="2" a="1"/>
  <c r="J168" i="2"/>
  <c r="J168" i="2" a="1"/>
  <c r="K168" i="2"/>
  <c r="L168" i="2"/>
  <c r="L168" i="2" a="1"/>
  <c r="M168" i="2"/>
  <c r="M168" i="2" a="1"/>
  <c r="O168" i="2"/>
  <c r="O168" i="2" a="1"/>
  <c r="P168" i="2"/>
  <c r="Q168" i="2"/>
  <c r="Q168" i="2" a="1"/>
  <c r="R168" i="2"/>
  <c r="R168" i="2" a="1"/>
  <c r="V168" i="2"/>
  <c r="V168" i="2" a="1"/>
  <c r="W168" i="2"/>
  <c r="DP168" i="2"/>
  <c r="DQ168" i="2"/>
  <c r="DR168" i="2"/>
  <c r="DS168" i="2"/>
  <c r="DT168" i="2"/>
  <c r="DU168" i="2"/>
  <c r="DV168" i="2"/>
  <c r="A169" i="2"/>
  <c r="B169" i="2"/>
  <c r="B169" i="2" a="1"/>
  <c r="C169" i="2"/>
  <c r="C169" i="2" a="1"/>
  <c r="E169" i="2"/>
  <c r="E169" i="2" a="1"/>
  <c r="G169" i="2"/>
  <c r="G169" i="2" a="1"/>
  <c r="H169" i="2"/>
  <c r="H169" i="2" a="1"/>
  <c r="J169" i="2"/>
  <c r="J169" i="2" a="1"/>
  <c r="K169" i="2"/>
  <c r="L169" i="2"/>
  <c r="L169" i="2" a="1"/>
  <c r="M169" i="2"/>
  <c r="M169" i="2" a="1"/>
  <c r="O169" i="2"/>
  <c r="O169" i="2" a="1"/>
  <c r="P169" i="2"/>
  <c r="Q169" i="2"/>
  <c r="Q169" i="2" a="1"/>
  <c r="R169" i="2"/>
  <c r="R169" i="2" a="1"/>
  <c r="V169" i="2"/>
  <c r="V169" i="2" a="1"/>
  <c r="W169" i="2"/>
  <c r="DP169" i="2"/>
  <c r="DQ169" i="2"/>
  <c r="DR169" i="2"/>
  <c r="DS169" i="2"/>
  <c r="DT169" i="2"/>
  <c r="DU169" i="2"/>
  <c r="DV169" i="2"/>
  <c r="A170" i="2"/>
  <c r="B170" i="2"/>
  <c r="B170" i="2" a="1"/>
  <c r="C170" i="2"/>
  <c r="C170" i="2" a="1"/>
  <c r="E170" i="2"/>
  <c r="E170" i="2" a="1"/>
  <c r="G170" i="2"/>
  <c r="G170" i="2" a="1"/>
  <c r="H170" i="2"/>
  <c r="H170" i="2" a="1"/>
  <c r="J170" i="2"/>
  <c r="J170" i="2" a="1"/>
  <c r="K170" i="2"/>
  <c r="L170" i="2"/>
  <c r="L170" i="2" a="1"/>
  <c r="M170" i="2"/>
  <c r="M170" i="2" a="1"/>
  <c r="O170" i="2"/>
  <c r="O170" i="2" a="1"/>
  <c r="P170" i="2"/>
  <c r="Q170" i="2"/>
  <c r="Q170" i="2" a="1"/>
  <c r="R170" i="2"/>
  <c r="R170" i="2" a="1"/>
  <c r="V170" i="2"/>
  <c r="V170" i="2" a="1"/>
  <c r="W170" i="2"/>
  <c r="AA170" i="2"/>
  <c r="AB170" i="2"/>
  <c r="DP170" i="2"/>
  <c r="DQ170" i="2"/>
  <c r="DR170" i="2"/>
  <c r="DS170" i="2"/>
  <c r="DT170" i="2"/>
  <c r="DU170" i="2"/>
  <c r="DV170" i="2"/>
  <c r="A171" i="2"/>
  <c r="B171" i="2"/>
  <c r="B171" i="2" a="1"/>
  <c r="C171" i="2"/>
  <c r="C171" i="2" a="1"/>
  <c r="E171" i="2"/>
  <c r="E171" i="2" a="1"/>
  <c r="G171" i="2"/>
  <c r="G171" i="2" a="1"/>
  <c r="H171" i="2"/>
  <c r="H171" i="2" a="1"/>
  <c r="J171" i="2"/>
  <c r="J171" i="2" a="1"/>
  <c r="K171" i="2"/>
  <c r="L171" i="2"/>
  <c r="L171" i="2" a="1"/>
  <c r="M171" i="2"/>
  <c r="M171" i="2" a="1"/>
  <c r="O171" i="2"/>
  <c r="O171" i="2" a="1"/>
  <c r="P171" i="2"/>
  <c r="Q171" i="2"/>
  <c r="Q171" i="2" a="1"/>
  <c r="R171" i="2"/>
  <c r="R171" i="2" a="1"/>
  <c r="V171" i="2"/>
  <c r="V171" i="2" a="1"/>
  <c r="W171" i="2"/>
  <c r="DP171" i="2"/>
  <c r="DQ171" i="2"/>
  <c r="DR171" i="2"/>
  <c r="DS171" i="2"/>
  <c r="DT171" i="2"/>
  <c r="DU171" i="2"/>
  <c r="DV171" i="2"/>
  <c r="A172" i="2"/>
  <c r="B172" i="2"/>
  <c r="B172" i="2" a="1"/>
  <c r="C172" i="2"/>
  <c r="C172" i="2" a="1"/>
  <c r="E172" i="2"/>
  <c r="E172" i="2" a="1"/>
  <c r="G172" i="2"/>
  <c r="G172" i="2" a="1"/>
  <c r="H172" i="2"/>
  <c r="H172" i="2" a="1"/>
  <c r="J172" i="2"/>
  <c r="J172" i="2" a="1"/>
  <c r="K172" i="2"/>
  <c r="L172" i="2"/>
  <c r="L172" i="2" a="1"/>
  <c r="M172" i="2"/>
  <c r="M172" i="2" a="1"/>
  <c r="O172" i="2"/>
  <c r="O172" i="2" a="1"/>
  <c r="P172" i="2"/>
  <c r="Q172" i="2"/>
  <c r="Q172" i="2" a="1"/>
  <c r="R172" i="2"/>
  <c r="R172" i="2" a="1"/>
  <c r="V172" i="2"/>
  <c r="V172" i="2" a="1"/>
  <c r="W172" i="2"/>
  <c r="DP172" i="2"/>
  <c r="DQ172" i="2"/>
  <c r="DR172" i="2"/>
  <c r="DS172" i="2"/>
  <c r="DT172" i="2"/>
  <c r="DU172" i="2"/>
  <c r="DV172" i="2"/>
  <c r="A173" i="2"/>
  <c r="B173" i="2"/>
  <c r="B173" i="2" a="1"/>
  <c r="C173" i="2"/>
  <c r="C173" i="2" a="1"/>
  <c r="E173" i="2"/>
  <c r="E173" i="2" a="1"/>
  <c r="G173" i="2"/>
  <c r="G173" i="2" a="1"/>
  <c r="H173" i="2"/>
  <c r="H173" i="2" a="1"/>
  <c r="J173" i="2"/>
  <c r="J173" i="2" a="1"/>
  <c r="K173" i="2"/>
  <c r="L173" i="2"/>
  <c r="L173" i="2" a="1"/>
  <c r="M173" i="2"/>
  <c r="M173" i="2" a="1"/>
  <c r="O173" i="2"/>
  <c r="O173" i="2" a="1"/>
  <c r="P173" i="2"/>
  <c r="Q173" i="2"/>
  <c r="Q173" i="2" a="1"/>
  <c r="R173" i="2"/>
  <c r="R173" i="2" a="1"/>
  <c r="V173" i="2"/>
  <c r="V173" i="2" a="1"/>
  <c r="W173" i="2"/>
  <c r="AA173" i="2"/>
  <c r="AB173" i="2"/>
  <c r="DP173" i="2"/>
  <c r="DQ173" i="2"/>
  <c r="DR173" i="2"/>
  <c r="DS173" i="2"/>
  <c r="DT173" i="2"/>
  <c r="DU173" i="2"/>
  <c r="DV173" i="2"/>
  <c r="A174" i="2"/>
  <c r="B174" i="2"/>
  <c r="B174" i="2" a="1"/>
  <c r="C174" i="2"/>
  <c r="C174" i="2" a="1"/>
  <c r="E174" i="2"/>
  <c r="E174" i="2" a="1"/>
  <c r="G174" i="2"/>
  <c r="G174" i="2" a="1"/>
  <c r="H174" i="2"/>
  <c r="H174" i="2" a="1"/>
  <c r="J174" i="2"/>
  <c r="J174" i="2" a="1"/>
  <c r="K174" i="2"/>
  <c r="L174" i="2"/>
  <c r="L174" i="2" a="1"/>
  <c r="M174" i="2"/>
  <c r="M174" i="2" a="1"/>
  <c r="O174" i="2"/>
  <c r="O174" i="2" a="1"/>
  <c r="P174" i="2"/>
  <c r="Q174" i="2"/>
  <c r="Q174" i="2" a="1"/>
  <c r="R174" i="2"/>
  <c r="R174" i="2" a="1"/>
  <c r="V174" i="2"/>
  <c r="V174" i="2" a="1"/>
  <c r="W174" i="2"/>
  <c r="DP174" i="2"/>
  <c r="DQ174" i="2"/>
  <c r="DR174" i="2"/>
  <c r="DS174" i="2"/>
  <c r="DT174" i="2"/>
  <c r="DU174" i="2"/>
  <c r="DV174" i="2"/>
  <c r="B175" i="2"/>
  <c r="C175" i="2"/>
  <c r="E175" i="2"/>
  <c r="G175" i="2"/>
  <c r="H175" i="2"/>
  <c r="J175" i="2"/>
  <c r="K175" i="2"/>
  <c r="L175" i="2"/>
  <c r="M175" i="2"/>
  <c r="O175" i="2"/>
  <c r="P175" i="2"/>
  <c r="Q175" i="2"/>
  <c r="R175" i="2"/>
  <c r="T175" i="2"/>
  <c r="V175" i="2"/>
  <c r="W175" i="2"/>
  <c r="DP175" i="2"/>
  <c r="DQ175" i="2"/>
  <c r="DR175" i="2"/>
  <c r="DS175" i="2"/>
  <c r="DT175" i="2"/>
  <c r="DU175" i="2"/>
  <c r="DV175" i="2"/>
  <c r="DP176" i="2"/>
  <c r="DQ176" i="2"/>
  <c r="DR176" i="2"/>
  <c r="DS176" i="2"/>
  <c r="DT176" i="2"/>
  <c r="DU176" i="2"/>
  <c r="DV176" i="2"/>
  <c r="DQ177" i="2"/>
  <c r="DR177" i="2"/>
  <c r="DS177" i="2"/>
  <c r="DT177" i="2"/>
  <c r="DU177" i="2"/>
  <c r="DV177" i="2"/>
  <c r="DQ178" i="2"/>
  <c r="DR178" i="2"/>
  <c r="DS178" i="2"/>
  <c r="DT178" i="2"/>
  <c r="DU178" i="2"/>
  <c r="DV178" i="2"/>
  <c r="DQ179" i="2"/>
  <c r="DR179" i="2"/>
  <c r="DS179" i="2"/>
  <c r="DT179" i="2"/>
  <c r="DU179" i="2"/>
  <c r="DV179" i="2"/>
  <c r="DQ180" i="2"/>
  <c r="DR180" i="2"/>
  <c r="DS180" i="2"/>
  <c r="DT180" i="2"/>
  <c r="DU180" i="2"/>
  <c r="DV180" i="2"/>
  <c r="B181" i="2"/>
  <c r="G181" i="2"/>
  <c r="L181" i="2"/>
  <c r="DQ181" i="2"/>
  <c r="DR181" i="2"/>
  <c r="DS181" i="2"/>
  <c r="DT181" i="2"/>
  <c r="DU181" i="2"/>
  <c r="DV181" i="2"/>
  <c r="DQ182" i="2"/>
  <c r="DR182" i="2"/>
  <c r="DS182" i="2"/>
  <c r="DT182" i="2"/>
  <c r="DU182" i="2"/>
  <c r="D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T183" i="2"/>
  <c r="U183" i="2"/>
  <c r="V183" i="2"/>
  <c r="W183" i="2"/>
  <c r="DQ183" i="2"/>
  <c r="DR183" i="2"/>
  <c r="DS183" i="2"/>
  <c r="DT183" i="2"/>
  <c r="DU183" i="2"/>
  <c r="DV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T184" i="2"/>
  <c r="U184" i="2"/>
  <c r="V184" i="2"/>
  <c r="W184" i="2"/>
  <c r="AA184" i="2"/>
  <c r="AB184" i="2"/>
  <c r="DQ184" i="2"/>
  <c r="DR184" i="2"/>
  <c r="DS184" i="2"/>
  <c r="DT184" i="2"/>
  <c r="DU184" i="2"/>
  <c r="D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T185" i="2"/>
  <c r="U185" i="2"/>
  <c r="V185" i="2"/>
  <c r="W185" i="2"/>
  <c r="DQ185" i="2"/>
  <c r="DR185" i="2"/>
  <c r="DS185" i="2"/>
  <c r="DT185" i="2"/>
  <c r="DU185" i="2"/>
  <c r="D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T186" i="2"/>
  <c r="U186" i="2"/>
  <c r="V186" i="2"/>
  <c r="W186" i="2"/>
  <c r="DQ186" i="2"/>
  <c r="DR186" i="2"/>
  <c r="DS186" i="2"/>
  <c r="DT186" i="2"/>
  <c r="DU186" i="2"/>
  <c r="D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T187" i="2"/>
  <c r="U187" i="2"/>
  <c r="V187" i="2"/>
  <c r="W187" i="2"/>
  <c r="AA187" i="2"/>
  <c r="AB187" i="2"/>
  <c r="DQ187" i="2"/>
  <c r="DR187" i="2"/>
  <c r="DS187" i="2"/>
  <c r="DT187" i="2"/>
  <c r="DU187" i="2"/>
  <c r="D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T188" i="2"/>
  <c r="U188" i="2"/>
  <c r="V188" i="2"/>
  <c r="W188" i="2"/>
  <c r="DQ188" i="2"/>
  <c r="DR188" i="2"/>
  <c r="DS188" i="2"/>
  <c r="DT188" i="2"/>
  <c r="DU188" i="2"/>
  <c r="D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T189" i="2"/>
  <c r="U189" i="2"/>
  <c r="V189" i="2"/>
  <c r="W189" i="2"/>
  <c r="DQ189" i="2"/>
  <c r="DR189" i="2"/>
  <c r="DS189" i="2"/>
  <c r="DT189" i="2"/>
  <c r="DU189" i="2"/>
  <c r="D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T190" i="2"/>
  <c r="U190" i="2"/>
  <c r="V190" i="2"/>
  <c r="W190" i="2"/>
  <c r="AA190" i="2"/>
  <c r="AB190" i="2"/>
  <c r="DQ190" i="2"/>
  <c r="DR190" i="2"/>
  <c r="DS190" i="2"/>
  <c r="DT190" i="2"/>
  <c r="DU190" i="2"/>
  <c r="D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T191" i="2"/>
  <c r="U191" i="2"/>
  <c r="V191" i="2"/>
  <c r="W191" i="2"/>
  <c r="DQ191" i="2"/>
  <c r="DR191" i="2"/>
  <c r="DS191" i="2"/>
  <c r="DT191" i="2"/>
  <c r="DU191" i="2"/>
  <c r="D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T192" i="2"/>
  <c r="U192" i="2"/>
  <c r="V192" i="2"/>
  <c r="W192" i="2"/>
  <c r="DQ192" i="2"/>
  <c r="DR192" i="2"/>
  <c r="DS192" i="2"/>
  <c r="DT192" i="2"/>
  <c r="DU192" i="2"/>
  <c r="D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T193" i="2"/>
  <c r="U193" i="2"/>
  <c r="V193" i="2"/>
  <c r="W193" i="2"/>
  <c r="AA193" i="2"/>
  <c r="AB193" i="2"/>
  <c r="DQ193" i="2"/>
  <c r="DR193" i="2"/>
  <c r="DS193" i="2"/>
  <c r="DT193" i="2"/>
  <c r="DU193" i="2"/>
  <c r="D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T194" i="2"/>
  <c r="U194" i="2"/>
  <c r="V194" i="2"/>
  <c r="W194" i="2"/>
  <c r="DQ194" i="2"/>
  <c r="DR194" i="2"/>
  <c r="DS194" i="2"/>
  <c r="DT194" i="2"/>
  <c r="DU194" i="2"/>
  <c r="DV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T195" i="2"/>
  <c r="U195" i="2"/>
  <c r="V195" i="2"/>
  <c r="W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</calcChain>
</file>

<file path=xl/sharedStrings.xml><?xml version="1.0" encoding="utf-8"?>
<sst xmlns="http://schemas.openxmlformats.org/spreadsheetml/2006/main" count="1669" uniqueCount="527">
  <si>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</si>
  <si>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</si>
  <si>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</si>
  <si>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</si>
  <si>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</si>
  <si>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</si>
  <si>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</si>
  <si>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</si>
  <si>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</si>
  <si>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</si>
  <si>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</si>
  <si>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</si>
  <si>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</si>
  <si>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</si>
  <si>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</si>
  <si>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</si>
  <si>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</si>
  <si>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</si>
  <si>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</si>
  <si>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</si>
  <si>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</si>
  <si>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</si>
  <si>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</si>
  <si>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</si>
  <si>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</si>
  <si>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</si>
  <si>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</si>
  <si>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</si>
  <si>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</si>
  <si>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</si>
  <si>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</si>
  <si>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</si>
  <si>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</si>
  <si>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</si>
  <si>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</si>
  <si>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</si>
  <si>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</si>
  <si>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</si>
  <si>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</si>
  <si>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</si>
  <si>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</si>
  <si>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</si>
  <si>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</si>
  <si>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</si>
  <si>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</si>
  <si>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</si>
  <si>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</si>
  <si>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</si>
  <si>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</si>
  <si>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</si>
  <si>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</si>
  <si>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</si>
  <si>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</si>
  <si>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</si>
  <si>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</si>
  <si>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</si>
  <si>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</si>
  <si>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</si>
  <si>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</si>
  <si>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</si>
  <si>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</si>
  <si>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</si>
  <si>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</si>
  <si>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</si>
  <si>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</si>
  <si>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</si>
  <si>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</si>
  <si>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</si>
  <si>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</si>
  <si>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</si>
  <si>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</si>
  <si>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</si>
  <si>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</si>
  <si>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</si>
  <si>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</si>
  <si>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</si>
  <si>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</si>
  <si>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</si>
  <si>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</si>
  <si>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</si>
  <si>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</si>
  <si>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</si>
  <si>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</si>
  <si>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</si>
  <si>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</si>
  <si>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</si>
  <si>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</si>
  <si>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</si>
  <si>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</si>
  <si>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</si>
  <si>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</si>
  <si>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</si>
  <si>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</si>
  <si>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</si>
  <si>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</si>
  <si>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</si>
  <si>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</si>
  <si>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</si>
  <si>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</si>
  <si>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</si>
  <si>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</si>
  <si>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</si>
  <si>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</si>
  <si>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</si>
  <si>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</si>
  <si>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</si>
  <si>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</si>
  <si>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</si>
  <si>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</si>
  <si>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</si>
  <si>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</si>
  <si>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</si>
  <si>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</si>
  <si>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</si>
  <si>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</si>
  <si>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</si>
  <si>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</si>
  <si>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</si>
  <si>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</si>
  <si>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</si>
  <si>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</si>
  <si>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</si>
  <si>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</si>
  <si>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</si>
  <si>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</si>
  <si>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</si>
  <si>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</si>
  <si>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</si>
  <si>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</si>
  <si>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</si>
  <si>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</si>
  <si>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</si>
  <si>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</si>
  <si>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</si>
  <si>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</si>
  <si>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</si>
  <si>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</si>
  <si>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</si>
  <si>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</si>
  <si>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</si>
  <si>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</si>
  <si>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</si>
  <si>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</si>
  <si>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</si>
  <si>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</si>
  <si>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</si>
  <si>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</si>
  <si>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</si>
  <si>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</si>
  <si>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</si>
  <si>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</si>
  <si>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</si>
  <si>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</si>
  <si>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</si>
  <si>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</si>
  <si>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</si>
  <si>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</si>
  <si>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</si>
  <si>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</si>
  <si>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</si>
  <si>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</si>
  <si>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</si>
  <si>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</si>
  <si>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</si>
  <si>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</si>
  <si>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</si>
  <si>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</si>
  <si>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</si>
  <si>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</si>
  <si>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</si>
  <si>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</si>
  <si>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</si>
  <si>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</si>
  <si>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</si>
  <si>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</si>
  <si>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</si>
  <si>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</si>
  <si>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</si>
  <si>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</si>
  <si>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</si>
  <si>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</si>
  <si>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</si>
  <si>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</si>
  <si>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</si>
  <si>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</si>
  <si>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</si>
  <si>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</si>
  <si>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</si>
  <si>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</si>
  <si>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</si>
  <si>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</si>
  <si>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</si>
  <si>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</si>
  <si>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</si>
  <si>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</si>
  <si>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</si>
  <si>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</si>
  <si>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</si>
  <si>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</si>
  <si>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</si>
  <si>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</si>
  <si>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</si>
  <si>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</si>
  <si>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</si>
  <si>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</si>
  <si>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</si>
  <si>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</si>
  <si>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</si>
  <si>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</si>
  <si>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</si>
  <si>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</si>
  <si>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</si>
  <si>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</si>
  <si>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</si>
  <si>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</si>
  <si>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</si>
  <si>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</si>
  <si>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</si>
  <si>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</si>
  <si>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</si>
  <si>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</si>
  <si>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</si>
  <si>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</si>
  <si>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</si>
  <si>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</si>
  <si>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</si>
  <si>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</si>
  <si>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</si>
  <si>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</si>
  <si>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</si>
  <si>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</si>
  <si>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</si>
  <si>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</si>
  <si>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</si>
  <si>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</si>
  <si>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</si>
  <si>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</si>
  <si>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</si>
  <si>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</si>
  <si>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</si>
  <si>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</si>
  <si>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</si>
  <si>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</si>
  <si>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</si>
  <si>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</si>
  <si>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</si>
  <si>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</si>
  <si>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</si>
  <si>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</si>
  <si>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</si>
  <si>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</si>
  <si>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</si>
  <si>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</si>
  <si>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</si>
  <si>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</si>
  <si>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</si>
  <si>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</si>
  <si>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</si>
  <si>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</si>
  <si>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</si>
  <si>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</si>
  <si>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</si>
  <si>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</si>
  <si>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</si>
  <si>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</si>
  <si>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</si>
  <si>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</si>
  <si>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</si>
  <si>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</si>
  <si>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</si>
  <si>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</si>
  <si>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</si>
  <si>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</si>
  <si>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</si>
  <si>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</si>
  <si>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</si>
  <si>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</si>
  <si>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</si>
  <si>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</si>
  <si>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</si>
  <si>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</si>
  <si>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</si>
  <si>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</si>
  <si>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</si>
  <si>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</si>
  <si>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</si>
  <si>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</si>
  <si>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</si>
  <si>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</si>
  <si>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</si>
  <si>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</si>
  <si>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</si>
  <si>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</si>
  <si>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</si>
  <si>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</si>
  <si>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</si>
  <si>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</si>
  <si>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</si>
  <si>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</si>
  <si>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</si>
  <si>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</si>
  <si>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</si>
  <si>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</si>
  <si>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</si>
  <si>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</si>
  <si>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</si>
  <si>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</si>
  <si>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</si>
  <si>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</si>
  <si>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</si>
  <si>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</si>
  <si>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</si>
  <si>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</si>
  <si>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</si>
  <si>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</si>
  <si>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</si>
  <si>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</si>
  <si>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</si>
  <si>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</si>
  <si>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</si>
  <si>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</si>
  <si>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</si>
  <si>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</si>
  <si>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</si>
  <si>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</si>
  <si>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</si>
  <si>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</si>
  <si>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</si>
  <si>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</si>
  <si>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</si>
  <si>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</si>
  <si>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</si>
  <si>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</si>
  <si>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</si>
  <si>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</si>
  <si>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</si>
  <si>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</si>
  <si>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</si>
  <si>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</si>
  <si>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</si>
  <si>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</si>
  <si>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</si>
  <si>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</si>
  <si>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</si>
  <si>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</si>
  <si>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</si>
  <si>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</si>
  <si>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</si>
  <si>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</si>
  <si>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</si>
  <si>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</si>
  <si>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</si>
  <si>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</si>
  <si>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</si>
  <si>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</si>
  <si>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</si>
  <si>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</si>
  <si>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</si>
  <si>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</si>
  <si>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</si>
  <si>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</si>
  <si>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</si>
  <si>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</si>
  <si>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</si>
  <si>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</si>
  <si>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</si>
  <si>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</si>
  <si>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</si>
  <si>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</si>
  <si>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</si>
  <si>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</si>
  <si>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</si>
  <si>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</si>
  <si>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</si>
  <si>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</si>
  <si>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</si>
  <si>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</si>
  <si>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</si>
  <si>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</si>
  <si>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</si>
  <si>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</si>
  <si>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</si>
  <si>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</si>
  <si>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</si>
  <si>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</si>
  <si>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</si>
  <si>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</si>
  <si>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</si>
  <si>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</si>
  <si>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</si>
  <si>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</si>
  <si>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</si>
  <si>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</si>
  <si>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</si>
  <si>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</si>
  <si>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</si>
  <si>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</si>
  <si>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</si>
  <si>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</si>
  <si>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</si>
  <si>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</si>
  <si>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</si>
  <si>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</si>
  <si>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</si>
  <si>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</si>
  <si>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</si>
  <si>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</si>
  <si>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</si>
  <si>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</si>
  <si>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</si>
  <si>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</si>
  <si>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</si>
  <si>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</si>
  <si>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</si>
  <si>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</si>
  <si>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</si>
  <si>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</si>
  <si>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</si>
  <si>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</si>
  <si>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</si>
  <si>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</si>
  <si>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M 03</t>
  </si>
  <si>
    <t>NQ 03</t>
  </si>
  <si>
    <t>-</t>
  </si>
  <si>
    <t>Last 2 days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</si>
  <si>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</si>
  <si>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</si>
  <si>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</si>
  <si>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</si>
  <si>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</si>
  <si>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</si>
  <si>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</si>
  <si>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</si>
  <si>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</si>
  <si>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</si>
  <si>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</si>
  <si>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</si>
  <si>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4th Quarter NYH 1%</t>
  </si>
  <si>
    <t>4th Quarter Gulf Coast 3%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</si>
  <si>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</si>
  <si>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</si>
  <si>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</si>
  <si>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</si>
  <si>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</si>
  <si>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</si>
  <si>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</si>
  <si>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</si>
  <si>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</si>
  <si>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</si>
  <si>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</si>
  <si>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</si>
  <si>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</si>
  <si>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</si>
  <si>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</si>
  <si>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</si>
  <si>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</si>
  <si>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</si>
  <si>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</si>
  <si>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</si>
  <si>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</si>
  <si>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</si>
  <si>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</si>
  <si>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</si>
  <si>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</si>
  <si>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</si>
  <si>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</si>
  <si>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</si>
  <si>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Q ComEd</t>
  </si>
  <si>
    <t>F - G '02 ComEd Spread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</si>
  <si>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</si>
  <si>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</si>
  <si>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</si>
  <si>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</si>
  <si>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</si>
  <si>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</si>
  <si>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</si>
  <si>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</si>
  <si>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</si>
  <si>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</si>
  <si>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</si>
  <si>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</si>
  <si>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</si>
  <si>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</si>
  <si>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Q1 Hub Swap</t>
  </si>
  <si>
    <t>SOCO</t>
  </si>
  <si>
    <t>TVA</t>
  </si>
  <si>
    <t>ENT</t>
  </si>
  <si>
    <t>NEPOOL</t>
  </si>
  <si>
    <t>Apr2 - Oct2</t>
  </si>
  <si>
    <t>Cal 02 ComEd spread</t>
  </si>
  <si>
    <t>Cal 03 ComEd spread</t>
  </si>
  <si>
    <t>7 x 8</t>
  </si>
  <si>
    <t>2 x 16</t>
  </si>
  <si>
    <t>5x8 2x24</t>
  </si>
  <si>
    <t>Q4 '01</t>
  </si>
  <si>
    <t>Oct Cin Off-Peak</t>
  </si>
  <si>
    <t>Nov Cin Off-Peak</t>
  </si>
  <si>
    <t>Dec Cin Off-Peak</t>
  </si>
  <si>
    <t>Q4 Cin Off-Peak</t>
  </si>
  <si>
    <t>J - K</t>
  </si>
  <si>
    <t>F2 - J2</t>
  </si>
  <si>
    <t>Jan</t>
  </si>
  <si>
    <t>Feb</t>
  </si>
  <si>
    <t>Jun</t>
  </si>
  <si>
    <t>'01</t>
  </si>
  <si>
    <t>'02</t>
  </si>
  <si>
    <t>'03</t>
  </si>
  <si>
    <t>Coal</t>
  </si>
  <si>
    <t>Q4 ComEd Peak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</si>
  <si>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</si>
  <si>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</si>
  <si>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</si>
  <si>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</si>
  <si>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</si>
  <si>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</si>
  <si>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</si>
  <si>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</si>
  <si>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</si>
  <si>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</si>
  <si>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</si>
  <si>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</si>
  <si>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</si>
  <si>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</si>
  <si>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</si>
  <si>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</si>
  <si>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</si>
  <si>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Tot.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</si>
</sst>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4" formatCode="_(&quot;$&quot;* #,##0.0000_);_(&quot;$&quot;* \(#,##0.0000\);_(&quot;$&quot;* &quot;-&quot;??_);_(@_)"/>
  </numFmts>
  <fonts count="4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34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0" xfId="0" quotePrefix="1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38" fontId="47" fillId="3" borderId="26" xfId="0" applyNumberFormat="1" applyFont="1" applyFill="1" applyBorder="1"/>
    <xf numFmtId="38" fontId="47" fillId="3" borderId="26" xfId="1" applyNumberFormat="1" applyFont="1" applyFill="1" applyBorder="1" applyProtection="1"/>
    <xf numFmtId="38" fontId="47" fillId="3" borderId="21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40" fontId="11" fillId="12" borderId="44" xfId="0" applyNumberFormat="1" applyFont="1" applyFill="1" applyBorder="1"/>
    <xf numFmtId="40" fontId="11" fillId="12" borderId="7" xfId="0" applyNumberFormat="1" applyFont="1" applyFill="1" applyBorder="1" applyAlignment="1">
      <alignment horizontal="center"/>
    </xf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204" fontId="2" fillId="0" borderId="0" xfId="2" applyNumberFormat="1"/>
    <xf numFmtId="183" fontId="11" fillId="5" borderId="0" xfId="0" applyNumberFormat="1" applyFont="1" applyFill="1"/>
    <xf numFmtId="2" fontId="0" fillId="0" borderId="0" xfId="0" applyNumberFormat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182" fontId="11" fillId="5" borderId="0" xfId="0" applyNumberFormat="1" applyFont="1" applyFill="1" applyBorder="1" applyAlignment="1">
      <alignment horizontal="center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40" fontId="10" fillId="13" borderId="2" xfId="2" applyNumberFormat="1" applyFont="1" applyFill="1" applyBorder="1" applyAlignment="1" applyProtection="1">
      <alignment horizontal="center"/>
      <protection locked="0"/>
    </xf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17" fontId="11" fillId="5" borderId="38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firstButton="1" fmlaLink="$DU$3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Drop" dropLines="11" dropStyle="combo" dx="22" fmlaLink="$BJ8" fmlaRange="$A$61:$A$71" sel="11" val="0"/>
</file>

<file path=xl/ctrlProps/ctrlProp12.xml><?xml version="1.0" encoding="utf-8"?>
<formControlPr xmlns="http://schemas.microsoft.com/office/spreadsheetml/2009/9/main" objectType="Drop" dropLines="3" dropStyle="combo" dx="22" fmlaLink="BK8" fmlaRange="$B$61:$B$63" sel="3" val="0"/>
</file>

<file path=xl/ctrlProps/ctrlProp13.xml><?xml version="1.0" encoding="utf-8"?>
<formControlPr xmlns="http://schemas.microsoft.com/office/spreadsheetml/2009/9/main" objectType="Drop" dropLines="11" dropStyle="combo" dx="22" fmlaRange="$A$61:$A$70" sel="1" val="0"/>
</file>

<file path=xl/ctrlProps/ctrlProp14.xml><?xml version="1.0" encoding="utf-8"?>
<formControlPr xmlns="http://schemas.microsoft.com/office/spreadsheetml/2009/9/main" objectType="Drop" dropLines="11" dropStyle="combo" dx="22" fmlaRange="$A$61:$A$70" sel="1" val="0"/>
</file>

<file path=xl/ctrlProps/ctrlProp15.xml><?xml version="1.0" encoding="utf-8"?>
<formControlPr xmlns="http://schemas.microsoft.com/office/spreadsheetml/2009/9/main" objectType="Drop" dropLines="11" dropStyle="combo" dx="22" fmlaLink="BJ11" fmlaRange="$A$61:$A$71" sel="11" val="0"/>
</file>

<file path=xl/ctrlProps/ctrlProp16.xml><?xml version="1.0" encoding="utf-8"?>
<formControlPr xmlns="http://schemas.microsoft.com/office/spreadsheetml/2009/9/main" objectType="Drop" dropLines="11" dropStyle="combo" dx="22" fmlaRange="$A$61:$A$70" sel="1" val="0"/>
</file>

<file path=xl/ctrlProps/ctrlProp17.xml><?xml version="1.0" encoding="utf-8"?>
<formControlPr xmlns="http://schemas.microsoft.com/office/spreadsheetml/2009/9/main" objectType="Drop" dropLines="11" dropStyle="combo" dx="22" fmlaRange="$A$61:$A$70" sel="1" val="0"/>
</file>

<file path=xl/ctrlProps/ctrlProp18.xml><?xml version="1.0" encoding="utf-8"?>
<formControlPr xmlns="http://schemas.microsoft.com/office/spreadsheetml/2009/9/main" objectType="Drop" dropLines="11" dropStyle="combo" dx="22" fmlaRange="$A$61:$A$70" sel="1" val="0"/>
</file>

<file path=xl/ctrlProps/ctrlProp19.xml><?xml version="1.0" encoding="utf-8"?>
<formControlPr xmlns="http://schemas.microsoft.com/office/spreadsheetml/2009/9/main" objectType="Drop" dropLines="11" dropStyle="combo" dx="22" fmlaRange="$A$61:$A$70" sel="1" val="0"/>
</file>

<file path=xl/ctrlProps/ctrlProp20.xml><?xml version="1.0" encoding="utf-8"?>
<formControlPr xmlns="http://schemas.microsoft.com/office/spreadsheetml/2009/9/main" objectType="Drop" dropLines="11" dropStyle="combo" dx="22" fmlaRange="$A$61:$A$70" sel="1" val="0"/>
</file>

<file path=xl/ctrlProps/ctrlProp21.xml><?xml version="1.0" encoding="utf-8"?>
<formControlPr xmlns="http://schemas.microsoft.com/office/spreadsheetml/2009/9/main" objectType="Drop" dropLines="11" dropStyle="combo" dx="22" fmlaRange="$A$61:$A$70" sel="1" val="0"/>
</file>

<file path=xl/ctrlProps/ctrlProp22.xml><?xml version="1.0" encoding="utf-8"?>
<formControlPr xmlns="http://schemas.microsoft.com/office/spreadsheetml/2009/9/main" objectType="Drop" dropLines="11" dropStyle="combo" dx="22" fmlaRange="$A$61:$A$70" sel="1" val="0"/>
</file>

<file path=xl/ctrlProps/ctrlProp23.xml><?xml version="1.0" encoding="utf-8"?>
<formControlPr xmlns="http://schemas.microsoft.com/office/spreadsheetml/2009/9/main" objectType="Drop" dropLines="11" dropStyle="combo" dx="22" fmlaRange="$A$61:$A$70" sel="1" val="0"/>
</file>

<file path=xl/ctrlProps/ctrlProp24.xml><?xml version="1.0" encoding="utf-8"?>
<formControlPr xmlns="http://schemas.microsoft.com/office/spreadsheetml/2009/9/main" objectType="Drop" dropLines="11" dropStyle="combo" dx="22" fmlaRange="$A$61:$A$70" sel="1" val="0"/>
</file>

<file path=xl/ctrlProps/ctrlProp25.xml><?xml version="1.0" encoding="utf-8"?>
<formControlPr xmlns="http://schemas.microsoft.com/office/spreadsheetml/2009/9/main" objectType="Drop" dropLines="11" dropStyle="combo" dx="22" fmlaRange="$A$61:$A$70" sel="1" val="0"/>
</file>

<file path=xl/ctrlProps/ctrlProp26.xml><?xml version="1.0" encoding="utf-8"?>
<formControlPr xmlns="http://schemas.microsoft.com/office/spreadsheetml/2009/9/main" objectType="Drop" dropLines="11" dropStyle="combo" dx="22" fmlaRange="$A$61:$A$70" sel="1" val="0"/>
</file>

<file path=xl/ctrlProps/ctrlProp27.xml><?xml version="1.0" encoding="utf-8"?>
<formControlPr xmlns="http://schemas.microsoft.com/office/spreadsheetml/2009/9/main" objectType="Drop" dropLines="11" dropStyle="combo" dx="22" fmlaRange="$A$61:$A$70" sel="1" val="0"/>
</file>

<file path=xl/ctrlProps/ctrlProp28.xml><?xml version="1.0" encoding="utf-8"?>
<formControlPr xmlns="http://schemas.microsoft.com/office/spreadsheetml/2009/9/main" objectType="Drop" dropLines="11" dropStyle="combo" dx="22" fmlaRange="$A$61:$A$70" sel="1" val="0"/>
</file>

<file path=xl/ctrlProps/ctrlProp29.xml><?xml version="1.0" encoding="utf-8"?>
<formControlPr xmlns="http://schemas.microsoft.com/office/spreadsheetml/2009/9/main" objectType="Drop" dropLines="11" dropStyle="combo" dx="22" fmlaRange="$A$61:$A$70" sel="1" val="0"/>
</file>

<file path=xl/ctrlProps/ctrlProp30.xml><?xml version="1.0" encoding="utf-8"?>
<formControlPr xmlns="http://schemas.microsoft.com/office/spreadsheetml/2009/9/main" objectType="Drop" dropLines="11" dropStyle="combo" dx="22" fmlaRange="$A$61:$A$70" sel="1" val="0"/>
</file>

<file path=xl/ctrlProps/ctrlProp31.xml><?xml version="1.0" encoding="utf-8"?>
<formControlPr xmlns="http://schemas.microsoft.com/office/spreadsheetml/2009/9/main" objectType="Drop" dropLines="11" dropStyle="combo" dx="22" fmlaRange="$A$61:$A$70" sel="1" val="0"/>
</file>

<file path=xl/ctrlProps/ctrlProp32.xml><?xml version="1.0" encoding="utf-8"?>
<formControlPr xmlns="http://schemas.microsoft.com/office/spreadsheetml/2009/9/main" objectType="Drop" dropLines="11" dropStyle="combo" dx="22" fmlaRange="$A$61:$A$70" sel="1" val="0"/>
</file>

<file path=xl/ctrlProps/ctrlProp33.xml><?xml version="1.0" encoding="utf-8"?>
<formControlPr xmlns="http://schemas.microsoft.com/office/spreadsheetml/2009/9/main" objectType="Drop" dropLines="11" dropStyle="combo" dx="22" fmlaRange="$A$61:$A$70" sel="1" val="0"/>
</file>

<file path=xl/ctrlProps/ctrlProp34.xml><?xml version="1.0" encoding="utf-8"?>
<formControlPr xmlns="http://schemas.microsoft.com/office/spreadsheetml/2009/9/main" objectType="Drop" dropLines="11" dropStyle="combo" dx="22" fmlaRange="$A$61:$A$70" sel="1" val="0"/>
</file>

<file path=xl/ctrlProps/ctrlProp35.xml><?xml version="1.0" encoding="utf-8"?>
<formControlPr xmlns="http://schemas.microsoft.com/office/spreadsheetml/2009/9/main" objectType="Drop" dropLines="11" dropStyle="combo" dx="22" fmlaRange="$A$61:$A$70" sel="1" val="0"/>
</file>

<file path=xl/ctrlProps/ctrlProp36.xml><?xml version="1.0" encoding="utf-8"?>
<formControlPr xmlns="http://schemas.microsoft.com/office/spreadsheetml/2009/9/main" objectType="Drop" dropLines="11" dropStyle="combo" dx="22" fmlaRange="$A$61:$A$70" sel="1" val="0"/>
</file>

<file path=xl/ctrlProps/ctrlProp37.xml><?xml version="1.0" encoding="utf-8"?>
<formControlPr xmlns="http://schemas.microsoft.com/office/spreadsheetml/2009/9/main" objectType="Drop" dropLines="11" dropStyle="combo" dx="22" fmlaRange="$A$61:$A$70" sel="1" val="0"/>
</file>

<file path=xl/ctrlProps/ctrlProp38.xml><?xml version="1.0" encoding="utf-8"?>
<formControlPr xmlns="http://schemas.microsoft.com/office/spreadsheetml/2009/9/main" objectType="Drop" dropLines="11" dropStyle="combo" dx="22" fmlaRange="$A$61:$A$70" sel="1" val="0"/>
</file>

<file path=xl/ctrlProps/ctrlProp39.xml><?xml version="1.0" encoding="utf-8"?>
<formControlPr xmlns="http://schemas.microsoft.com/office/spreadsheetml/2009/9/main" objectType="Drop" dropLines="11" dropStyle="combo" dx="22" fmlaRange="$A$61:$A$70" sel="1" val="0"/>
</file>

<file path=xl/ctrlProps/ctrlProp40.xml><?xml version="1.0" encoding="utf-8"?>
<formControlPr xmlns="http://schemas.microsoft.com/office/spreadsheetml/2009/9/main" objectType="Drop" dropLines="11" dropStyle="combo" dx="22" fmlaRange="$A$61:$A$70" sel="1" val="0"/>
</file>

<file path=xl/ctrlProps/ctrlProp41.xml><?xml version="1.0" encoding="utf-8"?>
<formControlPr xmlns="http://schemas.microsoft.com/office/spreadsheetml/2009/9/main" objectType="Drop" dropLines="11" dropStyle="combo" dx="22" fmlaRange="$A$61:$A$70" sel="1" val="0"/>
</file>

<file path=xl/ctrlProps/ctrlProp42.xml><?xml version="1.0" encoding="utf-8"?>
<formControlPr xmlns="http://schemas.microsoft.com/office/spreadsheetml/2009/9/main" objectType="Drop" dropLines="11" dropStyle="combo" dx="22" fmlaRange="$A$61:$A$70" sel="1" val="0"/>
</file>

<file path=xl/ctrlProps/ctrlProp43.xml><?xml version="1.0" encoding="utf-8"?>
<formControlPr xmlns="http://schemas.microsoft.com/office/spreadsheetml/2009/9/main" objectType="Drop" dropLines="11" dropStyle="combo" dx="22" fmlaRange="$A$61:$A$70" sel="1" val="0"/>
</file>

<file path=xl/ctrlProps/ctrlProp44.xml><?xml version="1.0" encoding="utf-8"?>
<formControlPr xmlns="http://schemas.microsoft.com/office/spreadsheetml/2009/9/main" objectType="Drop" dropLines="11" dropStyle="combo" dx="22" fmlaRange="$A$61:$A$70" sel="1" val="0"/>
</file>

<file path=xl/ctrlProps/ctrlProp45.xml><?xml version="1.0" encoding="utf-8"?>
<formControlPr xmlns="http://schemas.microsoft.com/office/spreadsheetml/2009/9/main" objectType="Drop" dropLines="11" dropStyle="combo" dx="22" fmlaRange="$A$61:$A$70" sel="1" val="0"/>
</file>

<file path=xl/ctrlProps/ctrlProp46.xml><?xml version="1.0" encoding="utf-8"?>
<formControlPr xmlns="http://schemas.microsoft.com/office/spreadsheetml/2009/9/main" objectType="Drop" dropLines="11" dropStyle="combo" dx="22" fmlaRange="$A$61:$A$70" sel="1" val="0"/>
</file>

<file path=xl/ctrlProps/ctrlProp47.xml><?xml version="1.0" encoding="utf-8"?>
<formControlPr xmlns="http://schemas.microsoft.com/office/spreadsheetml/2009/9/main" objectType="Drop" dropLines="11" dropStyle="combo" dx="22" fmlaRange="$A$61:$A$70" sel="1" val="0"/>
</file>

<file path=xl/ctrlProps/ctrlProp48.xml><?xml version="1.0" encoding="utf-8"?>
<formControlPr xmlns="http://schemas.microsoft.com/office/spreadsheetml/2009/9/main" objectType="Drop" dropLines="11" dropStyle="combo" dx="22" fmlaRange="$A$61:$A$70" sel="1" val="0"/>
</file>

<file path=xl/ctrlProps/ctrlProp49.xml><?xml version="1.0" encoding="utf-8"?>
<formControlPr xmlns="http://schemas.microsoft.com/office/spreadsheetml/2009/9/main" objectType="Drop" dropLines="11" dropStyle="combo" dx="22" fmlaRange="$A$61:$A$70" sel="1" val="0"/>
</file>

<file path=xl/ctrlProps/ctrlProp50.xml><?xml version="1.0" encoding="utf-8"?>
<formControlPr xmlns="http://schemas.microsoft.com/office/spreadsheetml/2009/9/main" objectType="Drop" dropLines="11" dropStyle="combo" dx="22" fmlaRange="$A$61:$A$70" sel="1" val="0"/>
</file>

<file path=xl/ctrlProps/ctrlProp51.xml><?xml version="1.0" encoding="utf-8"?>
<formControlPr xmlns="http://schemas.microsoft.com/office/spreadsheetml/2009/9/main" objectType="Drop" dropLines="3" dropStyle="combo" dx="22" fmlaLink="BK9" fmlaRange="$B$61:$B$63" sel="3" val="0"/>
</file>

<file path=xl/ctrlProps/ctrlProp52.xml><?xml version="1.0" encoding="utf-8"?>
<formControlPr xmlns="http://schemas.microsoft.com/office/spreadsheetml/2009/9/main" objectType="Drop" dropLines="3" dropStyle="combo" dx="22" fmlaLink="BK10" fmlaRange="$B$61:$B$63" sel="3" val="0"/>
</file>

<file path=xl/ctrlProps/ctrlProp53.xml><?xml version="1.0" encoding="utf-8"?>
<formControlPr xmlns="http://schemas.microsoft.com/office/spreadsheetml/2009/9/main" objectType="Drop" dropLines="3" dropStyle="combo" dx="22" fmlaLink="BK11" fmlaRange="$B$61:$B$63" sel="3" val="0"/>
</file>

<file path=xl/ctrlProps/ctrlProp54.xml><?xml version="1.0" encoding="utf-8"?>
<formControlPr xmlns="http://schemas.microsoft.com/office/spreadsheetml/2009/9/main" objectType="Drop" dropLines="3" dropStyle="combo" dx="22" fmlaLink="BK12" fmlaRange="$B$61:$B$63" sel="3" val="0"/>
</file>

<file path=xl/ctrlProps/ctrlProp55.xml><?xml version="1.0" encoding="utf-8"?>
<formControlPr xmlns="http://schemas.microsoft.com/office/spreadsheetml/2009/9/main" objectType="Drop" dropLines="3" dropStyle="combo" dx="22" fmlaLink="BK13" fmlaRange="$B$61:$B$63" sel="3" val="0"/>
</file>

<file path=xl/ctrlProps/ctrlProp56.xml><?xml version="1.0" encoding="utf-8"?>
<formControlPr xmlns="http://schemas.microsoft.com/office/spreadsheetml/2009/9/main" objectType="Drop" dropLines="3" dropStyle="combo" dx="22" fmlaLink="BK14" fmlaRange="$B$61:$B$63" sel="3" val="0"/>
</file>

<file path=xl/ctrlProps/ctrlProp57.xml><?xml version="1.0" encoding="utf-8"?>
<formControlPr xmlns="http://schemas.microsoft.com/office/spreadsheetml/2009/9/main" objectType="Drop" dropLines="3" dropStyle="combo" dx="22" fmlaLink="BK15" fmlaRange="$B$61:$B$63" sel="3" val="0"/>
</file>

<file path=xl/ctrlProps/ctrlProp58.xml><?xml version="1.0" encoding="utf-8"?>
<formControlPr xmlns="http://schemas.microsoft.com/office/spreadsheetml/2009/9/main" objectType="Drop" dropLines="3" dropStyle="combo" dx="22" fmlaLink="BK16" fmlaRange="$B$61:$B$63" sel="3" val="0"/>
</file>

<file path=xl/ctrlProps/ctrlProp59.xml><?xml version="1.0" encoding="utf-8"?>
<formControlPr xmlns="http://schemas.microsoft.com/office/spreadsheetml/2009/9/main" objectType="Drop" dropLines="3" dropStyle="combo" dx="22" fmlaLink="BK17" fmlaRange="$B$61:$B$63" sel="3" val="0"/>
</file>

<file path=xl/ctrlProps/ctrlProp60.xml><?xml version="1.0" encoding="utf-8"?>
<formControlPr xmlns="http://schemas.microsoft.com/office/spreadsheetml/2009/9/main" objectType="Drop" dropLines="3" dropStyle="combo" dx="22" fmlaLink="BK18" fmlaRange="$B$61:$B$63" sel="3" val="0"/>
</file>

<file path=xl/ctrlProps/ctrlProp61.xml><?xml version="1.0" encoding="utf-8"?>
<formControlPr xmlns="http://schemas.microsoft.com/office/spreadsheetml/2009/9/main" objectType="Drop" dropLines="3" dropStyle="combo" dx="22" fmlaLink="BK19" fmlaRange="$B$61:$B$63" sel="3" val="0"/>
</file>

<file path=xl/ctrlProps/ctrlProp62.xml><?xml version="1.0" encoding="utf-8"?>
<formControlPr xmlns="http://schemas.microsoft.com/office/spreadsheetml/2009/9/main" objectType="Drop" dropLines="3" dropStyle="combo" dx="22" fmlaLink="BK20" fmlaRange="$B$61:$B$63" sel="3" val="0"/>
</file>

<file path=xl/ctrlProps/ctrlProp63.xml><?xml version="1.0" encoding="utf-8"?>
<formControlPr xmlns="http://schemas.microsoft.com/office/spreadsheetml/2009/9/main" objectType="Drop" dropLines="3" dropStyle="combo" dx="22" fmlaLink="BK21" fmlaRange="$B$61:$B$63" sel="3" val="0"/>
</file>

<file path=xl/ctrlProps/ctrlProp64.xml><?xml version="1.0" encoding="utf-8"?>
<formControlPr xmlns="http://schemas.microsoft.com/office/spreadsheetml/2009/9/main" objectType="Drop" dropLines="3" dropStyle="combo" dx="22" fmlaLink="BK22" fmlaRange="$B$61:$B$63" sel="3" val="0"/>
</file>

<file path=xl/ctrlProps/ctrlProp65.xml><?xml version="1.0" encoding="utf-8"?>
<formControlPr xmlns="http://schemas.microsoft.com/office/spreadsheetml/2009/9/main" objectType="Drop" dropLines="3" dropStyle="combo" dx="22" fmlaLink="BK23" fmlaRange="$B$61:$B$63" sel="3" val="0"/>
</file>

<file path=xl/ctrlProps/ctrlProp66.xml><?xml version="1.0" encoding="utf-8"?>
<formControlPr xmlns="http://schemas.microsoft.com/office/spreadsheetml/2009/9/main" objectType="Drop" dropLines="3" dropStyle="combo" dx="22" fmlaLink="BK24" fmlaRange="$B$61:$B$63" sel="3" val="0"/>
</file>

<file path=xl/ctrlProps/ctrlProp67.xml><?xml version="1.0" encoding="utf-8"?>
<formControlPr xmlns="http://schemas.microsoft.com/office/spreadsheetml/2009/9/main" objectType="Drop" dropLines="3" dropStyle="combo" dx="22" fmlaLink="BK25" fmlaRange="$B$61:$B$63" sel="3" val="0"/>
</file>

<file path=xl/ctrlProps/ctrlProp68.xml><?xml version="1.0" encoding="utf-8"?>
<formControlPr xmlns="http://schemas.microsoft.com/office/spreadsheetml/2009/9/main" objectType="Drop" dropLines="3" dropStyle="combo" dx="22" fmlaLink="BK26" fmlaRange="$B$61:$B$63" sel="3" val="0"/>
</file>

<file path=xl/ctrlProps/ctrlProp69.xml><?xml version="1.0" encoding="utf-8"?>
<formControlPr xmlns="http://schemas.microsoft.com/office/spreadsheetml/2009/9/main" objectType="Drop" dropLines="3" dropStyle="combo" dx="22" fmlaLink="BK27" fmlaRange="$B$61:$B$63" sel="3" val="0"/>
</file>

<file path=xl/ctrlProps/ctrlProp70.xml><?xml version="1.0" encoding="utf-8"?>
<formControlPr xmlns="http://schemas.microsoft.com/office/spreadsheetml/2009/9/main" objectType="Drop" dropLines="3" dropStyle="combo" dx="22" fmlaLink="BK28" fmlaRange="$B$61:$B$63" sel="3" val="0"/>
</file>

<file path=xl/ctrlProps/ctrlProp71.xml><?xml version="1.0" encoding="utf-8"?>
<formControlPr xmlns="http://schemas.microsoft.com/office/spreadsheetml/2009/9/main" objectType="Drop" dropLines="3" dropStyle="combo" dx="22" fmlaLink="BK29" fmlaRange="$B$61:$B$63" sel="3" val="0"/>
</file>

<file path=xl/ctrlProps/ctrlProp72.xml><?xml version="1.0" encoding="utf-8"?>
<formControlPr xmlns="http://schemas.microsoft.com/office/spreadsheetml/2009/9/main" objectType="Drop" dropLines="3" dropStyle="combo" dx="22" fmlaLink="BK30" fmlaRange="$B$61:$B$63" sel="3" val="0"/>
</file>

<file path=xl/ctrlProps/ctrlProp73.xml><?xml version="1.0" encoding="utf-8"?>
<formControlPr xmlns="http://schemas.microsoft.com/office/spreadsheetml/2009/9/main" objectType="Drop" dropLines="3" dropStyle="combo" dx="22" fmlaLink="BK31" fmlaRange="$B$61:$B$63" sel="3" val="0"/>
</file>

<file path=xl/ctrlProps/ctrlProp74.xml><?xml version="1.0" encoding="utf-8"?>
<formControlPr xmlns="http://schemas.microsoft.com/office/spreadsheetml/2009/9/main" objectType="Drop" dropLines="3" dropStyle="combo" dx="22" fmlaLink="BK32" fmlaRange="$B$61:$B$63" sel="3" val="0"/>
</file>

<file path=xl/ctrlProps/ctrlProp75.xml><?xml version="1.0" encoding="utf-8"?>
<formControlPr xmlns="http://schemas.microsoft.com/office/spreadsheetml/2009/9/main" objectType="Drop" dropLines="3" dropStyle="combo" dx="22" fmlaLink="BK33" fmlaRange="$B$61:$B$63" sel="3" val="0"/>
</file>

<file path=xl/ctrlProps/ctrlProp76.xml><?xml version="1.0" encoding="utf-8"?>
<formControlPr xmlns="http://schemas.microsoft.com/office/spreadsheetml/2009/9/main" objectType="Drop" dropLines="3" dropStyle="combo" dx="22" fmlaLink="BK34" fmlaRange="$B$61:$B$63" sel="3" val="0"/>
</file>

<file path=xl/ctrlProps/ctrlProp77.xml><?xml version="1.0" encoding="utf-8"?>
<formControlPr xmlns="http://schemas.microsoft.com/office/spreadsheetml/2009/9/main" objectType="Drop" dropLines="3" dropStyle="combo" dx="22" fmlaLink="BK36" fmlaRange="$B$61:$B$63" sel="3" val="0"/>
</file>

<file path=xl/ctrlProps/ctrlProp78.xml><?xml version="1.0" encoding="utf-8"?>
<formControlPr xmlns="http://schemas.microsoft.com/office/spreadsheetml/2009/9/main" objectType="Drop" dropLines="3" dropStyle="combo" dx="22" fmlaLink="BK37" fmlaRange="$B$61:$B$63" sel="3" val="0"/>
</file>

<file path=xl/ctrlProps/ctrlProp79.xml><?xml version="1.0" encoding="utf-8"?>
<formControlPr xmlns="http://schemas.microsoft.com/office/spreadsheetml/2009/9/main" objectType="Drop" dropLines="3" dropStyle="combo" dx="22" fmlaLink="BK38" fmlaRange="$B$61:$B$63" sel="3" val="0"/>
</file>

<file path=xl/ctrlProps/ctrlProp80.xml><?xml version="1.0" encoding="utf-8"?>
<formControlPr xmlns="http://schemas.microsoft.com/office/spreadsheetml/2009/9/main" objectType="Drop" dropLines="3" dropStyle="combo" dx="22" fmlaLink="BK39" fmlaRange="$B$61:$B$63" sel="3" val="0"/>
</file>

<file path=xl/ctrlProps/ctrlProp81.xml><?xml version="1.0" encoding="utf-8"?>
<formControlPr xmlns="http://schemas.microsoft.com/office/spreadsheetml/2009/9/main" objectType="Drop" dropLines="3" dropStyle="combo" dx="22" fmlaLink="BK40" fmlaRange="$B$61:$B$63" sel="3" val="0"/>
</file>

<file path=xl/ctrlProps/ctrlProp82.xml><?xml version="1.0" encoding="utf-8"?>
<formControlPr xmlns="http://schemas.microsoft.com/office/spreadsheetml/2009/9/main" objectType="Drop" dropLines="3" dropStyle="combo" dx="22" fmlaLink="BK41" fmlaRange="$B$61:$B$63" sel="3" val="0"/>
</file>

<file path=xl/ctrlProps/ctrlProp83.xml><?xml version="1.0" encoding="utf-8"?>
<formControlPr xmlns="http://schemas.microsoft.com/office/spreadsheetml/2009/9/main" objectType="Drop" dropLines="3" dropStyle="combo" dx="22" fmlaLink="BK42" fmlaRange="$B$61:$B$63" sel="3" val="0"/>
</file>

<file path=xl/ctrlProps/ctrlProp84.xml><?xml version="1.0" encoding="utf-8"?>
<formControlPr xmlns="http://schemas.microsoft.com/office/spreadsheetml/2009/9/main" objectType="Drop" dropLines="3" dropStyle="combo" dx="22" fmlaLink="BK43" fmlaRange="$B$61:$B$63" sel="3" val="0"/>
</file>

<file path=xl/ctrlProps/ctrlProp85.xml><?xml version="1.0" encoding="utf-8"?>
<formControlPr xmlns="http://schemas.microsoft.com/office/spreadsheetml/2009/9/main" objectType="Drop" dropLines="3" dropStyle="combo" dx="22" fmlaLink="BK44" fmlaRange="$B$61:$B$63" sel="3" val="0"/>
</file>

<file path=xl/ctrlProps/ctrlProp86.xml><?xml version="1.0" encoding="utf-8"?>
<formControlPr xmlns="http://schemas.microsoft.com/office/spreadsheetml/2009/9/main" objectType="Drop" dropLines="3" dropStyle="combo" dx="22" fmlaRange="$B$61:$B$63" sel="1" val="0"/>
</file>

<file path=xl/ctrlProps/ctrlProp87.xml><?xml version="1.0" encoding="utf-8"?>
<formControlPr xmlns="http://schemas.microsoft.com/office/spreadsheetml/2009/9/main" objectType="Drop" dropLines="3" dropStyle="combo" dx="22" fmlaLink="BK45" fmlaRange="$B$61:$B$63" sel="3" val="0"/>
</file>

<file path=xl/ctrlProps/ctrlProp88.xml><?xml version="1.0" encoding="utf-8"?>
<formControlPr xmlns="http://schemas.microsoft.com/office/spreadsheetml/2009/9/main" objectType="Drop" dropLines="3" dropStyle="combo" dx="22" fmlaLink="BK46" fmlaRange="$B$61:$B$63" sel="3" val="0"/>
</file>

<file path=xl/ctrlProps/ctrlProp89.xml><?xml version="1.0" encoding="utf-8"?>
<formControlPr xmlns="http://schemas.microsoft.com/office/spreadsheetml/2009/9/main" objectType="Drop" dropLines="11" dropStyle="combo" dx="22" fmlaRange="$A$61:$A$71" sel="11" val="0"/>
</file>

<file path=xl/ctrlProps/ctrlProp90.xml><?xml version="1.0" encoding="utf-8"?>
<formControlPr xmlns="http://schemas.microsoft.com/office/spreadsheetml/2009/9/main" objectType="Drop" dropLines="11" dropStyle="combo" dx="22" fmlaRange="$A$61:$A$71" sel="11" val="0"/>
</file>

<file path=xl/ctrlProps/ctrlProp91.xml><?xml version="1.0" encoding="utf-8"?>
<formControlPr xmlns="http://schemas.microsoft.com/office/spreadsheetml/2009/9/main" objectType="Drop" dropLines="11" dropStyle="combo" dx="22" fmlaLink="$A$72" fmlaRange="$A$61:$A$71" sel="3" val="0"/>
</file>

<file path=xl/ctrlProps/ctrlProp92.xml><?xml version="1.0" encoding="utf-8"?>
<formControlPr xmlns="http://schemas.microsoft.com/office/spreadsheetml/2009/9/main" objectType="Drop" dropLines="11" dropStyle="combo" dx="22" fmlaLink="BJ10" fmlaRange="$A$61:$A$71" sel="11" val="0"/>
</file>

<file path=xl/ctrlProps/ctrlProp93.xml><?xml version="1.0" encoding="utf-8"?>
<formControlPr xmlns="http://schemas.microsoft.com/office/spreadsheetml/2009/9/main" objectType="Drop" dropLines="11" dropStyle="combo" dx="22" fmlaLink="BJ12" fmlaRange="$A$61:$A$71" sel="11" val="0"/>
</file>

<file path=xl/ctrlProps/ctrlProp94.xml><?xml version="1.0" encoding="utf-8"?>
<formControlPr xmlns="http://schemas.microsoft.com/office/spreadsheetml/2009/9/main" objectType="Drop" dropLines="11" dropStyle="combo" dx="22" fmlaLink="BJ13" fmlaRange="$A$61:$A$71" sel="11" val="0"/>
</file>

<file path=xl/ctrlProps/ctrlProp95.xml><?xml version="1.0" encoding="utf-8"?>
<formControlPr xmlns="http://schemas.microsoft.com/office/spreadsheetml/2009/9/main" objectType="Drop" dropLines="11" dropStyle="combo" dx="22" fmlaLink="BJ14" fmlaRange="$A$61:$A$71" sel="11" val="0"/>
</file>

<file path=xl/ctrlProps/ctrlProp96.xml><?xml version="1.0" encoding="utf-8"?>
<formControlPr xmlns="http://schemas.microsoft.com/office/spreadsheetml/2009/9/main" objectType="Drop" dropLines="11" dropStyle="combo" dx="22" fmlaLink="BJ15" fmlaRange="$A$61:$A$71" sel="11" val="0"/>
</file>

<file path=xl/ctrlProps/ctrlProp97.xml><?xml version="1.0" encoding="utf-8"?>
<formControlPr xmlns="http://schemas.microsoft.com/office/spreadsheetml/2009/9/main" objectType="Drop" dropLines="11" dropStyle="combo" dx="22" fmlaLink="BJ17" fmlaRange="$A$61:$A$71" sel="11" val="0"/>
</file>

<file path=xl/ctrlProps/ctrlProp98.xml><?xml version="1.0" encoding="utf-8"?>
<formControlPr xmlns="http://schemas.microsoft.com/office/spreadsheetml/2009/9/main" objectType="Drop" dropLines="11" dropStyle="combo" dx="22" fmlaLink="BJ16" fmlaRange="$A$61:$A$71" sel="11" val="0"/>
</file>

<file path=xl/ctrlProps/ctrlProp99.xml><?xml version="1.0" encoding="utf-8"?>
<formControlPr xmlns="http://schemas.microsoft.com/office/spreadsheetml/2009/9/main" objectType="Drop" dropLines="11" dropStyle="combo" dx="22" fmlaLink="BJ18" fmlaRange="$A$61:$A$71" sel="11" val="0"/>
</file>

<file path=xl/ctrlProps/ctrlProp100.xml><?xml version="1.0" encoding="utf-8"?>
<formControlPr xmlns="http://schemas.microsoft.com/office/spreadsheetml/2009/9/main" objectType="Drop" dropLines="11" dropStyle="combo" dx="22" fmlaLink="BJ19" fmlaRange="$A$61:$A$71" sel="11" val="0"/>
</file>

<file path=xl/ctrlProps/ctrlProp101.xml><?xml version="1.0" encoding="utf-8"?>
<formControlPr xmlns="http://schemas.microsoft.com/office/spreadsheetml/2009/9/main" objectType="Drop" dropLines="11" dropStyle="combo" dx="22" fmlaLink="BJ20" fmlaRange="$A$61:$A$71" sel="11" val="0"/>
</file>

<file path=xl/ctrlProps/ctrlProp102.xml><?xml version="1.0" encoding="utf-8"?>
<formControlPr xmlns="http://schemas.microsoft.com/office/spreadsheetml/2009/9/main" objectType="Drop" dropLines="11" dropStyle="combo" dx="22" fmlaLink="BJ21" fmlaRange="$A$61:$A$71" sel="11" val="0"/>
</file>

<file path=xl/ctrlProps/ctrlProp103.xml><?xml version="1.0" encoding="utf-8"?>
<formControlPr xmlns="http://schemas.microsoft.com/office/spreadsheetml/2009/9/main" objectType="Drop" dropLines="11" dropStyle="combo" dx="22" fmlaLink="BJ22" fmlaRange="$A$61:$A$71" sel="11" val="0"/>
</file>

<file path=xl/ctrlProps/ctrlProp104.xml><?xml version="1.0" encoding="utf-8"?>
<formControlPr xmlns="http://schemas.microsoft.com/office/spreadsheetml/2009/9/main" objectType="Drop" dropLines="11" dropStyle="combo" dx="22" fmlaLink="BJ23" fmlaRange="$A$61:$A$71" sel="11" val="0"/>
</file>

<file path=xl/ctrlProps/ctrlProp105.xml><?xml version="1.0" encoding="utf-8"?>
<formControlPr xmlns="http://schemas.microsoft.com/office/spreadsheetml/2009/9/main" objectType="Drop" dropLines="11" dropStyle="combo" dx="22" fmlaLink="BJ24" fmlaRange="$A$61:$A$71" sel="11" val="0"/>
</file>

<file path=xl/ctrlProps/ctrlProp106.xml><?xml version="1.0" encoding="utf-8"?>
<formControlPr xmlns="http://schemas.microsoft.com/office/spreadsheetml/2009/9/main" objectType="Drop" dropLines="11" dropStyle="combo" dx="22" fmlaLink="BJ25" fmlaRange="$A$61:$A$71" sel="11" val="0"/>
</file>

<file path=xl/ctrlProps/ctrlProp107.xml><?xml version="1.0" encoding="utf-8"?>
<formControlPr xmlns="http://schemas.microsoft.com/office/spreadsheetml/2009/9/main" objectType="Drop" dropLines="11" dropStyle="combo" dx="22" fmlaLink="BJ26" fmlaRange="$A$61:$A$71" sel="11" val="0"/>
</file>

<file path=xl/ctrlProps/ctrlProp108.xml><?xml version="1.0" encoding="utf-8"?>
<formControlPr xmlns="http://schemas.microsoft.com/office/spreadsheetml/2009/9/main" objectType="Drop" dropLines="11" dropStyle="combo" dx="22" fmlaLink="BJ27" fmlaRange="$A$61:$A$71" sel="11" val="0"/>
</file>

<file path=xl/ctrlProps/ctrlProp109.xml><?xml version="1.0" encoding="utf-8"?>
<formControlPr xmlns="http://schemas.microsoft.com/office/spreadsheetml/2009/9/main" objectType="Drop" dropLines="11" dropStyle="combo" dx="22" fmlaLink="BJ28" fmlaRange="$A$61:$A$71" sel="11" val="0"/>
</file>

<file path=xl/ctrlProps/ctrlProp110.xml><?xml version="1.0" encoding="utf-8"?>
<formControlPr xmlns="http://schemas.microsoft.com/office/spreadsheetml/2009/9/main" objectType="Drop" dropLines="11" dropStyle="combo" dx="22" fmlaLink="BJ29" fmlaRange="$A$61:$A$71" sel="11" val="0"/>
</file>

<file path=xl/ctrlProps/ctrlProp111.xml><?xml version="1.0" encoding="utf-8"?>
<formControlPr xmlns="http://schemas.microsoft.com/office/spreadsheetml/2009/9/main" objectType="Drop" dropLines="11" dropStyle="combo" dx="22" fmlaLink="BJ30" fmlaRange="$A$61:$A$71" sel="11" val="0"/>
</file>

<file path=xl/ctrlProps/ctrlProp112.xml><?xml version="1.0" encoding="utf-8"?>
<formControlPr xmlns="http://schemas.microsoft.com/office/spreadsheetml/2009/9/main" objectType="Drop" dropLines="11" dropStyle="combo" dx="22" fmlaLink="BJ31" fmlaRange="$A$61:$A$71" sel="11" val="0"/>
</file>

<file path=xl/ctrlProps/ctrlProp113.xml><?xml version="1.0" encoding="utf-8"?>
<formControlPr xmlns="http://schemas.microsoft.com/office/spreadsheetml/2009/9/main" objectType="Drop" dropLines="11" dropStyle="combo" dx="22" fmlaLink="BJ33" fmlaRange="$A$61:$A$71" sel="11" val="0"/>
</file>

<file path=xl/ctrlProps/ctrlProp114.xml><?xml version="1.0" encoding="utf-8"?>
<formControlPr xmlns="http://schemas.microsoft.com/office/spreadsheetml/2009/9/main" objectType="Drop" dropLines="11" dropStyle="combo" dx="22" fmlaLink="BJ32" fmlaRange="$A$61:$A$71" sel="11" val="0"/>
</file>

<file path=xl/ctrlProps/ctrlProp115.xml><?xml version="1.0" encoding="utf-8"?>
<formControlPr xmlns="http://schemas.microsoft.com/office/spreadsheetml/2009/9/main" objectType="Drop" dropLines="11" dropStyle="combo" dx="22" fmlaLink="BJ34" fmlaRange="$A$61:$A$71" sel="11" val="0"/>
</file>

<file path=xl/ctrlProps/ctrlProp116.xml><?xml version="1.0" encoding="utf-8"?>
<formControlPr xmlns="http://schemas.microsoft.com/office/spreadsheetml/2009/9/main" objectType="Drop" dropLines="11" dropStyle="combo" dx="22" fmlaLink="BJ35" fmlaRange="$A$61:$A$71" sel="11" val="0"/>
</file>

<file path=xl/ctrlProps/ctrlProp117.xml><?xml version="1.0" encoding="utf-8"?>
<formControlPr xmlns="http://schemas.microsoft.com/office/spreadsheetml/2009/9/main" objectType="Drop" dropLines="11" dropStyle="combo" dx="22" fmlaLink="BJ36" fmlaRange="$A$61:$A$71" sel="11" val="0"/>
</file>

<file path=xl/ctrlProps/ctrlProp118.xml><?xml version="1.0" encoding="utf-8"?>
<formControlPr xmlns="http://schemas.microsoft.com/office/spreadsheetml/2009/9/main" objectType="Drop" dropLines="11" dropStyle="combo" dx="22" fmlaLink="BJ37" fmlaRange="$A$61:$A$71" sel="11" val="0"/>
</file>

<file path=xl/ctrlProps/ctrlProp119.xml><?xml version="1.0" encoding="utf-8"?>
<formControlPr xmlns="http://schemas.microsoft.com/office/spreadsheetml/2009/9/main" objectType="Drop" dropLines="11" dropStyle="combo" dx="22" fmlaLink="BJ38" fmlaRange="$A$61:$A$71" sel="11" val="0"/>
</file>

<file path=xl/ctrlProps/ctrlProp120.xml><?xml version="1.0" encoding="utf-8"?>
<formControlPr xmlns="http://schemas.microsoft.com/office/spreadsheetml/2009/9/main" objectType="Drop" dropLines="11" dropStyle="combo" dx="22" fmlaLink="BJ39" fmlaRange="$A$61:$A$71" sel="11" val="0"/>
</file>

<file path=xl/ctrlProps/ctrlProp121.xml><?xml version="1.0" encoding="utf-8"?>
<formControlPr xmlns="http://schemas.microsoft.com/office/spreadsheetml/2009/9/main" objectType="Drop" dropLines="11" dropStyle="combo" dx="22" fmlaLink="BJ40" fmlaRange="$A$61:$A$71" sel="11" val="0"/>
</file>

<file path=xl/ctrlProps/ctrlProp122.xml><?xml version="1.0" encoding="utf-8"?>
<formControlPr xmlns="http://schemas.microsoft.com/office/spreadsheetml/2009/9/main" objectType="Drop" dropLines="11" dropStyle="combo" dx="22" fmlaLink="BJ41" fmlaRange="$A$61:$A$71" sel="11" val="0"/>
</file>

<file path=xl/ctrlProps/ctrlProp123.xml><?xml version="1.0" encoding="utf-8"?>
<formControlPr xmlns="http://schemas.microsoft.com/office/spreadsheetml/2009/9/main" objectType="Drop" dropLines="11" dropStyle="combo" dx="22" fmlaLink="BJ42" fmlaRange="$A$61:$A$71" sel="11" val="0"/>
</file>

<file path=xl/ctrlProps/ctrlProp124.xml><?xml version="1.0" encoding="utf-8"?>
<formControlPr xmlns="http://schemas.microsoft.com/office/spreadsheetml/2009/9/main" objectType="Drop" dropLines="11" dropStyle="combo" dx="22" fmlaLink="BJ43" fmlaRange="$A$61:$A$71" sel="11" val="0"/>
</file>

<file path=xl/ctrlProps/ctrlProp125.xml><?xml version="1.0" encoding="utf-8"?>
<formControlPr xmlns="http://schemas.microsoft.com/office/spreadsheetml/2009/9/main" objectType="Drop" dropLines="11" dropStyle="combo" dx="22" fmlaLink="BJ44" fmlaRange="$A$61:$A$71" sel="11" val="0"/>
</file>

<file path=xl/ctrlProps/ctrlProp126.xml><?xml version="1.0" encoding="utf-8"?>
<formControlPr xmlns="http://schemas.microsoft.com/office/spreadsheetml/2009/9/main" objectType="Drop" dropLines="11" dropStyle="combo" dx="22" fmlaLink="BJ45" fmlaRange="$A$61:$A$71" sel="11" val="0"/>
</file>

<file path=xl/ctrlProps/ctrlProp127.xml><?xml version="1.0" encoding="utf-8"?>
<formControlPr xmlns="http://schemas.microsoft.com/office/spreadsheetml/2009/9/main" objectType="Drop" dropLines="11" dropStyle="combo" dx="22" fmlaLink="BJ46" fmlaRange="$A$61:$A$71" sel="11" val="0"/>
</file>

<file path=xl/ctrlProps/ctrlProp128.xml><?xml version="1.0" encoding="utf-8"?>
<formControlPr xmlns="http://schemas.microsoft.com/office/spreadsheetml/2009/9/main" objectType="Drop" dropLines="11" dropStyle="combo" dx="22" fmlaLink="$BJ9" fmlaRange="$A$61:$A$71" sel="11" val="0"/>
</file>

<file path=xl/ctrlProps/ctrlProp129.xml><?xml version="1.0" encoding="utf-8"?>
<formControlPr xmlns="http://schemas.microsoft.com/office/spreadsheetml/2009/9/main" objectType="Drop" dropLines="3" dropStyle="combo" dx="22" fmlaLink="BK35" fmlaRange="$B$61:$B$63" sel="3" val="0"/>
</file>

<file path=xl/ctrlProps/ctrlProp130.xml><?xml version="1.0" encoding="utf-8"?>
<formControlPr xmlns="http://schemas.microsoft.com/office/spreadsheetml/2009/9/main" objectType="Button" lockText="1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0</xdr:rowOff>
        </xdr:from>
        <xdr:to>
          <xdr:col>4</xdr:col>
          <xdr:colOff>95250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0B094C-B1B5-A7E7-FA04-2BBA3CA5C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F4E612-C8C0-2073-16AC-5190D9096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304800</xdr:colOff>
          <xdr:row>8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A7427B6-BBF6-1E99-0FA8-88950FFDB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371475</xdr:colOff>
          <xdr:row>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E792495-1A04-0700-4D03-2E40E24F8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304800</xdr:colOff>
          <xdr:row>52</xdr:row>
          <xdr:rowOff>257175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F78B4C5-6391-A26F-039F-AA7A793C7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371475</xdr:colOff>
          <xdr:row>52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C7DBDFF-542B-E3B3-C7D1-BF91F9B2E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</xdr:row>
          <xdr:rowOff>0</xdr:rowOff>
        </xdr:from>
        <xdr:to>
          <xdr:col>4</xdr:col>
          <xdr:colOff>95250</xdr:colOff>
          <xdr:row>4</xdr:row>
          <xdr:rowOff>133350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17927E9-C8D4-0ABD-7E04-65505D2F1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</xdr:row>
          <xdr:rowOff>85725</xdr:rowOff>
        </xdr:from>
        <xdr:to>
          <xdr:col>2</xdr:col>
          <xdr:colOff>723900</xdr:colOff>
          <xdr:row>3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FB5E34C5-29FC-5864-9DA2-5DD15636C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</xdr:row>
          <xdr:rowOff>9525</xdr:rowOff>
        </xdr:from>
        <xdr:to>
          <xdr:col>10</xdr:col>
          <xdr:colOff>47625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1D0BF90-9A3A-3BD2-6C0D-49A0001B1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9525</xdr:rowOff>
        </xdr:from>
        <xdr:to>
          <xdr:col>10</xdr:col>
          <xdr:colOff>47625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B1CB511-3BEF-E51E-8585-62746B999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D699C43-FE4C-BB4F-4430-26FA4B68D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9ABACC7-13D1-D791-46E6-942134521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50BAD2D6-F32E-DF6B-2033-52C1B615A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6B6884F6-CA70-D10C-29D9-A45A8344E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89EA5BBD-E74D-369F-5D79-275EBD623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865EF99-358B-E0D2-BE84-5E26175D5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C1783BAB-B364-68A2-37D9-AB535E84F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BA6A0FF2-0ED6-8192-620A-BD819F299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45AFD00F-C0C0-F0B3-2E59-958FCF044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2E0F9881-D823-5669-7DC0-5211F3718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9D334803-3E20-AC16-8A79-038D50F15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5A48AADA-C7DE-672B-216B-2A1961AB3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E5058A71-A3F9-83FB-4BE8-C60C15E98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DC028AF5-CF2B-2835-A21B-EF8BFDA18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9F526CB7-7FC7-E3AC-3A8D-D1D22ABE5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4D267AFE-0DE6-D603-9293-8FB605088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B2A52860-7795-2710-AE80-49D59B357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EB8F6136-EEA9-67A3-2A13-C2AE77CB6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B6BBD42E-B03B-F2AA-15A7-022B9E444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35E7CFF3-C314-04B0-3486-CE3A22C22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410E611E-B717-0BBA-A298-A062DA272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F0A3A8C2-A2FB-D0D4-ED5A-D10254997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F70C3737-374D-EFAC-1D72-54D400285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98463717-A407-0B0B-39F3-5D500BCEC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A474E1BB-B9C8-9603-2A4C-EB3AFC4BE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76336B79-7E70-3176-F16A-3887FD5DF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7900EFC6-7B9C-D68F-0757-D9DC284F3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3B43771F-733A-E51B-5E04-576935C78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18145DD9-0764-A1AB-6274-CAB9C71FA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DF2EBA29-96FE-16AF-46C1-5C1F4BEF4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9E034116-4F34-1C7B-1983-1361B859C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406DCC0F-018A-D422-936A-4A9E1D5F0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49F450E0-656F-2D59-CB3C-522218231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762AD030-A42E-C17E-85F7-AC7612481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7285566B-99F4-5323-AC3D-82D75889D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FE373974-617E-FB8D-AC7A-F1667644E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CC812338-4729-382C-14BB-DA356FEE1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44459D86-4D7B-199A-6ADE-957E0B65D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9B184E90-6977-55A1-4C2B-1CFDA7368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9710BEE3-5B9D-48AA-7C1A-43303ADBC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6632A22A-6966-3ABC-5341-248E17177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4AA552B4-2AEF-6746-8EF5-04A6BC6DE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B46B60D3-2121-8E9F-5A79-078506C76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24CCF35B-422E-0571-806B-1A5F13381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8F2B2777-CB38-AD57-12AE-31857E737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A873749B-57EC-A5C9-FF63-6ABAB5CE3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8ACC936D-2DE0-A119-4186-C0C5E937F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660C122-5143-7DA4-AB3C-AFEF2C168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79F7FDD2-B4B9-4514-96F2-AC2724BEF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BEED50D9-3588-08D8-F2E6-EBF7F4948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38C9F330-34BF-512C-E604-B155522EA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9F1B7D3A-A72D-BF03-242E-23E3150F8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2F794B02-A502-2FA8-FB94-2534EA001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4FCEF433-B93B-4B14-F9A1-DC013BF26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433940A4-6A6B-0AD5-E504-9411FC563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8699F902-F28F-9876-0EC7-6B34384CF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B558D6E1-7E9D-4169-606E-CDE6587D6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2B91AF0B-EC61-2CF6-9B6E-AA1AB3FB0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935A8200-3804-F363-2599-F341B088B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DCCAF6E2-41EB-4B6F-43A1-AE951A985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7DE23EC4-2816-BE55-E39D-8A42EEE16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99658B55-96CD-07A2-A38C-129D84D1A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529E6E8B-C7D5-2EF0-95DC-22B81D636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44C071EA-C5EC-AFF4-C692-5D46B9510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A9F02C33-038E-4743-573D-CBB6B1CDE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32FB8CE-C4AC-196D-14E4-643A67FB50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B71D7C50-C0C2-4287-7E5E-F3F08E885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B96BAD8F-C5E5-53C9-53F1-F610B5D63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1D05BD75-DA88-A47B-1B96-7EB43A92C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98EE642D-F14E-7453-EA16-51CC18E45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A9DAC6C8-723D-13BB-9594-B0D5A1747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23CED664-3778-E674-A321-B3DB1D811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4B7D8187-4C50-AC6E-8514-BCAF908AF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68329B6-9F0D-FB08-3209-EC97C8A45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B688BC1F-982D-2BB3-FFED-DCB021CF4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15EF0BE-D27B-AEE0-57AA-4878A844F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E4D9031D-0E6D-844E-10A9-4185B76F0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A944710E-9960-790A-7837-4C3EB24FD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4DF6BD3B-3CCE-6EC1-7931-D88428F74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B3DCD5F7-9B9B-0278-C770-E64F52FC0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863A1CA2-882B-A9C3-728D-31F0C2642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326840CD-DA59-48C9-C249-6034495A9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DA57659F-9FE4-DCFD-A08D-2067F5AC1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73AF90B6-233B-1E22-CA79-B8AD4F4BB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DFADB0BC-948A-5987-68B7-E32C0E177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5D72FA73-6E8D-7DAE-88AF-F1B1D0DB6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A3BC6429-0189-D544-12BB-5E87A8502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AF8A26A9-3F65-9EB0-CEED-7AAD4C0B8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1C6236DC-C759-8433-0843-51D3B245F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A3EB7D6-A1E2-16A2-22A7-24308D0D8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9AFE2C87-B93D-EDA2-FF85-4B2CC2048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EE6DBBF9-CC71-258F-A147-B706479EB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1BF5923C-8569-0567-598D-705761B77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317817EA-0965-C339-4293-50AD5BCF3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57F490F3-8300-6DAC-6E46-99C7F8C72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53B59779-E8D1-F5DA-90B5-C70222F05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6DA92EF9-6891-48CC-92B0-A8E7C998C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FEAE5EC4-042E-D758-580D-20DC4E385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132CCF23-12E9-B82A-6588-F6A81DC86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86356902-CF03-3057-141D-1A5BD61BA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E146169B-2B72-E4CB-C0F1-D0479399E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68BF112D-D0C3-04DC-048A-226A4F9DD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A2F1251D-278B-9C99-3177-4BC5BF069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C65E3CF7-C2A4-65D6-B11E-C37A17D30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20086E3C-3195-E017-C45C-6FCF40DB2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19F6C87F-DC59-4C64-040A-8773ADF68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58E3DB7-F4FE-C294-024A-C7BD386A2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AEC6B77A-B35A-0993-9EEB-9B88B357C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9F8DE861-A8C1-B429-90E1-6B176C2AC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3B01A2CF-D660-5BCA-C88A-5B888CF36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8DAEA86A-8C0A-BA5F-0557-DE879E924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AADA2ADD-6E41-6FB8-0B2E-5636BB0FA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F1BCA435-5200-36F9-42F3-54F35BE0E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10721083-6DE7-7EE5-7310-E58B9307B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EE3C683-9AA4-B156-827E-E5883BF6A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877B15D1-B17D-BC00-7824-5D008ACAF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1C772A21-2CEB-7581-ED4D-695F1A96A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638B0330-BFA8-1FE3-F623-A4DF638B9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99A603A-4577-77A7-7FA7-8F60947F2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0</xdr:row>
          <xdr:rowOff>142875</xdr:rowOff>
        </xdr:from>
        <xdr:to>
          <xdr:col>3</xdr:col>
          <xdr:colOff>504825</xdr:colOff>
          <xdr:row>2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84F6E75-D867-8DFF-96C6-72E5D2D0F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276225</xdr:colOff>
          <xdr:row>0</xdr:row>
          <xdr:rowOff>9525</xdr:rowOff>
        </xdr:from>
        <xdr:to>
          <xdr:col>16</xdr:col>
          <xdr:colOff>333375</xdr:colOff>
          <xdr:row>1</xdr:row>
          <xdr:rowOff>123825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EC477D13-9215-8928-37A0-9B4528008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476250</xdr:colOff>
          <xdr:row>5</xdr:row>
          <xdr:rowOff>142875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228D20D2-9048-59FB-17C2-1C6E18AC9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C3F9A5C5-3E90-BBF9-0800-31A2CD954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0#CN: 2 16 5 14" advise="1">
        <values rows="14">
          <value t="str">
            <val>--0.6</val>
          </value>
          <value t="str">
            <val>--0.4</val>
          </value>
          <value t="str">
            <val>--0.4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 xml:space="preserve">     </val>
          </value>
          <value t="str">
            <val>--0.2</val>
          </value>
          <value t="str">
            <val>--1.2</val>
          </value>
          <value t="str">
            <val>--1.2</val>
          </value>
          <value t="str">
            <val xml:space="preserve">     </val>
          </value>
          <value t="str">
            <val>--0.2</val>
          </value>
          <value t="str">
            <val>--0.2</val>
          </value>
        </values>
      </ddeItem>
      <ddeItem name="0#NG: 2 0 4 14" advise="1">
        <values rows="14">
          <value t="str">
            <val>OCT1</val>
          </value>
          <value t="str">
            <val>NOV1</val>
          </value>
          <value t="str">
            <val>DEC1</val>
          </value>
          <value t="str">
            <val>JAN2</val>
          </value>
          <value t="str">
            <val>FEB2</val>
          </value>
          <value t="str">
            <val>MAR2</val>
          </value>
          <value t="str">
            <val>APR2</val>
          </value>
          <value t="str">
            <val>MAY2</val>
          </value>
          <value t="str">
            <val>JUN2</val>
          </value>
          <value t="str">
            <val>JUL2</val>
          </value>
          <value t="str">
            <val>AUG2</val>
          </value>
          <value t="str">
            <val>SEP2</val>
          </value>
          <value t="str">
            <val>OCT2</val>
          </value>
          <value t="str">
            <val>NOV2</val>
          </value>
        </values>
      </ddeItem>
      <ddeItem name="0#NG: 2 16 6 14" advise="1">
        <values rows="14">
          <value t="str">
            <val>+0.005</val>
          </value>
          <value t="str">
            <val>--0.00</val>
          </value>
          <value t="str">
            <val>--0.01</val>
          </value>
          <value t="str">
            <val>--0.00</val>
          </value>
          <value t="str">
            <val>--0.00</val>
          </value>
          <value t="str">
            <val xml:space="preserve">      </val>
          </value>
          <value t="str">
            <val>--0.01</val>
          </value>
          <value t="str">
            <val>--0.01</val>
          </value>
          <value t="str">
            <val>--0.01</val>
          </value>
          <value t="str">
            <val>+0.023</val>
          </value>
          <value t="str">
            <val>+0.013</val>
          </value>
          <value t="str">
            <val>+0.004</val>
          </value>
          <value t="str">
            <val>--0.00</val>
          </value>
          <value t="str">
            <val>+0.019</val>
          </value>
        </values>
      </ddeItem>
      <ddeItem name="0#NG: 2 5 7 14" advise="1">
        <values rows="14">
          <value t="str">
            <val xml:space="preserve"> _x001B_)1Þ2.445</val>
          </value>
          <value t="str">
            <val xml:space="preserve"> _x001B_)1Þ2.735</val>
          </value>
          <value t="str">
            <val xml:space="preserve"> _x001B_)1Þ3.050</val>
          </value>
          <value t="str">
            <val xml:space="preserve"> _x001B_)1þ3.200</val>
          </value>
          <value t="str">
            <val xml:space="preserve"> A3.175</val>
          </value>
          <value t="str">
            <val xml:space="preserve"> _x001B_)1Þ3.105</val>
          </value>
          <value t="str">
            <val xml:space="preserve"> B3.000</val>
          </value>
          <value t="str">
            <val xml:space="preserve"> _x001B_)1þ3.020</val>
          </value>
          <value t="str">
            <val xml:space="preserve"> _x001B_)1þ3.060</val>
          </value>
          <value t="str">
            <val xml:space="preserve"> B3.090</val>
          </value>
          <value t="str">
            <val xml:space="preserve"> A3.160</val>
          </value>
          <value t="str">
            <val xml:space="preserve"> _x001B_)1Þ3.150</val>
          </value>
          <value t="str">
            <val xml:space="preserve"> _x001B_)1þ3.155</val>
          </value>
          <value t="str">
            <val>PS3.317</val>
          </value>
        </values>
      </ddeItem>
      <ddeItem name="1#CN: 2 18 5 5" advise="1">
        <values rows="5"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0.50 </val>
          </value>
        </values>
      </ddeItem>
      <ddeItem name="1#NG: 3 0 4 13" advise="1">
        <values rows="13">
          <value t="str">
            <val>DEC2</val>
          </value>
          <value t="str">
            <val>JAN3</val>
          </value>
          <value t="str">
            <val>FEB3</val>
          </value>
          <value t="str">
            <val>MAR3</val>
          </value>
          <value t="str">
            <val>APR3</val>
          </value>
          <value t="str">
            <val>MAY3</val>
          </value>
          <value t="str">
            <val>JUN3</val>
          </value>
          <value t="str">
            <val>JUL3</val>
          </value>
          <value t="str">
            <val>AUG3</val>
          </value>
          <value t="str">
            <val>SEP3</val>
          </value>
          <value t="str">
            <val>OCT3</val>
          </value>
          <value t="str">
            <val>NOV3</val>
          </value>
          <value t="str">
            <val>DEC3</val>
          </value>
        </values>
      </ddeItem>
      <ddeItem name="1#NG: 3 16 7 13" advise="1">
        <values rows="13">
          <value t="str">
            <val xml:space="preserve">+0.010 </val>
          </value>
          <value t="str">
            <val xml:space="preserve">+0.008 </val>
          </value>
          <value t="str">
            <val xml:space="preserve">+0.013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+0.002 </val>
          </value>
          <value t="str">
            <val xml:space="preserve">+0.002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       </val>
          </value>
        </values>
      </ddeItem>
      <ddeItem name="1#NG: 3 5 7 13" advise="1">
        <values rows="13">
          <value t="str">
            <val xml:space="preserve"> B3.420</val>
          </value>
          <value t="str">
            <val>PS3.555</val>
          </value>
          <value t="str">
            <val>PS3.445</val>
          </value>
          <value t="str">
            <val>PS3.318</val>
          </value>
          <value t="str">
            <val>PS3.138</val>
          </value>
          <value t="str">
            <val>PS3.143</val>
          </value>
          <value t="str">
            <val>PS3.171</val>
          </value>
          <value t="str">
            <val>PS3.196</val>
          </value>
          <value t="str">
            <val>PS3.216</val>
          </value>
          <value t="str">
            <val>PS3.216</val>
          </value>
          <value t="str">
            <val>PS3.221</val>
          </value>
          <value t="str">
            <val>PS3.371</val>
          </value>
          <value t="str">
            <val>PS3.526</val>
          </value>
        </values>
      </ddeItem>
      <ddeItem name="2#NG: 2 0 4 9" advise="1">
        <values rows="9">
          <value t="str">
            <val>JAN4</val>
          </value>
          <value t="str">
            <val>FEB4</val>
          </value>
          <value t="str">
            <val>MAR4</val>
          </value>
          <value t="str">
            <val>APR4</val>
          </value>
          <value t="str">
            <val>MAY4</val>
          </value>
          <value t="str">
            <val>JUN4</val>
          </value>
          <value t="str">
            <val>JUL4</val>
          </value>
          <value t="str">
            <val>AUG4</val>
          </value>
          <value t="str">
            <val>SEP4</val>
          </value>
        </values>
      </ddeItem>
      <ddeItem name="2#NG: 2 16 7 9" advise="1">
        <values rows="9"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</values>
      </ddeItem>
      <ddeItem name="2#NG: 2 5 7 9" advise="1">
        <values rows="9">
          <value t="str">
            <val>PS3.581</val>
          </value>
          <value t="str">
            <val>PS3.467</val>
          </value>
          <value t="str">
            <val>PS3.335</val>
          </value>
          <value t="str">
            <val>PS3.137</val>
          </value>
          <value t="str">
            <val xml:space="preserve"> B3.125</val>
          </value>
          <value t="str">
            <val>PS3.165</val>
          </value>
          <value t="str">
            <val>PS3.215</val>
          </value>
          <value t="str">
            <val>PS3.249</val>
          </value>
          <value t="str">
            <val>PS3.262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NGF2 CLS" advise="1">
        <values>
          <value>
            <val>3.2050000000000001</val>
          </value>
        </values>
      </ddeItem>
      <ddeItem name="NGF2 LAST" advise="1">
        <values>
          <value>
            <val>3.2</val>
          </value>
        </values>
      </ddeItem>
      <ddeItem name="NGF2 NET.CHNG" advise="1">
        <values>
          <value>
            <val>-5.0000000000000001E-3</val>
          </value>
        </values>
      </ddeItem>
      <ddeItem name="NGF3 LAST" advise="1">
        <values>
          <value>
            <val>0</val>
          </value>
        </values>
      </ddeItem>
      <ddeItem name="NGG1 CLS" advise="1">
        <values>
          <value t="str">
            <val>+NA+</val>
          </value>
        </values>
      </ddeItem>
      <ddeItem name="NGG1 LAST" advise="1">
        <values>
          <value t="str">
            <val>+NA+</val>
          </value>
        </values>
      </ddeItem>
      <ddeItem name="NGG1 NET.CHNG" advise="1">
        <values>
          <value t="str">
            <val>+NA+</val>
          </value>
        </values>
      </ddeItem>
      <ddeItem name="NGG2 CLS" advise="1">
        <values>
          <value>
            <val>3.177</val>
          </value>
        </values>
      </ddeItem>
      <ddeItem name="NGG2 LAST" advise="1">
        <values>
          <value>
            <val>3.1749999999999998</val>
          </value>
        </values>
      </ddeItem>
      <ddeItem name="NGG2 NET.CHNG" advise="1">
        <values>
          <value>
            <val>-2E-3</val>
          </value>
        </values>
      </ddeItem>
      <ddeItem name="NGG3 LAST" advise="1">
        <values>
          <value>
            <val>0</val>
          </value>
        </values>
      </ddeItem>
      <ddeItem name="NGH1 CLS" advise="1">
        <values>
          <value t="str">
            <val>+NA+</val>
          </value>
        </values>
      </ddeItem>
      <ddeItem name="NGH1 LAST" advise="1">
        <values>
          <value t="str">
            <val>+NA+</val>
          </value>
        </values>
      </ddeItem>
      <ddeItem name="NGH1 NET.CHNG" advise="1">
        <values>
          <value t="str">
            <val>+NA+</val>
          </value>
        </values>
      </ddeItem>
      <ddeItem name="NGH2 CLS" advise="1">
        <values>
          <value>
            <val>3.105</val>
          </value>
        </values>
      </ddeItem>
      <ddeItem name="NGH2 LAST" advise="1">
        <values>
          <value>
            <val>3.105</val>
          </value>
        </values>
      </ddeItem>
      <ddeItem name="NGH2 NET.CHNG" advise="1">
        <values>
          <value>
            <val>0</val>
          </value>
        </values>
      </ddeItem>
      <ddeItem name="NGH3 LAST" advise="1">
        <values>
          <value>
            <val>0</val>
          </value>
        </values>
      </ddeItem>
      <ddeItem name="NGJ1 CLS" advise="1">
        <values>
          <value t="str">
            <val>+NA+</val>
          </value>
        </values>
      </ddeItem>
      <ddeItem name="NGJ1 LAST" advise="1">
        <values>
          <value t="str">
            <val>+NA+</val>
          </value>
        </values>
      </ddeItem>
      <ddeItem name="NGJ1 NET.CHNG" advise="1">
        <values>
          <value t="str">
            <val>+NA+</val>
          </value>
        </values>
      </ddeItem>
      <ddeItem name="NGJ2 CLS" advise="1">
        <values>
          <value>
            <val>3.012</val>
          </value>
        </values>
      </ddeItem>
      <ddeItem name="NGJ2 LAST" advise="1">
        <values>
          <value>
            <val>3</val>
          </value>
        </values>
      </ddeItem>
      <ddeItem name="NGJ2 NET.CHNG" advise="1">
        <values>
          <value>
            <val>-1.2E-2</val>
          </value>
        </values>
      </ddeItem>
      <ddeItem name="NGJ3 LAST" advise="1">
        <values>
          <value>
            <val>0</val>
          </value>
        </values>
      </ddeItem>
      <ddeItem name="NGK1 CLS" advise="1">
        <values>
          <value t="str">
            <val>+NA+</val>
          </value>
        </values>
      </ddeItem>
      <ddeItem name="NGK1 LAST" advise="1">
        <values>
          <value t="str">
            <val>+NA+</val>
          </value>
        </values>
      </ddeItem>
      <ddeItem name="NGK1 NET.CHNG" advise="1">
        <values>
          <value t="str">
            <val>+NA+</val>
          </value>
        </values>
      </ddeItem>
      <ddeItem name="NGK2 CLS" advise="1">
        <values>
          <value>
            <val>3.0350000000000001</val>
          </value>
        </values>
      </ddeItem>
      <ddeItem name="NGK2 LAST" advise="1">
        <values>
          <value>
            <val>3.02</val>
          </value>
        </values>
      </ddeItem>
      <ddeItem name="NGK2 NET.CHNG" advise="1">
        <values>
          <value>
            <val>-1.4999999999999999E-2</val>
          </value>
        </values>
      </ddeItem>
      <ddeItem name="NGK3 LAST" advise="1">
        <values>
          <value>
            <val>0</val>
          </value>
        </values>
      </ddeItem>
      <ddeItem name="NGM1 CLS" advise="1">
        <values>
          <value t="str">
            <val>+NA+</val>
          </value>
        </values>
      </ddeItem>
      <ddeItem name="NGM1 LAST" advise="1">
        <values>
          <value t="str">
            <val>+NA+</val>
          </value>
        </values>
      </ddeItem>
      <ddeItem name="NGM1 NET.CHNG" advise="1">
        <values>
          <value t="str">
            <val>+NA+</val>
          </value>
        </values>
      </ddeItem>
      <ddeItem name="NGM2 CLS" advise="1">
        <values>
          <value>
            <val>3.07</val>
          </value>
        </values>
      </ddeItem>
      <ddeItem name="NGM2 LAST" advise="1">
        <values>
          <value>
            <val>3.06</val>
          </value>
        </values>
      </ddeItem>
      <ddeItem name="NGM2 NET.CHNG" advise="1">
        <values>
          <value>
            <val>-0.01</val>
          </value>
        </values>
      </ddeItem>
      <ddeItem name="NGM3 LAST" advise="1">
        <values>
          <value>
            <val>0</val>
          </value>
        </values>
      </ddeItem>
      <ddeItem name="NGN1 CLS" advise="1">
        <values>
          <value t="str">
            <val>+NA+</val>
          </value>
        </values>
      </ddeItem>
      <ddeItem name="NGN1 LAST" advise="1">
        <values>
          <value t="str">
            <val>+NA+</val>
          </value>
        </values>
      </ddeItem>
      <ddeItem name="NGN1 NET.CHNG" advise="1">
        <values>
          <value t="str">
            <val>+NA+</val>
          </value>
        </values>
      </ddeItem>
      <ddeItem name="NGN2 CLS" advise="1">
        <values>
          <value>
            <val>3.1120000000000001</val>
          </value>
        </values>
      </ddeItem>
      <ddeItem name="NGN2 LAST" advise="1">
        <values>
          <value>
            <val>3.1349999999999998</val>
          </value>
        </values>
      </ddeItem>
      <ddeItem name="NGN2 NET.CHNG" advise="1">
        <values>
          <value>
            <val>2.3E-2</val>
          </value>
        </values>
      </ddeItem>
      <ddeItem name="NGN3 LAST" advise="1">
        <values>
          <value>
            <val>0</val>
          </value>
        </values>
      </ddeItem>
      <ddeItem name="NGQ1 CLS" advise="1">
        <values>
          <value t="str">
            <val>+NA+</val>
          </value>
        </values>
      </ddeItem>
      <ddeItem name="NGQ1 LAST" advise="1">
        <values>
          <value t="str">
            <val>+NA+</val>
          </value>
        </values>
      </ddeItem>
      <ddeItem name="NGQ1 NET.CHNG" advise="1">
        <values>
          <value t="str">
            <val>+NA+</val>
          </value>
        </values>
      </ddeItem>
      <ddeItem name="NGQ2 CLS" advise="1">
        <values>
          <value>
            <val>3.1469999999999998</val>
          </value>
        </values>
      </ddeItem>
      <ddeItem name="NGQ2 LAST" advise="1">
        <values>
          <value>
            <val>3.16</val>
          </value>
        </values>
      </ddeItem>
      <ddeItem name="NGQ2 NET.CHNG" advise="1">
        <values>
          <value>
            <val>1.2999999999999999E-2</val>
          </value>
        </values>
      </ddeItem>
      <ddeItem name="NGQ3 LAST" advise="1">
        <values>
          <value>
            <val>0</val>
          </value>
        </values>
      </ddeItem>
      <ddeItem name="NGU1 CLS" advise="1">
        <values>
          <value t="str">
            <val>+NA+</val>
          </value>
        </values>
      </ddeItem>
      <ddeItem name="NGU1 LAST" advise="1">
        <values>
          <value t="str">
            <val>+NA+</val>
          </value>
        </values>
      </ddeItem>
      <ddeItem name="NGU1 NET.CHNG" advise="1">
        <values>
          <value t="str">
            <val>+NA+</val>
          </value>
        </values>
      </ddeItem>
      <ddeItem name="NGU2 CLS" advise="1">
        <values>
          <value>
            <val>3.1459999999999999</val>
          </value>
        </values>
      </ddeItem>
      <ddeItem name="NGU2 LAST" advise="1">
        <values>
          <value>
            <val>3.15</val>
          </value>
        </values>
      </ddeItem>
      <ddeItem name="NGU2 NET.CHNG" advise="1">
        <values>
          <value>
            <val>4.0000000000000001E-3</val>
          </value>
        </values>
      </ddeItem>
      <ddeItem name="NGU3 LAST" advise="1">
        <values>
          <value>
            <val>0</val>
          </value>
        </values>
      </ddeItem>
      <ddeItem name="NGV1 CLS" advise="1">
        <values>
          <value>
            <val>2.44</val>
          </value>
        </values>
      </ddeItem>
      <ddeItem name="NGV1 LAST" advise="1">
        <values>
          <value>
            <val>2.4449999999999998</val>
          </value>
        </values>
      </ddeItem>
      <ddeItem name="NGV1 NET.CHNG" advise="1">
        <values>
          <value>
            <val>5.0000000000000001E-3</val>
          </value>
        </values>
      </ddeItem>
      <ddeItem name="NGV2 CLS" advise="1">
        <values>
          <value>
            <val>3.157</val>
          </value>
        </values>
      </ddeItem>
      <ddeItem name="NGV2 LAST" advise="1">
        <values>
          <value>
            <val>3.1549999999999998</val>
          </value>
        </values>
      </ddeItem>
      <ddeItem name="NGV2 NET.CHNG" advise="1">
        <values>
          <value>
            <val>-2E-3</val>
          </value>
        </values>
      </ddeItem>
      <ddeItem name="NGV3 LAST" advise="1">
        <values>
          <value>
            <val>0</val>
          </value>
        </values>
      </ddeItem>
      <ddeItem name="NGX1 CLS" advise="1">
        <values>
          <value>
            <val>2.74</val>
          </value>
        </values>
      </ddeItem>
      <ddeItem name="NGX1 LAST" advise="1">
        <values>
          <value>
            <val>2.7349999999999999</val>
          </value>
        </values>
      </ddeItem>
      <ddeItem name="NGX1 NET.CHNG" advise="1">
        <values>
          <value>
            <val>-5.0000000000000001E-3</val>
          </value>
        </values>
      </ddeItem>
      <ddeItem name="NGX2 CLS" advise="1">
        <values>
          <value>
            <val>3.3170000000000002</val>
          </value>
        </values>
      </ddeItem>
      <ddeItem name="NGX2 LAST" advise="1">
        <values>
          <value>
            <val>0</val>
          </value>
        </values>
      </ddeItem>
      <ddeItem name="NGX2 NET.CHNG" advise="1">
        <values>
          <value>
            <val>1.9E-2</val>
          </value>
        </values>
      </ddeItem>
      <ddeItem name="NGX3 LAST" advise="1">
        <values>
          <value>
            <val>0</val>
          </value>
        </values>
      </ddeItem>
      <ddeItem name="NGZ1 CLS" advise="1">
        <values>
          <value>
            <val>3.06</val>
          </value>
        </values>
      </ddeItem>
      <ddeItem name="NGZ1 LAST" advise="1">
        <values>
          <value>
            <val>3.05</val>
          </value>
        </values>
      </ddeItem>
      <ddeItem name="NGZ1 NET.CHNG" advise="1">
        <values>
          <value>
            <val>-0.01</val>
          </value>
        </values>
      </ddeItem>
      <ddeItem name="NGZ2 CLS" advise="1">
        <values>
          <value>
            <val>3.4780000000000002</val>
          </value>
        </values>
      </ddeItem>
      <ddeItem name="NGZ2 LAST" advise="1">
        <values>
          <value>
            <val>0</val>
          </value>
        </values>
      </ddeItem>
      <ddeItem name="NGZ2 NET.CHNG" advise="1">
        <values>
          <value>
            <val>0.01</val>
          </value>
        </values>
      </ddeItem>
      <ddeItem name="NGZ3 LAST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37140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37141</v>
          </cell>
        </row>
        <row r="5">
          <cell r="B5">
            <v>37140</v>
          </cell>
        </row>
      </sheetData>
      <sheetData sheetId="1"/>
      <sheetData sheetId="2">
        <row r="3">
          <cell r="D3">
            <v>37142</v>
          </cell>
          <cell r="O3">
            <v>0</v>
          </cell>
          <cell r="T3">
            <v>0</v>
          </cell>
        </row>
        <row r="4">
          <cell r="D4">
            <v>37143</v>
          </cell>
          <cell r="O4">
            <v>0</v>
          </cell>
          <cell r="T4">
            <v>0</v>
          </cell>
        </row>
        <row r="5">
          <cell r="D5">
            <v>37144</v>
          </cell>
          <cell r="O5">
            <v>-23099.123046875</v>
          </cell>
          <cell r="T5">
            <v>0</v>
          </cell>
        </row>
        <row r="6">
          <cell r="D6">
            <v>37145</v>
          </cell>
          <cell r="O6">
            <v>-23100.814453125</v>
          </cell>
          <cell r="T6">
            <v>0</v>
          </cell>
        </row>
        <row r="7">
          <cell r="D7">
            <v>37146</v>
          </cell>
          <cell r="O7">
            <v>-23102.958984375</v>
          </cell>
          <cell r="T7">
            <v>0</v>
          </cell>
        </row>
        <row r="8">
          <cell r="D8">
            <v>37147</v>
          </cell>
          <cell r="O8">
            <v>-23105.8359375</v>
          </cell>
          <cell r="T8">
            <v>0</v>
          </cell>
        </row>
        <row r="9">
          <cell r="D9">
            <v>37148</v>
          </cell>
          <cell r="O9">
            <v>-23109.23828125</v>
          </cell>
          <cell r="T9">
            <v>0</v>
          </cell>
        </row>
        <row r="10">
          <cell r="D10">
            <v>37149</v>
          </cell>
          <cell r="O10">
            <v>0</v>
          </cell>
          <cell r="T10">
            <v>0</v>
          </cell>
        </row>
        <row r="11">
          <cell r="D11">
            <v>37150</v>
          </cell>
          <cell r="O11">
            <v>0</v>
          </cell>
          <cell r="T11">
            <v>0</v>
          </cell>
        </row>
        <row r="12">
          <cell r="D12">
            <v>37151</v>
          </cell>
          <cell r="O12">
            <v>-23918.509765625</v>
          </cell>
          <cell r="T12">
            <v>0</v>
          </cell>
        </row>
        <row r="13">
          <cell r="D13">
            <v>37152</v>
          </cell>
          <cell r="O13">
            <v>-23934.15625</v>
          </cell>
          <cell r="T13">
            <v>0</v>
          </cell>
        </row>
        <row r="14">
          <cell r="D14">
            <v>37153</v>
          </cell>
          <cell r="O14">
            <v>-23939.31640625</v>
          </cell>
          <cell r="T14">
            <v>0</v>
          </cell>
        </row>
        <row r="15">
          <cell r="D15">
            <v>37154</v>
          </cell>
          <cell r="O15">
            <v>-23944.421875</v>
          </cell>
          <cell r="T15">
            <v>0</v>
          </cell>
        </row>
        <row r="16">
          <cell r="D16">
            <v>37155</v>
          </cell>
          <cell r="O16">
            <v>-23949.390625</v>
          </cell>
          <cell r="T16">
            <v>0</v>
          </cell>
        </row>
        <row r="17">
          <cell r="D17">
            <v>37156</v>
          </cell>
          <cell r="O17">
            <v>0</v>
          </cell>
          <cell r="T17">
            <v>0</v>
          </cell>
        </row>
        <row r="18">
          <cell r="D18">
            <v>37157</v>
          </cell>
          <cell r="O18">
            <v>0</v>
          </cell>
          <cell r="T18">
            <v>0</v>
          </cell>
        </row>
        <row r="19">
          <cell r="D19">
            <v>37158</v>
          </cell>
          <cell r="O19">
            <v>-23954.4609375</v>
          </cell>
          <cell r="T19">
            <v>0</v>
          </cell>
        </row>
        <row r="20">
          <cell r="D20">
            <v>37159</v>
          </cell>
          <cell r="O20">
            <v>-23969.080078125</v>
          </cell>
          <cell r="T20">
            <v>0</v>
          </cell>
        </row>
        <row r="21">
          <cell r="D21">
            <v>37160</v>
          </cell>
          <cell r="O21">
            <v>-23973.83984375</v>
          </cell>
          <cell r="T21">
            <v>0</v>
          </cell>
        </row>
        <row r="22">
          <cell r="D22">
            <v>37161</v>
          </cell>
          <cell r="O22">
            <v>-23978.546875</v>
          </cell>
          <cell r="T22">
            <v>0</v>
          </cell>
        </row>
        <row r="23">
          <cell r="D23">
            <v>37162</v>
          </cell>
          <cell r="O23">
            <v>-23983.19921875</v>
          </cell>
          <cell r="T23">
            <v>0</v>
          </cell>
        </row>
        <row r="24">
          <cell r="D24">
            <v>37163</v>
          </cell>
          <cell r="O24">
            <v>0</v>
          </cell>
          <cell r="T24">
            <v>0</v>
          </cell>
        </row>
        <row r="25">
          <cell r="D25">
            <v>37164</v>
          </cell>
          <cell r="O25">
            <v>0</v>
          </cell>
          <cell r="T25">
            <v>0</v>
          </cell>
        </row>
        <row r="26">
          <cell r="D26">
            <v>37165</v>
          </cell>
          <cell r="O26">
            <v>-32965.80078125</v>
          </cell>
          <cell r="T26">
            <v>0</v>
          </cell>
        </row>
        <row r="27">
          <cell r="D27">
            <v>37166</v>
          </cell>
          <cell r="O27">
            <v>-32966.91796875</v>
          </cell>
          <cell r="T27">
            <v>0</v>
          </cell>
        </row>
        <row r="28">
          <cell r="D28">
            <v>37167</v>
          </cell>
          <cell r="O28">
            <v>-32968.11328125</v>
          </cell>
          <cell r="T28">
            <v>0</v>
          </cell>
        </row>
        <row r="29">
          <cell r="D29">
            <v>37168</v>
          </cell>
          <cell r="O29">
            <v>-32969.390625</v>
          </cell>
          <cell r="T29">
            <v>0</v>
          </cell>
        </row>
        <row r="30">
          <cell r="D30">
            <v>37169</v>
          </cell>
          <cell r="O30">
            <v>-32970.7421875</v>
          </cell>
          <cell r="T30">
            <v>0</v>
          </cell>
        </row>
        <row r="31">
          <cell r="D31">
            <v>37170</v>
          </cell>
          <cell r="O31">
            <v>0</v>
          </cell>
          <cell r="T31">
            <v>0</v>
          </cell>
        </row>
        <row r="32">
          <cell r="D32">
            <v>37171</v>
          </cell>
          <cell r="O32">
            <v>0</v>
          </cell>
          <cell r="T32">
            <v>0</v>
          </cell>
        </row>
        <row r="33">
          <cell r="D33">
            <v>37172</v>
          </cell>
          <cell r="O33">
            <v>0</v>
          </cell>
          <cell r="T33">
            <v>0</v>
          </cell>
        </row>
        <row r="34">
          <cell r="D34">
            <v>37195</v>
          </cell>
          <cell r="E34">
            <v>26.049999237060547</v>
          </cell>
          <cell r="F34">
            <v>-9.9999237060544033E-2</v>
          </cell>
          <cell r="G34">
            <v>25.950000000000003</v>
          </cell>
          <cell r="O34">
            <v>-593942.734375</v>
          </cell>
          <cell r="T34">
            <v>59393.82029515336</v>
          </cell>
        </row>
        <row r="35">
          <cell r="D35">
            <v>37196</v>
          </cell>
          <cell r="E35">
            <v>26.149999618530273</v>
          </cell>
          <cell r="F35">
            <v>5.0000381469729405E-2</v>
          </cell>
          <cell r="G35">
            <v>26.200000000000003</v>
          </cell>
          <cell r="O35">
            <v>-954139.4375</v>
          </cell>
          <cell r="T35">
            <v>-47707.335850313037</v>
          </cell>
        </row>
        <row r="36">
          <cell r="D36">
            <v>37226</v>
          </cell>
          <cell r="E36">
            <v>27.649999618530273</v>
          </cell>
          <cell r="F36">
            <v>-0.14999961853027344</v>
          </cell>
          <cell r="G36">
            <v>27.5</v>
          </cell>
          <cell r="O36">
            <v>-855360.0625</v>
          </cell>
          <cell r="T36">
            <v>128303.68308103085</v>
          </cell>
        </row>
        <row r="37">
          <cell r="D37">
            <v>37257</v>
          </cell>
          <cell r="E37">
            <v>29.666667938232422</v>
          </cell>
          <cell r="F37">
            <v>-0.25000018165225057</v>
          </cell>
          <cell r="G37">
            <v>29.416667756580171</v>
          </cell>
          <cell r="O37">
            <v>130040.0703125</v>
          </cell>
          <cell r="T37">
            <v>-32510.041200196436</v>
          </cell>
        </row>
        <row r="38">
          <cell r="D38">
            <v>37288</v>
          </cell>
          <cell r="E38">
            <v>29.316665649414063</v>
          </cell>
          <cell r="F38">
            <v>-0.25000018165225057</v>
          </cell>
          <cell r="G38">
            <v>29.066665467761812</v>
          </cell>
          <cell r="O38">
            <v>116952.0859375</v>
          </cell>
          <cell r="T38">
            <v>-29238.042728984619</v>
          </cell>
        </row>
        <row r="39">
          <cell r="D39">
            <v>37316</v>
          </cell>
          <cell r="E39">
            <v>27.769767761230469</v>
          </cell>
          <cell r="F39">
            <v>-0.25000070971112009</v>
          </cell>
          <cell r="G39">
            <v>27.519767051519349</v>
          </cell>
          <cell r="O39">
            <v>24575.98828125</v>
          </cell>
          <cell r="T39">
            <v>-6144.0145121646701</v>
          </cell>
        </row>
        <row r="40">
          <cell r="D40">
            <v>37347</v>
          </cell>
          <cell r="E40">
            <v>28.219768524169922</v>
          </cell>
          <cell r="F40">
            <v>-0.25000070971112009</v>
          </cell>
          <cell r="G40">
            <v>27.969767814458802</v>
          </cell>
          <cell r="O40">
            <v>24357.748046875</v>
          </cell>
          <cell r="T40">
            <v>-6089.4542986833994</v>
          </cell>
        </row>
        <row r="41">
          <cell r="D41">
            <v>37377</v>
          </cell>
          <cell r="E41">
            <v>31.25</v>
          </cell>
          <cell r="F41">
            <v>0</v>
          </cell>
          <cell r="G41">
            <v>31.25</v>
          </cell>
          <cell r="O41">
            <v>-166816.125</v>
          </cell>
          <cell r="T41">
            <v>0</v>
          </cell>
        </row>
        <row r="42">
          <cell r="D42">
            <v>37408</v>
          </cell>
          <cell r="E42">
            <v>41.375</v>
          </cell>
          <cell r="F42">
            <v>-0.375</v>
          </cell>
          <cell r="G42">
            <v>41</v>
          </cell>
          <cell r="O42">
            <v>-418908.625</v>
          </cell>
          <cell r="T42">
            <v>157090.734375</v>
          </cell>
        </row>
        <row r="43">
          <cell r="D43">
            <v>37438</v>
          </cell>
          <cell r="E43">
            <v>55.375</v>
          </cell>
          <cell r="F43">
            <v>-0.5</v>
          </cell>
          <cell r="G43">
            <v>54.875</v>
          </cell>
          <cell r="O43">
            <v>-164653.953125</v>
          </cell>
          <cell r="T43">
            <v>82326.9765625</v>
          </cell>
        </row>
        <row r="44">
          <cell r="D44">
            <v>37469</v>
          </cell>
          <cell r="E44">
            <v>55.375</v>
          </cell>
          <cell r="F44">
            <v>-0.5</v>
          </cell>
          <cell r="G44">
            <v>54.875</v>
          </cell>
          <cell r="O44">
            <v>-174802.015625</v>
          </cell>
          <cell r="T44">
            <v>87401.0078125</v>
          </cell>
        </row>
        <row r="45">
          <cell r="D45">
            <v>37500</v>
          </cell>
          <cell r="E45">
            <v>28.25</v>
          </cell>
          <cell r="F45">
            <v>0</v>
          </cell>
          <cell r="G45">
            <v>28.25</v>
          </cell>
          <cell r="O45">
            <v>-245783.4375</v>
          </cell>
          <cell r="T45">
            <v>0</v>
          </cell>
        </row>
        <row r="46">
          <cell r="D46">
            <v>37530</v>
          </cell>
          <cell r="E46">
            <v>28.806249618530273</v>
          </cell>
          <cell r="F46">
            <v>-3.2782554626464844E-7</v>
          </cell>
          <cell r="G46">
            <v>28.806249290704727</v>
          </cell>
          <cell r="O46">
            <v>227736.65625</v>
          </cell>
          <cell r="T46">
            <v>-7.4657893739640713E-2</v>
          </cell>
        </row>
        <row r="47">
          <cell r="D47">
            <v>37561</v>
          </cell>
          <cell r="E47">
            <v>29.006252288818359</v>
          </cell>
          <cell r="F47">
            <v>-3.2782554626464844E-7</v>
          </cell>
          <cell r="G47">
            <v>29.006251960992813</v>
          </cell>
          <cell r="O47">
            <v>197330.859375</v>
          </cell>
          <cell r="T47">
            <v>-6.4690096769481897E-2</v>
          </cell>
        </row>
        <row r="48">
          <cell r="D48">
            <v>37591</v>
          </cell>
          <cell r="E48">
            <v>29.206249237060547</v>
          </cell>
          <cell r="F48">
            <v>-3.2782554626464844E-7</v>
          </cell>
          <cell r="G48">
            <v>29.206248909235001</v>
          </cell>
          <cell r="O48">
            <v>206411.78125</v>
          </cell>
          <cell r="T48">
            <v>-6.7667054943740368E-2</v>
          </cell>
        </row>
        <row r="49">
          <cell r="D49">
            <v>37622</v>
          </cell>
          <cell r="E49">
            <v>30.285717010498047</v>
          </cell>
          <cell r="F49">
            <v>1.8165225057487078E-7</v>
          </cell>
          <cell r="G49">
            <v>30.285717192150297</v>
          </cell>
          <cell r="O49">
            <v>-399578.375</v>
          </cell>
          <cell r="T49">
            <v>-7.2584311099799681E-2</v>
          </cell>
        </row>
        <row r="50">
          <cell r="D50">
            <v>37653</v>
          </cell>
          <cell r="E50">
            <v>29.685710906982422</v>
          </cell>
          <cell r="F50">
            <v>1.8165225057487078E-7</v>
          </cell>
          <cell r="G50">
            <v>29.685711088634672</v>
          </cell>
          <cell r="O50">
            <v>-361950.875</v>
          </cell>
          <cell r="T50">
            <v>-6.5749191041293731E-2</v>
          </cell>
        </row>
        <row r="51">
          <cell r="D51">
            <v>37681</v>
          </cell>
          <cell r="E51">
            <v>28.647678375244141</v>
          </cell>
          <cell r="F51">
            <v>-0.25000044356944784</v>
          </cell>
          <cell r="G51">
            <v>28.397677931674693</v>
          </cell>
          <cell r="O51">
            <v>-410062.84375</v>
          </cell>
          <cell r="T51">
            <v>102515.89282884919</v>
          </cell>
        </row>
        <row r="52">
          <cell r="D52">
            <v>37712</v>
          </cell>
          <cell r="E52">
            <v>28.847671508789063</v>
          </cell>
          <cell r="F52">
            <v>-0.25000044356944784</v>
          </cell>
          <cell r="G52">
            <v>28.597671065219615</v>
          </cell>
          <cell r="O52">
            <v>-427889.71875</v>
          </cell>
          <cell r="T52">
            <v>106972.61948630628</v>
          </cell>
        </row>
        <row r="53">
          <cell r="D53">
            <v>37742</v>
          </cell>
          <cell r="E53">
            <v>30.5</v>
          </cell>
          <cell r="F53">
            <v>0</v>
          </cell>
          <cell r="G53">
            <v>30.5</v>
          </cell>
          <cell r="O53">
            <v>-324609.15625</v>
          </cell>
          <cell r="T53">
            <v>0</v>
          </cell>
        </row>
        <row r="54">
          <cell r="D54">
            <v>37773</v>
          </cell>
          <cell r="E54">
            <v>40.375</v>
          </cell>
          <cell r="F54">
            <v>-0.5</v>
          </cell>
          <cell r="G54">
            <v>39.875</v>
          </cell>
          <cell r="O54">
            <v>-62318.49609375</v>
          </cell>
          <cell r="T54">
            <v>31159.248046875</v>
          </cell>
        </row>
        <row r="55">
          <cell r="D55">
            <v>37803</v>
          </cell>
          <cell r="E55">
            <v>50.125</v>
          </cell>
          <cell r="F55">
            <v>-0.5</v>
          </cell>
          <cell r="G55">
            <v>49.625</v>
          </cell>
          <cell r="O55">
            <v>-2715.5859375</v>
          </cell>
          <cell r="T55">
            <v>1357.79296875</v>
          </cell>
        </row>
        <row r="56">
          <cell r="D56">
            <v>37834</v>
          </cell>
          <cell r="E56">
            <v>50.125</v>
          </cell>
          <cell r="F56">
            <v>-0.5</v>
          </cell>
          <cell r="G56">
            <v>49.625</v>
          </cell>
          <cell r="O56">
            <v>-10535.326171875</v>
          </cell>
          <cell r="T56">
            <v>5267.6630859375</v>
          </cell>
        </row>
        <row r="57">
          <cell r="D57">
            <v>37865</v>
          </cell>
          <cell r="E57">
            <v>28.25</v>
          </cell>
          <cell r="F57">
            <v>0</v>
          </cell>
          <cell r="G57">
            <v>28.25</v>
          </cell>
          <cell r="O57">
            <v>-123025.4140625</v>
          </cell>
          <cell r="T57">
            <v>0</v>
          </cell>
        </row>
        <row r="58">
          <cell r="D58">
            <v>37895</v>
          </cell>
          <cell r="E58">
            <v>29.521564483642578</v>
          </cell>
          <cell r="F58">
            <v>-0.36500132083892822</v>
          </cell>
          <cell r="G58">
            <v>29.15656316280365</v>
          </cell>
          <cell r="O58">
            <v>-318573.625</v>
          </cell>
          <cell r="T58">
            <v>116279.79390944541</v>
          </cell>
        </row>
        <row r="59">
          <cell r="D59">
            <v>37926</v>
          </cell>
          <cell r="E59">
            <v>29.621562957763672</v>
          </cell>
          <cell r="F59">
            <v>-0.36500132083892822</v>
          </cell>
          <cell r="G59">
            <v>29.256561636924744</v>
          </cell>
          <cell r="O59">
            <v>-262008.234375</v>
          </cell>
          <cell r="T59">
            <v>95633.351617550477</v>
          </cell>
        </row>
        <row r="60">
          <cell r="D60">
            <v>37956</v>
          </cell>
          <cell r="E60">
            <v>29.721561431884766</v>
          </cell>
          <cell r="F60">
            <v>-0.36500132083892822</v>
          </cell>
          <cell r="G60">
            <v>29.356560111045837</v>
          </cell>
          <cell r="O60">
            <v>-301977.75</v>
          </cell>
          <cell r="T60">
            <v>110222.27761396766</v>
          </cell>
        </row>
        <row r="61">
          <cell r="D61">
            <v>37987</v>
          </cell>
          <cell r="E61">
            <v>31.260715484619141</v>
          </cell>
          <cell r="F61">
            <v>1.8165225057487078E-7</v>
          </cell>
          <cell r="G61">
            <v>31.260715666271391</v>
          </cell>
          <cell r="O61">
            <v>-45300.3671875</v>
          </cell>
          <cell r="T61">
            <v>-8.2289136514774042E-3</v>
          </cell>
        </row>
        <row r="62">
          <cell r="D62">
            <v>38018</v>
          </cell>
          <cell r="E62">
            <v>30.660709381103516</v>
          </cell>
          <cell r="F62">
            <v>1.8165225057487078E-7</v>
          </cell>
          <cell r="G62">
            <v>30.660709562755766</v>
          </cell>
          <cell r="O62">
            <v>-42953.421875</v>
          </cell>
          <cell r="T62">
            <v>-7.8025857534856358E-3</v>
          </cell>
        </row>
        <row r="63">
          <cell r="D63">
            <v>38047</v>
          </cell>
          <cell r="E63">
            <v>29.372671127319336</v>
          </cell>
          <cell r="F63">
            <v>-0.25000044356944784</v>
          </cell>
          <cell r="G63">
            <v>29.122670683749888</v>
          </cell>
          <cell r="O63">
            <v>-49164.66015625</v>
          </cell>
          <cell r="T63">
            <v>12291.186847003659</v>
          </cell>
        </row>
        <row r="64">
          <cell r="D64">
            <v>38078</v>
          </cell>
          <cell r="E64">
            <v>29.572671890258789</v>
          </cell>
          <cell r="F64">
            <v>-0.25000044356944784</v>
          </cell>
          <cell r="G64">
            <v>29.322671446689341</v>
          </cell>
          <cell r="O64">
            <v>-46812.14453125</v>
          </cell>
          <cell r="T64">
            <v>11703.056897249602</v>
          </cell>
        </row>
        <row r="65">
          <cell r="D65">
            <v>38108</v>
          </cell>
          <cell r="E65">
            <v>30.725006103515625</v>
          </cell>
          <cell r="F65">
            <v>0</v>
          </cell>
          <cell r="G65">
            <v>30.725006103515625</v>
          </cell>
          <cell r="O65">
            <v>-42353.9609375</v>
          </cell>
          <cell r="T65">
            <v>0</v>
          </cell>
        </row>
        <row r="66">
          <cell r="D66">
            <v>38139</v>
          </cell>
          <cell r="E66">
            <v>39.050006866455078</v>
          </cell>
          <cell r="F66">
            <v>-0.5</v>
          </cell>
          <cell r="G66">
            <v>38.550006866455078</v>
          </cell>
          <cell r="O66">
            <v>-216411.84375</v>
          </cell>
          <cell r="T66">
            <v>108205.921875</v>
          </cell>
        </row>
        <row r="67">
          <cell r="D67">
            <v>38169</v>
          </cell>
          <cell r="E67">
            <v>49.875</v>
          </cell>
          <cell r="F67">
            <v>-0.5</v>
          </cell>
          <cell r="G67">
            <v>49.375</v>
          </cell>
          <cell r="O67">
            <v>-14684.265625</v>
          </cell>
          <cell r="T67">
            <v>7342.1328125</v>
          </cell>
        </row>
        <row r="68">
          <cell r="D68">
            <v>38200</v>
          </cell>
          <cell r="E68">
            <v>49.875</v>
          </cell>
          <cell r="F68">
            <v>-0.5</v>
          </cell>
          <cell r="G68">
            <v>49.375</v>
          </cell>
          <cell r="O68">
            <v>-15308.9306640625</v>
          </cell>
          <cell r="T68">
            <v>7654.46533203125</v>
          </cell>
        </row>
        <row r="69">
          <cell r="D69">
            <v>38231</v>
          </cell>
          <cell r="E69">
            <v>28.67500114440918</v>
          </cell>
          <cell r="F69">
            <v>0</v>
          </cell>
          <cell r="G69">
            <v>28.67500114440918</v>
          </cell>
          <cell r="O69">
            <v>-43632.984375</v>
          </cell>
          <cell r="T69">
            <v>0</v>
          </cell>
        </row>
        <row r="70">
          <cell r="D70">
            <v>38261</v>
          </cell>
          <cell r="E70">
            <v>29.996564865112305</v>
          </cell>
          <cell r="F70">
            <v>-0.36500132083892822</v>
          </cell>
          <cell r="G70">
            <v>29.631563544273376</v>
          </cell>
          <cell r="O70">
            <v>-43419.30078125</v>
          </cell>
          <cell r="T70">
            <v>15848.102135058958</v>
          </cell>
        </row>
        <row r="71">
          <cell r="D71">
            <v>38292</v>
          </cell>
          <cell r="E71">
            <v>30.096563339233398</v>
          </cell>
          <cell r="F71">
            <v>-0.36500132083892822</v>
          </cell>
          <cell r="G71">
            <v>29.73156201839447</v>
          </cell>
          <cell r="O71">
            <v>-43211.83984375</v>
          </cell>
          <cell r="T71">
            <v>15772.378618848976</v>
          </cell>
        </row>
        <row r="72">
          <cell r="D72">
            <v>38322</v>
          </cell>
          <cell r="E72">
            <v>30.196561813354492</v>
          </cell>
          <cell r="F72">
            <v>-0.36500132083892822</v>
          </cell>
          <cell r="G72">
            <v>29.831560492515564</v>
          </cell>
          <cell r="O72">
            <v>-47091.96484375</v>
          </cell>
          <cell r="T72">
            <v>17188.629368869122</v>
          </cell>
        </row>
        <row r="73">
          <cell r="D73">
            <v>38353</v>
          </cell>
          <cell r="F73">
            <v>1.8165225057487078E-7</v>
          </cell>
          <cell r="G73">
            <v>31.41071909949893</v>
          </cell>
          <cell r="T73">
            <v>1.8133096734824855E-2</v>
          </cell>
        </row>
        <row r="74">
          <cell r="D74">
            <v>38384</v>
          </cell>
          <cell r="F74">
            <v>1.8165225057487078E-7</v>
          </cell>
          <cell r="G74">
            <v>31.330709639049712</v>
          </cell>
          <cell r="T74">
            <v>1.7191383084680573E-2</v>
          </cell>
        </row>
        <row r="75">
          <cell r="D75">
            <v>38412</v>
          </cell>
          <cell r="F75">
            <v>-0.25000044356944784</v>
          </cell>
          <cell r="G75">
            <v>29.792672667392466</v>
          </cell>
          <cell r="T75">
            <v>-27072.868347203828</v>
          </cell>
        </row>
        <row r="76">
          <cell r="D76">
            <v>38443</v>
          </cell>
          <cell r="F76">
            <v>-0.25000044356944784</v>
          </cell>
          <cell r="G76">
            <v>29.992673430331919</v>
          </cell>
          <cell r="T76">
            <v>-24598.815129428938</v>
          </cell>
        </row>
        <row r="77">
          <cell r="D77">
            <v>38473</v>
          </cell>
          <cell r="F77">
            <v>0</v>
          </cell>
          <cell r="G77">
            <v>31.394998550415039</v>
          </cell>
          <cell r="T77">
            <v>0</v>
          </cell>
        </row>
        <row r="78">
          <cell r="D78">
            <v>38504</v>
          </cell>
          <cell r="F78">
            <v>-0.5</v>
          </cell>
          <cell r="G78">
            <v>38.869998931884766</v>
          </cell>
          <cell r="T78">
            <v>-43740.5</v>
          </cell>
        </row>
        <row r="79">
          <cell r="D79">
            <v>38534</v>
          </cell>
          <cell r="F79">
            <v>-0.5</v>
          </cell>
          <cell r="G79">
            <v>49.125</v>
          </cell>
          <cell r="T79">
            <v>-85718.640625</v>
          </cell>
        </row>
        <row r="80">
          <cell r="D80">
            <v>38565</v>
          </cell>
          <cell r="F80">
            <v>-0.5</v>
          </cell>
          <cell r="G80">
            <v>49.125</v>
          </cell>
          <cell r="T80">
            <v>-98079.5859375</v>
          </cell>
        </row>
        <row r="81">
          <cell r="D81">
            <v>38596</v>
          </cell>
          <cell r="F81">
            <v>0</v>
          </cell>
          <cell r="G81">
            <v>29.024999618530273</v>
          </cell>
          <cell r="T81">
            <v>0</v>
          </cell>
        </row>
        <row r="82">
          <cell r="D82">
            <v>38626</v>
          </cell>
          <cell r="F82">
            <v>-0.36500132083892822</v>
          </cell>
          <cell r="G82">
            <v>30.551561713218689</v>
          </cell>
          <cell r="T82">
            <v>-34857.640397981741</v>
          </cell>
        </row>
        <row r="83">
          <cell r="D83">
            <v>38657</v>
          </cell>
          <cell r="F83">
            <v>-0.36500132083892822</v>
          </cell>
          <cell r="G83">
            <v>30.651564002037048</v>
          </cell>
          <cell r="T83">
            <v>-34689.294945036061</v>
          </cell>
        </row>
        <row r="84">
          <cell r="D84">
            <v>38687</v>
          </cell>
          <cell r="F84">
            <v>-0.36500132083892822</v>
          </cell>
          <cell r="G84">
            <v>30.751562476158142</v>
          </cell>
          <cell r="T84">
            <v>-34515.115174102597</v>
          </cell>
        </row>
        <row r="85">
          <cell r="D85">
            <v>38718</v>
          </cell>
          <cell r="F85">
            <v>1.8165225057487078E-7</v>
          </cell>
          <cell r="G85">
            <v>31.570713224865141</v>
          </cell>
          <cell r="T85">
            <v>2.4415057661955723E-3</v>
          </cell>
        </row>
        <row r="86">
          <cell r="D86">
            <v>38749</v>
          </cell>
          <cell r="F86">
            <v>1.8165225057487078E-7</v>
          </cell>
          <cell r="G86">
            <v>31.010715666271391</v>
          </cell>
          <cell r="T86">
            <v>2.314566499393704E-3</v>
          </cell>
        </row>
        <row r="87">
          <cell r="D87">
            <v>38777</v>
          </cell>
          <cell r="F87">
            <v>-0.25000044356944784</v>
          </cell>
          <cell r="G87">
            <v>29.47267487991688</v>
          </cell>
          <cell r="T87">
            <v>-3644.5294156148789</v>
          </cell>
        </row>
        <row r="88">
          <cell r="D88">
            <v>38808</v>
          </cell>
          <cell r="F88">
            <v>-0.25000044356944784</v>
          </cell>
          <cell r="G88">
            <v>29.672675642856333</v>
          </cell>
          <cell r="T88">
            <v>-3153.3798625400559</v>
          </cell>
        </row>
        <row r="89">
          <cell r="D89">
            <v>38838</v>
          </cell>
          <cell r="F89">
            <v>0</v>
          </cell>
          <cell r="G89">
            <v>31.575002670288086</v>
          </cell>
          <cell r="T89">
            <v>0</v>
          </cell>
        </row>
        <row r="90">
          <cell r="D90">
            <v>38869</v>
          </cell>
          <cell r="F90">
            <v>-0.5</v>
          </cell>
          <cell r="G90">
            <v>38.960010528564453</v>
          </cell>
          <cell r="T90">
            <v>-6866.7568359375</v>
          </cell>
        </row>
        <row r="91">
          <cell r="D91">
            <v>38899</v>
          </cell>
          <cell r="F91">
            <v>-0.5</v>
          </cell>
          <cell r="G91">
            <v>50.875</v>
          </cell>
          <cell r="T91">
            <v>-6209.818359375</v>
          </cell>
        </row>
        <row r="92">
          <cell r="D92">
            <v>38930</v>
          </cell>
          <cell r="F92">
            <v>-0.5</v>
          </cell>
          <cell r="G92">
            <v>50.875</v>
          </cell>
          <cell r="T92">
            <v>-7104.49609375</v>
          </cell>
        </row>
        <row r="93">
          <cell r="D93">
            <v>38961</v>
          </cell>
          <cell r="F93">
            <v>0</v>
          </cell>
          <cell r="G93">
            <v>28.614999771118164</v>
          </cell>
          <cell r="T93">
            <v>0</v>
          </cell>
        </row>
        <row r="94">
          <cell r="D94">
            <v>38991</v>
          </cell>
          <cell r="F94">
            <v>-0.36500132083892822</v>
          </cell>
          <cell r="G94">
            <v>30.231563925743103</v>
          </cell>
          <cell r="T94">
            <v>-4911.746138509945</v>
          </cell>
        </row>
        <row r="95">
          <cell r="D95">
            <v>39022</v>
          </cell>
          <cell r="F95">
            <v>-0.36500132083892822</v>
          </cell>
          <cell r="G95">
            <v>30.331562399864197</v>
          </cell>
          <cell r="T95">
            <v>-4665.5531040506903</v>
          </cell>
        </row>
        <row r="96">
          <cell r="D96">
            <v>39052</v>
          </cell>
          <cell r="F96">
            <v>-0.36500132083892822</v>
          </cell>
          <cell r="G96">
            <v>30.431560873985291</v>
          </cell>
          <cell r="T96">
            <v>-4420.8318376126699</v>
          </cell>
        </row>
        <row r="97">
          <cell r="D97">
            <v>39083</v>
          </cell>
          <cell r="F97">
            <v>1.8165225057487078E-7</v>
          </cell>
          <cell r="G97">
            <v>31.440706434704008</v>
          </cell>
          <cell r="T97">
            <v>9.631271154652718E-3</v>
          </cell>
        </row>
        <row r="98">
          <cell r="D98">
            <v>39114</v>
          </cell>
          <cell r="F98">
            <v>1.8165225057487078E-7</v>
          </cell>
          <cell r="G98">
            <v>30.880710783458891</v>
          </cell>
          <cell r="T98">
            <v>8.7152137561648246E-3</v>
          </cell>
        </row>
        <row r="99">
          <cell r="D99">
            <v>39142</v>
          </cell>
          <cell r="F99">
            <v>-0.25000044356944784</v>
          </cell>
          <cell r="G99">
            <v>29.342675719150279</v>
          </cell>
          <cell r="T99">
            <v>-13126.020359477592</v>
          </cell>
        </row>
        <row r="100">
          <cell r="D100">
            <v>39173</v>
          </cell>
          <cell r="F100">
            <v>-0.25000044356944784</v>
          </cell>
          <cell r="G100">
            <v>29.542676482089732</v>
          </cell>
          <cell r="T100">
            <v>-12466.80239296887</v>
          </cell>
        </row>
        <row r="101">
          <cell r="D101">
            <v>39203</v>
          </cell>
          <cell r="F101">
            <v>0</v>
          </cell>
          <cell r="G101">
            <v>31.945003509521484</v>
          </cell>
          <cell r="T101">
            <v>0</v>
          </cell>
        </row>
        <row r="102">
          <cell r="D102">
            <v>39234</v>
          </cell>
          <cell r="F102">
            <v>-0.5</v>
          </cell>
          <cell r="G102">
            <v>39.300003051757813</v>
          </cell>
          <cell r="T102">
            <v>-24679.416015625</v>
          </cell>
        </row>
        <row r="103">
          <cell r="D103">
            <v>39264</v>
          </cell>
          <cell r="F103">
            <v>-0.5</v>
          </cell>
          <cell r="G103">
            <v>51.625</v>
          </cell>
          <cell r="T103">
            <v>-24550.451171875</v>
          </cell>
        </row>
        <row r="104">
          <cell r="D104">
            <v>39295</v>
          </cell>
          <cell r="F104">
            <v>-0.5</v>
          </cell>
          <cell r="G104">
            <v>51.625</v>
          </cell>
          <cell r="T104">
            <v>-26747.490234375</v>
          </cell>
        </row>
        <row r="105">
          <cell r="D105">
            <v>39326</v>
          </cell>
          <cell r="F105">
            <v>0</v>
          </cell>
          <cell r="G105">
            <v>28.394996643066406</v>
          </cell>
          <cell r="T105">
            <v>0</v>
          </cell>
        </row>
        <row r="106">
          <cell r="D106">
            <v>39356</v>
          </cell>
          <cell r="F106">
            <v>-0.36500132083892822</v>
          </cell>
          <cell r="G106">
            <v>30.101568579673767</v>
          </cell>
          <cell r="T106">
            <v>-19323.385218960699</v>
          </cell>
        </row>
        <row r="107">
          <cell r="D107">
            <v>39387</v>
          </cell>
          <cell r="F107">
            <v>-0.36500132083892822</v>
          </cell>
          <cell r="G107">
            <v>30.201567053794861</v>
          </cell>
          <cell r="T107">
            <v>-17552.380275026895</v>
          </cell>
        </row>
        <row r="108">
          <cell r="D108">
            <v>39417</v>
          </cell>
          <cell r="F108">
            <v>-0.36500132083892822</v>
          </cell>
          <cell r="G108">
            <v>30.301565527915955</v>
          </cell>
          <cell r="T108">
            <v>-16627.387083982117</v>
          </cell>
        </row>
        <row r="109">
          <cell r="D109">
            <v>39448</v>
          </cell>
          <cell r="F109">
            <v>1.8165225057487078E-7</v>
          </cell>
          <cell r="G109">
            <v>31.41071909949893</v>
          </cell>
          <cell r="T109">
            <v>6.7903477457929712E-3</v>
          </cell>
        </row>
        <row r="110">
          <cell r="D110">
            <v>39479</v>
          </cell>
          <cell r="F110">
            <v>1.8165225057487078E-7</v>
          </cell>
          <cell r="G110">
            <v>30.970710936046782</v>
          </cell>
          <cell r="T110">
            <v>6.4490856099239241E-3</v>
          </cell>
        </row>
        <row r="111">
          <cell r="D111">
            <v>39508</v>
          </cell>
          <cell r="F111">
            <v>-0.25000044356944784</v>
          </cell>
          <cell r="G111">
            <v>29.432675871738169</v>
          </cell>
          <cell r="T111">
            <v>-8827.6943736917856</v>
          </cell>
        </row>
        <row r="112">
          <cell r="D112">
            <v>39539</v>
          </cell>
          <cell r="F112">
            <v>-0.25000044356944784</v>
          </cell>
          <cell r="G112">
            <v>29.632676634677622</v>
          </cell>
          <cell r="T112">
            <v>-9199.5495256524537</v>
          </cell>
        </row>
        <row r="113">
          <cell r="D113">
            <v>39569</v>
          </cell>
          <cell r="F113">
            <v>0</v>
          </cell>
          <cell r="G113">
            <v>32.534996032714844</v>
          </cell>
          <cell r="T113">
            <v>0</v>
          </cell>
        </row>
        <row r="114">
          <cell r="D114">
            <v>39600</v>
          </cell>
          <cell r="F114">
            <v>-0.5</v>
          </cell>
          <cell r="G114">
            <v>39.509998321533203</v>
          </cell>
          <cell r="T114">
            <v>-17374.8203125</v>
          </cell>
        </row>
        <row r="115">
          <cell r="D115">
            <v>39630</v>
          </cell>
          <cell r="F115">
            <v>-0.5</v>
          </cell>
          <cell r="G115">
            <v>52.875</v>
          </cell>
          <cell r="T115">
            <v>-18102.359375</v>
          </cell>
        </row>
        <row r="116">
          <cell r="D116">
            <v>39661</v>
          </cell>
          <cell r="F116">
            <v>-0.5</v>
          </cell>
          <cell r="G116">
            <v>52.875</v>
          </cell>
          <cell r="T116">
            <v>-17187.310546875</v>
          </cell>
        </row>
        <row r="117">
          <cell r="D117">
            <v>39692</v>
          </cell>
          <cell r="F117">
            <v>0</v>
          </cell>
          <cell r="G117">
            <v>28.275001525878906</v>
          </cell>
          <cell r="T117">
            <v>0</v>
          </cell>
        </row>
        <row r="118">
          <cell r="D118">
            <v>39722</v>
          </cell>
          <cell r="F118">
            <v>-0.36500132083892822</v>
          </cell>
          <cell r="G118">
            <v>30.191568732261658</v>
          </cell>
          <cell r="T118">
            <v>-13602.70953694731</v>
          </cell>
        </row>
        <row r="119">
          <cell r="D119">
            <v>39753</v>
          </cell>
          <cell r="F119">
            <v>-0.36500132083892822</v>
          </cell>
          <cell r="G119">
            <v>30.291567206382751</v>
          </cell>
          <cell r="T119">
            <v>-11181.009894579183</v>
          </cell>
        </row>
        <row r="120">
          <cell r="D120">
            <v>39783</v>
          </cell>
          <cell r="F120">
            <v>-0.36500132083892822</v>
          </cell>
          <cell r="G120">
            <v>30.391565680503845</v>
          </cell>
          <cell r="T120">
            <v>-12879.596295200288</v>
          </cell>
        </row>
        <row r="121">
          <cell r="D121">
            <v>39814</v>
          </cell>
          <cell r="F121">
            <v>1.8165225057487078E-7</v>
          </cell>
          <cell r="G121">
            <v>31.720714750744047</v>
          </cell>
          <cell r="T121">
            <v>-2.028946895923648E-3</v>
          </cell>
        </row>
        <row r="122">
          <cell r="D122">
            <v>39845</v>
          </cell>
          <cell r="F122">
            <v>1.8165225057487078E-7</v>
          </cell>
          <cell r="G122">
            <v>31.240709486461821</v>
          </cell>
          <cell r="T122">
            <v>-1.9232754888106676E-3</v>
          </cell>
        </row>
        <row r="123">
          <cell r="D123">
            <v>39873</v>
          </cell>
          <cell r="F123">
            <v>-0.25000044356944784</v>
          </cell>
          <cell r="G123">
            <v>29.702678236850474</v>
          </cell>
          <cell r="T123">
            <v>2896.4804809487473</v>
          </cell>
        </row>
        <row r="124">
          <cell r="D124">
            <v>39904</v>
          </cell>
          <cell r="F124">
            <v>-0.25000044356944784</v>
          </cell>
          <cell r="G124">
            <v>29.902678999789927</v>
          </cell>
          <cell r="T124">
            <v>2881.8732772971812</v>
          </cell>
        </row>
        <row r="125">
          <cell r="D125">
            <v>39934</v>
          </cell>
          <cell r="G125">
            <v>33.30499267578125</v>
          </cell>
          <cell r="T125">
            <v>0</v>
          </cell>
        </row>
        <row r="126">
          <cell r="D126">
            <v>39965</v>
          </cell>
          <cell r="G126">
            <v>40.92999267578125</v>
          </cell>
          <cell r="T126">
            <v>5704.58203125</v>
          </cell>
        </row>
        <row r="127">
          <cell r="D127">
            <v>39995</v>
          </cell>
          <cell r="G127">
            <v>54.374996185302734</v>
          </cell>
          <cell r="T127">
            <v>5932.58642578125</v>
          </cell>
        </row>
        <row r="128">
          <cell r="D128">
            <v>40026</v>
          </cell>
          <cell r="G128">
            <v>54.374996185302734</v>
          </cell>
          <cell r="T128">
            <v>5388.21826171875</v>
          </cell>
        </row>
        <row r="129">
          <cell r="D129">
            <v>40057</v>
          </cell>
          <cell r="G129">
            <v>28.374998092651367</v>
          </cell>
          <cell r="T129">
            <v>0</v>
          </cell>
        </row>
        <row r="130">
          <cell r="D130">
            <v>40087</v>
          </cell>
          <cell r="G130">
            <v>30.461565375328064</v>
          </cell>
          <cell r="T130">
            <v>4078.0300111700781</v>
          </cell>
        </row>
        <row r="131">
          <cell r="D131">
            <v>40118</v>
          </cell>
          <cell r="G131">
            <v>30.561563849449158</v>
          </cell>
          <cell r="T131">
            <v>3688.2962863782886</v>
          </cell>
        </row>
        <row r="132">
          <cell r="D132">
            <v>40148</v>
          </cell>
          <cell r="G132">
            <v>30.661562323570251</v>
          </cell>
          <cell r="T132">
            <v>4035.5882706710836</v>
          </cell>
        </row>
        <row r="133">
          <cell r="D133">
            <v>40179</v>
          </cell>
          <cell r="G133">
            <v>31.970714750744047</v>
          </cell>
          <cell r="T133">
            <v>1.8161155621326738E-3</v>
          </cell>
        </row>
        <row r="134">
          <cell r="D134">
            <v>40210</v>
          </cell>
          <cell r="G134">
            <v>31.610717955089751</v>
          </cell>
          <cell r="T134">
            <v>1.8073653874140644E-3</v>
          </cell>
        </row>
        <row r="135">
          <cell r="D135">
            <v>40238</v>
          </cell>
          <cell r="G135">
            <v>30.072679076083872</v>
          </cell>
          <cell r="T135">
            <v>-2845.2237982084398</v>
          </cell>
        </row>
        <row r="136">
          <cell r="D136">
            <v>40269</v>
          </cell>
          <cell r="G136">
            <v>30.272679839023326</v>
          </cell>
          <cell r="T136">
            <v>-2707.408856421258</v>
          </cell>
        </row>
        <row r="137">
          <cell r="D137">
            <v>40299</v>
          </cell>
          <cell r="G137">
            <v>34.175003051757813</v>
          </cell>
          <cell r="T137">
            <v>0</v>
          </cell>
        </row>
        <row r="138">
          <cell r="D138">
            <v>40330</v>
          </cell>
          <cell r="G138">
            <v>42.970005035400391</v>
          </cell>
          <cell r="T138">
            <v>-5357.6865234375</v>
          </cell>
        </row>
        <row r="139">
          <cell r="D139">
            <v>40360</v>
          </cell>
          <cell r="G139">
            <v>56.375</v>
          </cell>
          <cell r="T139">
            <v>-5086.572265625</v>
          </cell>
        </row>
        <row r="140">
          <cell r="D140">
            <v>40391</v>
          </cell>
          <cell r="G140">
            <v>56.375</v>
          </cell>
          <cell r="T140">
            <v>-5299.9833984375</v>
          </cell>
        </row>
        <row r="141">
          <cell r="D141">
            <v>40422</v>
          </cell>
          <cell r="G141">
            <v>28.454999923706055</v>
          </cell>
          <cell r="T141">
            <v>0</v>
          </cell>
        </row>
        <row r="142">
          <cell r="D142">
            <v>40452</v>
          </cell>
          <cell r="G142">
            <v>30.831566214561462</v>
          </cell>
          <cell r="T142">
            <v>-3653.8229096755385</v>
          </cell>
        </row>
        <row r="143">
          <cell r="D143">
            <v>40483</v>
          </cell>
          <cell r="G143">
            <v>30.931564688682556</v>
          </cell>
          <cell r="T143">
            <v>-3634.5772882731399</v>
          </cell>
        </row>
        <row r="144">
          <cell r="D144">
            <v>40513</v>
          </cell>
          <cell r="G144">
            <v>31.03156316280365</v>
          </cell>
          <cell r="T144">
            <v>-3959.013916421216</v>
          </cell>
        </row>
        <row r="145">
          <cell r="D145">
            <v>40544</v>
          </cell>
          <cell r="G145">
            <v>32.510723295665926</v>
          </cell>
          <cell r="T145">
            <v>0</v>
          </cell>
        </row>
        <row r="146">
          <cell r="D146">
            <v>40575</v>
          </cell>
          <cell r="T146">
            <v>0</v>
          </cell>
        </row>
        <row r="147">
          <cell r="D147">
            <v>40603</v>
          </cell>
          <cell r="T147">
            <v>0</v>
          </cell>
        </row>
        <row r="148">
          <cell r="D148">
            <v>40634</v>
          </cell>
          <cell r="T148">
            <v>0</v>
          </cell>
        </row>
        <row r="149">
          <cell r="D149">
            <v>40664</v>
          </cell>
          <cell r="T149">
            <v>0</v>
          </cell>
        </row>
        <row r="150">
          <cell r="D150">
            <v>40695</v>
          </cell>
          <cell r="T150">
            <v>0</v>
          </cell>
        </row>
        <row r="151">
          <cell r="D151">
            <v>40725</v>
          </cell>
          <cell r="T151">
            <v>0</v>
          </cell>
        </row>
        <row r="152">
          <cell r="D152">
            <v>40756</v>
          </cell>
          <cell r="T152">
            <v>0</v>
          </cell>
        </row>
        <row r="153">
          <cell r="D153">
            <v>40787</v>
          </cell>
          <cell r="T153">
            <v>0</v>
          </cell>
        </row>
        <row r="154">
          <cell r="D154">
            <v>40817</v>
          </cell>
          <cell r="T154">
            <v>0</v>
          </cell>
        </row>
        <row r="155">
          <cell r="D155">
            <v>40848</v>
          </cell>
          <cell r="T155">
            <v>0</v>
          </cell>
        </row>
        <row r="156">
          <cell r="D156">
            <v>40878</v>
          </cell>
          <cell r="T156">
            <v>0</v>
          </cell>
        </row>
        <row r="157">
          <cell r="D157">
            <v>40909</v>
          </cell>
          <cell r="T157">
            <v>0</v>
          </cell>
        </row>
        <row r="158">
          <cell r="D158">
            <v>40940</v>
          </cell>
          <cell r="T158">
            <v>0</v>
          </cell>
        </row>
        <row r="159">
          <cell r="D159">
            <v>40969</v>
          </cell>
          <cell r="T159">
            <v>0</v>
          </cell>
        </row>
        <row r="160">
          <cell r="D160">
            <v>41000</v>
          </cell>
          <cell r="T160">
            <v>0</v>
          </cell>
        </row>
        <row r="161">
          <cell r="D161">
            <v>41030</v>
          </cell>
          <cell r="T161">
            <v>0</v>
          </cell>
        </row>
        <row r="162">
          <cell r="D162">
            <v>41061</v>
          </cell>
          <cell r="T162">
            <v>0</v>
          </cell>
        </row>
        <row r="163">
          <cell r="D163">
            <v>41091</v>
          </cell>
          <cell r="T163">
            <v>0</v>
          </cell>
        </row>
        <row r="164">
          <cell r="D164">
            <v>41122</v>
          </cell>
          <cell r="T164">
            <v>0</v>
          </cell>
        </row>
        <row r="165">
          <cell r="D165">
            <v>41153</v>
          </cell>
          <cell r="T165">
            <v>0</v>
          </cell>
        </row>
        <row r="166">
          <cell r="D166">
            <v>41183</v>
          </cell>
          <cell r="T166">
            <v>0</v>
          </cell>
        </row>
        <row r="167">
          <cell r="D167">
            <v>41214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37142</v>
          </cell>
          <cell r="F3">
            <v>0</v>
          </cell>
          <cell r="O3">
            <v>0</v>
          </cell>
          <cell r="P3">
            <v>0</v>
          </cell>
          <cell r="Q3">
            <v>-1593.04296875</v>
          </cell>
          <cell r="R3">
            <v>0</v>
          </cell>
          <cell r="T3">
            <v>0</v>
          </cell>
        </row>
        <row r="4">
          <cell r="D4">
            <v>37143</v>
          </cell>
          <cell r="F4">
            <v>0</v>
          </cell>
          <cell r="O4">
            <v>0</v>
          </cell>
          <cell r="P4">
            <v>1.1000000389727038E-11</v>
          </cell>
          <cell r="Q4">
            <v>0</v>
          </cell>
          <cell r="R4">
            <v>-1593.04296875</v>
          </cell>
          <cell r="T4">
            <v>0</v>
          </cell>
        </row>
        <row r="5">
          <cell r="D5">
            <v>37144</v>
          </cell>
          <cell r="F5">
            <v>0</v>
          </cell>
          <cell r="O5">
            <v>15930.4296875</v>
          </cell>
          <cell r="P5">
            <v>-796.521484375</v>
          </cell>
          <cell r="Q5">
            <v>0</v>
          </cell>
          <cell r="R5">
            <v>0</v>
          </cell>
          <cell r="T5">
            <v>0</v>
          </cell>
        </row>
        <row r="6">
          <cell r="D6">
            <v>37145</v>
          </cell>
          <cell r="F6">
            <v>0</v>
          </cell>
          <cell r="O6">
            <v>15930.4296875</v>
          </cell>
          <cell r="P6">
            <v>-796.521484375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37146</v>
          </cell>
          <cell r="F7">
            <v>0</v>
          </cell>
          <cell r="O7">
            <v>15930.4296875</v>
          </cell>
          <cell r="P7">
            <v>-796.521484375</v>
          </cell>
          <cell r="Q7">
            <v>0</v>
          </cell>
          <cell r="R7">
            <v>0</v>
          </cell>
          <cell r="T7">
            <v>0</v>
          </cell>
        </row>
        <row r="8">
          <cell r="D8">
            <v>37147</v>
          </cell>
          <cell r="F8">
            <v>0</v>
          </cell>
          <cell r="O8">
            <v>15930.4296875</v>
          </cell>
          <cell r="P8">
            <v>-796.521484375</v>
          </cell>
          <cell r="Q8">
            <v>0</v>
          </cell>
          <cell r="R8">
            <v>0</v>
          </cell>
          <cell r="T8">
            <v>0</v>
          </cell>
        </row>
        <row r="9">
          <cell r="D9">
            <v>37148</v>
          </cell>
          <cell r="F9">
            <v>0</v>
          </cell>
          <cell r="O9">
            <v>15930.4296875</v>
          </cell>
          <cell r="P9">
            <v>-796.521484375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37149</v>
          </cell>
          <cell r="F10">
            <v>0</v>
          </cell>
          <cell r="O10">
            <v>0</v>
          </cell>
          <cell r="P10">
            <v>-796.521484375</v>
          </cell>
          <cell r="Q10">
            <v>-2389.564453125</v>
          </cell>
          <cell r="R10">
            <v>0</v>
          </cell>
          <cell r="T10">
            <v>0</v>
          </cell>
        </row>
        <row r="11">
          <cell r="D11">
            <v>37150</v>
          </cell>
          <cell r="F11">
            <v>0</v>
          </cell>
          <cell r="O11">
            <v>0</v>
          </cell>
          <cell r="P11">
            <v>-796.521484375</v>
          </cell>
          <cell r="Q11">
            <v>0</v>
          </cell>
          <cell r="R11">
            <v>-2389.564453125</v>
          </cell>
          <cell r="T11">
            <v>0</v>
          </cell>
        </row>
        <row r="12">
          <cell r="D12">
            <v>37151</v>
          </cell>
          <cell r="F12">
            <v>0</v>
          </cell>
          <cell r="O12">
            <v>15930.4296875</v>
          </cell>
          <cell r="P12">
            <v>-796.521484375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37152</v>
          </cell>
          <cell r="F13">
            <v>0</v>
          </cell>
          <cell r="O13">
            <v>15930.4296875</v>
          </cell>
          <cell r="P13">
            <v>-796.521484375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37153</v>
          </cell>
          <cell r="F14">
            <v>0</v>
          </cell>
          <cell r="O14">
            <v>15930.4296875</v>
          </cell>
          <cell r="P14">
            <v>-796.521484375</v>
          </cell>
          <cell r="Q14">
            <v>0</v>
          </cell>
          <cell r="R14">
            <v>0</v>
          </cell>
          <cell r="T14">
            <v>0</v>
          </cell>
        </row>
        <row r="15">
          <cell r="D15">
            <v>37154</v>
          </cell>
          <cell r="F15">
            <v>0</v>
          </cell>
          <cell r="O15">
            <v>15930.4296875</v>
          </cell>
          <cell r="P15">
            <v>-796.521484375</v>
          </cell>
          <cell r="Q15">
            <v>0</v>
          </cell>
          <cell r="R15">
            <v>0</v>
          </cell>
          <cell r="T15">
            <v>0</v>
          </cell>
        </row>
        <row r="16">
          <cell r="D16">
            <v>37155</v>
          </cell>
          <cell r="F16">
            <v>0</v>
          </cell>
          <cell r="O16">
            <v>15930.4296875</v>
          </cell>
          <cell r="P16">
            <v>-796.521484375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37156</v>
          </cell>
          <cell r="F17">
            <v>0</v>
          </cell>
          <cell r="O17">
            <v>0</v>
          </cell>
          <cell r="P17">
            <v>-796.521484375</v>
          </cell>
          <cell r="Q17">
            <v>-2389.564453125</v>
          </cell>
          <cell r="R17">
            <v>0</v>
          </cell>
          <cell r="T17">
            <v>0</v>
          </cell>
        </row>
        <row r="18">
          <cell r="D18">
            <v>37157</v>
          </cell>
          <cell r="F18">
            <v>0</v>
          </cell>
          <cell r="O18">
            <v>0</v>
          </cell>
          <cell r="P18">
            <v>-796.521484375</v>
          </cell>
          <cell r="Q18">
            <v>0</v>
          </cell>
          <cell r="R18">
            <v>-2389.564453125</v>
          </cell>
          <cell r="T18">
            <v>0</v>
          </cell>
        </row>
        <row r="19">
          <cell r="D19">
            <v>37158</v>
          </cell>
          <cell r="F19">
            <v>0</v>
          </cell>
          <cell r="O19">
            <v>15930.4296875</v>
          </cell>
          <cell r="P19">
            <v>-796.521484375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37159</v>
          </cell>
          <cell r="F20">
            <v>0</v>
          </cell>
          <cell r="O20">
            <v>15930.4296875</v>
          </cell>
          <cell r="P20">
            <v>-796.521484375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37160</v>
          </cell>
          <cell r="F21">
            <v>0</v>
          </cell>
          <cell r="O21">
            <v>15930.4296875</v>
          </cell>
          <cell r="P21">
            <v>-796.521484375</v>
          </cell>
          <cell r="Q21">
            <v>0</v>
          </cell>
          <cell r="R21">
            <v>0</v>
          </cell>
          <cell r="T21">
            <v>0</v>
          </cell>
        </row>
        <row r="22">
          <cell r="D22">
            <v>37161</v>
          </cell>
          <cell r="F22">
            <v>0</v>
          </cell>
          <cell r="O22">
            <v>15930.4296875</v>
          </cell>
          <cell r="P22">
            <v>-796.521484375</v>
          </cell>
          <cell r="Q22">
            <v>0</v>
          </cell>
          <cell r="R22">
            <v>0</v>
          </cell>
          <cell r="T22">
            <v>0</v>
          </cell>
        </row>
        <row r="23">
          <cell r="D23">
            <v>37162</v>
          </cell>
          <cell r="F23">
            <v>0</v>
          </cell>
          <cell r="O23">
            <v>15930.4296875</v>
          </cell>
          <cell r="P23">
            <v>-796.521484375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37163</v>
          </cell>
          <cell r="F24">
            <v>0</v>
          </cell>
          <cell r="O24">
            <v>0</v>
          </cell>
          <cell r="P24">
            <v>-796.521484375</v>
          </cell>
          <cell r="Q24">
            <v>-1593.04296875</v>
          </cell>
          <cell r="R24">
            <v>0</v>
          </cell>
          <cell r="T24">
            <v>0</v>
          </cell>
        </row>
        <row r="25">
          <cell r="D25">
            <v>37164</v>
          </cell>
          <cell r="F25">
            <v>0</v>
          </cell>
          <cell r="O25">
            <v>0</v>
          </cell>
          <cell r="P25">
            <v>-796.521484375</v>
          </cell>
          <cell r="Q25">
            <v>0</v>
          </cell>
          <cell r="R25">
            <v>-1593.04296875</v>
          </cell>
          <cell r="T25">
            <v>0</v>
          </cell>
        </row>
        <row r="26">
          <cell r="D26">
            <v>37165</v>
          </cell>
          <cell r="F26">
            <v>0</v>
          </cell>
          <cell r="O26">
            <v>6035.44287109375</v>
          </cell>
          <cell r="P26">
            <v>-794.13720703125</v>
          </cell>
          <cell r="Q26">
            <v>0</v>
          </cell>
          <cell r="R26">
            <v>0</v>
          </cell>
          <cell r="T26">
            <v>0</v>
          </cell>
        </row>
        <row r="27">
          <cell r="D27">
            <v>37166</v>
          </cell>
          <cell r="F27">
            <v>0</v>
          </cell>
          <cell r="O27">
            <v>6035.44287109375</v>
          </cell>
          <cell r="P27">
            <v>-794.13720703125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37167</v>
          </cell>
          <cell r="F28">
            <v>0</v>
          </cell>
          <cell r="O28">
            <v>6035.44287109375</v>
          </cell>
          <cell r="P28">
            <v>-794.13720703125</v>
          </cell>
          <cell r="Q28">
            <v>0</v>
          </cell>
          <cell r="R28">
            <v>0</v>
          </cell>
          <cell r="T28">
            <v>0</v>
          </cell>
        </row>
        <row r="29">
          <cell r="D29">
            <v>37168</v>
          </cell>
          <cell r="F29">
            <v>0</v>
          </cell>
          <cell r="O29">
            <v>6035.44287109375</v>
          </cell>
          <cell r="P29">
            <v>-794.13720703125</v>
          </cell>
          <cell r="Q29">
            <v>0</v>
          </cell>
          <cell r="R29">
            <v>0</v>
          </cell>
          <cell r="T29">
            <v>0</v>
          </cell>
        </row>
        <row r="30">
          <cell r="D30">
            <v>37169</v>
          </cell>
          <cell r="F30">
            <v>0</v>
          </cell>
          <cell r="O30">
            <v>6035.44287109375</v>
          </cell>
          <cell r="P30">
            <v>-794.13720703125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37170</v>
          </cell>
          <cell r="F31">
            <v>0</v>
          </cell>
          <cell r="O31">
            <v>0</v>
          </cell>
          <cell r="P31">
            <v>-794.13720703125</v>
          </cell>
          <cell r="Q31">
            <v>-1588.2744140625</v>
          </cell>
          <cell r="R31">
            <v>0</v>
          </cell>
          <cell r="T31">
            <v>0</v>
          </cell>
        </row>
        <row r="32">
          <cell r="D32">
            <v>37171</v>
          </cell>
          <cell r="F32">
            <v>0</v>
          </cell>
          <cell r="O32">
            <v>0</v>
          </cell>
          <cell r="P32">
            <v>-794.13720703125</v>
          </cell>
          <cell r="Q32">
            <v>0</v>
          </cell>
          <cell r="R32">
            <v>-1588.2744140625</v>
          </cell>
          <cell r="T32">
            <v>0</v>
          </cell>
        </row>
        <row r="33">
          <cell r="D33">
            <v>37172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37195</v>
          </cell>
          <cell r="E34">
            <v>24.549999237060547</v>
          </cell>
          <cell r="F34">
            <v>-9.9999237060544033E-2</v>
          </cell>
          <cell r="O34">
            <v>108637.97412109375</v>
          </cell>
          <cell r="P34">
            <v>-19158.55908203125</v>
          </cell>
          <cell r="Q34">
            <v>-4764.8232421875</v>
          </cell>
          <cell r="R34">
            <v>-4764.8232421875</v>
          </cell>
          <cell r="T34">
            <v>-10863.714527912502</v>
          </cell>
        </row>
        <row r="35">
          <cell r="D35">
            <v>37196</v>
          </cell>
          <cell r="E35">
            <v>25.049995422363281</v>
          </cell>
          <cell r="F35">
            <v>5.0000381469729405E-2</v>
          </cell>
          <cell r="O35">
            <v>143019.8125</v>
          </cell>
          <cell r="P35">
            <v>-24153.40234375</v>
          </cell>
          <cell r="Q35">
            <v>-6335.31884765625</v>
          </cell>
          <cell r="R35">
            <v>-7919.1484375</v>
          </cell>
          <cell r="T35">
            <v>7151.0451827291736</v>
          </cell>
        </row>
        <row r="36">
          <cell r="D36">
            <v>37226</v>
          </cell>
          <cell r="E36">
            <v>26.750001907348633</v>
          </cell>
          <cell r="F36">
            <v>-0.14999961853027344</v>
          </cell>
          <cell r="O36">
            <v>166609.9375</v>
          </cell>
          <cell r="P36">
            <v>-24873.048828125</v>
          </cell>
          <cell r="Q36">
            <v>-7896.20556640625</v>
          </cell>
          <cell r="R36">
            <v>-9475.4462890625</v>
          </cell>
          <cell r="T36">
            <v>-24991.427068352699</v>
          </cell>
        </row>
        <row r="37">
          <cell r="D37">
            <v>37257</v>
          </cell>
          <cell r="E37">
            <v>28.314668655395508</v>
          </cell>
          <cell r="F37">
            <v>-0.25000018165225057</v>
          </cell>
          <cell r="O37">
            <v>-422618.8125</v>
          </cell>
          <cell r="P37">
            <v>11809.392578125</v>
          </cell>
          <cell r="Q37">
            <v>3149.17138671875</v>
          </cell>
          <cell r="R37">
            <v>3936.46435546875</v>
          </cell>
          <cell r="T37">
            <v>105654.77989465842</v>
          </cell>
        </row>
        <row r="38">
          <cell r="D38">
            <v>37288</v>
          </cell>
          <cell r="E38">
            <v>27.966665267944336</v>
          </cell>
          <cell r="F38">
            <v>-0.25000018165225057</v>
          </cell>
          <cell r="O38">
            <v>-383171.78125</v>
          </cell>
          <cell r="P38">
            <v>10992.6328125</v>
          </cell>
          <cell r="Q38">
            <v>3140.752197265625</v>
          </cell>
          <cell r="R38">
            <v>3140.752197265625</v>
          </cell>
          <cell r="T38">
            <v>95793.014916516418</v>
          </cell>
        </row>
        <row r="39">
          <cell r="D39">
            <v>37316</v>
          </cell>
          <cell r="E39">
            <v>26.669771194458008</v>
          </cell>
          <cell r="F39">
            <v>-0.25000070971112009</v>
          </cell>
          <cell r="O39">
            <v>-55894.4921875</v>
          </cell>
          <cell r="P39">
            <v>12133.958984375</v>
          </cell>
          <cell r="Q39">
            <v>3914.18017578125</v>
          </cell>
          <cell r="R39">
            <v>3914.18017578125</v>
          </cell>
          <cell r="T39">
            <v>13973.662715817658</v>
          </cell>
        </row>
        <row r="40">
          <cell r="D40">
            <v>37347</v>
          </cell>
          <cell r="E40">
            <v>27.119768142700195</v>
          </cell>
          <cell r="F40">
            <v>-0.25000070971112009</v>
          </cell>
          <cell r="O40">
            <v>-58384.8203125</v>
          </cell>
          <cell r="P40">
            <v>11659.4013671875</v>
          </cell>
          <cell r="Q40">
            <v>3122.182861328125</v>
          </cell>
          <cell r="R40">
            <v>3122.182861328125</v>
          </cell>
          <cell r="T40">
            <v>14596.246514481221</v>
          </cell>
        </row>
        <row r="41">
          <cell r="D41">
            <v>37377</v>
          </cell>
          <cell r="E41">
            <v>30.599996566772461</v>
          </cell>
          <cell r="O41">
            <v>-143801.96875</v>
          </cell>
          <cell r="P41">
            <v>11672.23828125</v>
          </cell>
          <cell r="Q41">
            <v>3112.5966796875</v>
          </cell>
          <cell r="R41">
            <v>3890.745849609375</v>
          </cell>
          <cell r="T41">
            <v>0</v>
          </cell>
        </row>
        <row r="42">
          <cell r="D42">
            <v>37408</v>
          </cell>
          <cell r="E42">
            <v>40.375</v>
          </cell>
          <cell r="O42">
            <v>-62060.53515625</v>
          </cell>
          <cell r="P42">
            <v>11636.3505859375</v>
          </cell>
          <cell r="Q42">
            <v>3878.783447265625</v>
          </cell>
          <cell r="R42">
            <v>3878.783447265625</v>
          </cell>
          <cell r="T42">
            <v>23272.70068359375</v>
          </cell>
        </row>
        <row r="43">
          <cell r="D43">
            <v>37438</v>
          </cell>
          <cell r="E43">
            <v>54.125</v>
          </cell>
          <cell r="O43">
            <v>-289189.15625</v>
          </cell>
          <cell r="P43">
            <v>11598.49609375</v>
          </cell>
          <cell r="Q43">
            <v>3092.93212890625</v>
          </cell>
          <cell r="R43">
            <v>3866.165283203125</v>
          </cell>
          <cell r="T43">
            <v>144594.578125</v>
          </cell>
        </row>
        <row r="44">
          <cell r="D44">
            <v>37469</v>
          </cell>
          <cell r="E44">
            <v>54.125</v>
          </cell>
          <cell r="O44">
            <v>-288225.1875</v>
          </cell>
          <cell r="P44">
            <v>11945.1611328125</v>
          </cell>
          <cell r="Q44">
            <v>3853.278076171875</v>
          </cell>
          <cell r="R44">
            <v>3082.622314453125</v>
          </cell>
          <cell r="T44">
            <v>144112.59375</v>
          </cell>
        </row>
        <row r="45">
          <cell r="D45">
            <v>37500</v>
          </cell>
          <cell r="E45">
            <v>27.249994277954102</v>
          </cell>
          <cell r="O45">
            <v>92168.7890625</v>
          </cell>
          <cell r="P45">
            <v>11137.0625</v>
          </cell>
          <cell r="Q45">
            <v>3072.29296875</v>
          </cell>
          <cell r="R45">
            <v>4608.439453125</v>
          </cell>
          <cell r="T45">
            <v>0</v>
          </cell>
        </row>
        <row r="46">
          <cell r="D46">
            <v>37530</v>
          </cell>
          <cell r="E46">
            <v>28.256248474121094</v>
          </cell>
          <cell r="O46">
            <v>-176028.328125</v>
          </cell>
          <cell r="P46">
            <v>11910.6123046875</v>
          </cell>
          <cell r="Q46">
            <v>3061.3623046875</v>
          </cell>
          <cell r="R46">
            <v>3061.3623046875</v>
          </cell>
          <cell r="T46">
            <v>5.7706582825630903E-2</v>
          </cell>
        </row>
        <row r="47">
          <cell r="D47">
            <v>37561</v>
          </cell>
          <cell r="E47">
            <v>28.456247329711914</v>
          </cell>
          <cell r="O47">
            <v>-152526.265625</v>
          </cell>
          <cell r="P47">
            <v>11058.154296875</v>
          </cell>
          <cell r="Q47">
            <v>3813.156494140625</v>
          </cell>
          <cell r="R47">
            <v>3813.156494140625</v>
          </cell>
          <cell r="T47">
            <v>5.0002006348222494E-2</v>
          </cell>
        </row>
        <row r="48">
          <cell r="D48">
            <v>37591</v>
          </cell>
          <cell r="E48">
            <v>28.656248092651367</v>
          </cell>
          <cell r="O48">
            <v>-159545.34375</v>
          </cell>
          <cell r="P48">
            <v>11396.095703125</v>
          </cell>
          <cell r="Q48">
            <v>3038.958740234375</v>
          </cell>
          <cell r="R48">
            <v>4558.4384765625</v>
          </cell>
          <cell r="T48">
            <v>5.2303039468824863E-2</v>
          </cell>
        </row>
        <row r="49">
          <cell r="D49">
            <v>37622</v>
          </cell>
          <cell r="E49">
            <v>29.433710098266602</v>
          </cell>
          <cell r="O49">
            <v>-249736.484375</v>
          </cell>
          <cell r="P49">
            <v>-378.38861083984375</v>
          </cell>
          <cell r="Q49">
            <v>0</v>
          </cell>
          <cell r="R49">
            <v>0</v>
          </cell>
          <cell r="T49">
            <v>-4.5365194437374801E-2</v>
          </cell>
        </row>
        <row r="50">
          <cell r="D50">
            <v>37653</v>
          </cell>
          <cell r="E50">
            <v>28.835695266723633</v>
          </cell>
          <cell r="O50">
            <v>-226219.296875</v>
          </cell>
          <cell r="P50">
            <v>0</v>
          </cell>
          <cell r="Q50">
            <v>0</v>
          </cell>
          <cell r="R50">
            <v>0</v>
          </cell>
          <cell r="T50">
            <v>-4.1093244400808582E-2</v>
          </cell>
        </row>
        <row r="51">
          <cell r="D51">
            <v>37681</v>
          </cell>
          <cell r="E51">
            <v>27.847688674926758</v>
          </cell>
          <cell r="O51">
            <v>-189259.765625</v>
          </cell>
          <cell r="P51">
            <v>0</v>
          </cell>
          <cell r="Q51">
            <v>0</v>
          </cell>
          <cell r="R51">
            <v>0</v>
          </cell>
          <cell r="T51">
            <v>47315.025356099737</v>
          </cell>
        </row>
        <row r="52">
          <cell r="D52">
            <v>37712</v>
          </cell>
          <cell r="E52">
            <v>28.04768180847168</v>
          </cell>
          <cell r="O52">
            <v>-197487.5625</v>
          </cell>
          <cell r="P52">
            <v>0</v>
          </cell>
          <cell r="Q52">
            <v>0</v>
          </cell>
          <cell r="R52">
            <v>0</v>
          </cell>
          <cell r="T52">
            <v>49371.978224449056</v>
          </cell>
        </row>
        <row r="53">
          <cell r="D53">
            <v>37742</v>
          </cell>
          <cell r="E53">
            <v>29.749996185302734</v>
          </cell>
          <cell r="O53">
            <v>-187725.765625</v>
          </cell>
          <cell r="P53">
            <v>-372.47177124023438</v>
          </cell>
          <cell r="Q53">
            <v>0</v>
          </cell>
          <cell r="R53">
            <v>0</v>
          </cell>
          <cell r="T53">
            <v>0</v>
          </cell>
        </row>
        <row r="54">
          <cell r="D54">
            <v>37773</v>
          </cell>
          <cell r="E54">
            <v>39.375</v>
          </cell>
          <cell r="O54">
            <v>-186955.484375</v>
          </cell>
          <cell r="P54">
            <v>0</v>
          </cell>
          <cell r="Q54">
            <v>0</v>
          </cell>
          <cell r="R54">
            <v>0</v>
          </cell>
          <cell r="T54">
            <v>93477.7421875</v>
          </cell>
        </row>
        <row r="55">
          <cell r="D55">
            <v>37803</v>
          </cell>
          <cell r="E55">
            <v>49.375</v>
          </cell>
          <cell r="O55">
            <v>-292519.34375</v>
          </cell>
          <cell r="P55">
            <v>-369.34262084960938</v>
          </cell>
          <cell r="Q55">
            <v>0</v>
          </cell>
          <cell r="R55">
            <v>0</v>
          </cell>
          <cell r="T55">
            <v>146259.671875</v>
          </cell>
        </row>
        <row r="56">
          <cell r="D56">
            <v>37834</v>
          </cell>
          <cell r="E56">
            <v>49.375</v>
          </cell>
          <cell r="F56">
            <v>-0.5</v>
          </cell>
          <cell r="O56">
            <v>-277999.78125</v>
          </cell>
          <cell r="P56">
            <v>0</v>
          </cell>
          <cell r="Q56">
            <v>0</v>
          </cell>
          <cell r="R56">
            <v>0</v>
          </cell>
          <cell r="T56">
            <v>138999.890625</v>
          </cell>
        </row>
        <row r="57">
          <cell r="D57">
            <v>37865</v>
          </cell>
          <cell r="E57">
            <v>27.149995803833008</v>
          </cell>
          <cell r="F57">
            <v>0</v>
          </cell>
          <cell r="O57">
            <v>-153781.765625</v>
          </cell>
          <cell r="P57">
            <v>-366.14706420898438</v>
          </cell>
          <cell r="Q57">
            <v>0</v>
          </cell>
          <cell r="R57">
            <v>0</v>
          </cell>
          <cell r="T57">
            <v>0</v>
          </cell>
        </row>
        <row r="58">
          <cell r="D58">
            <v>37895</v>
          </cell>
          <cell r="E58">
            <v>28.771568298339844</v>
          </cell>
          <cell r="F58">
            <v>-0.36500132083892822</v>
          </cell>
          <cell r="O58">
            <v>-167670.328125</v>
          </cell>
          <cell r="P58">
            <v>0</v>
          </cell>
          <cell r="Q58">
            <v>0</v>
          </cell>
          <cell r="R58">
            <v>0</v>
          </cell>
          <cell r="T58">
            <v>61199.891231121495</v>
          </cell>
        </row>
        <row r="59">
          <cell r="D59">
            <v>37926</v>
          </cell>
          <cell r="E59">
            <v>28.871562957763672</v>
          </cell>
          <cell r="F59">
            <v>-0.36500132083892822</v>
          </cell>
          <cell r="O59">
            <v>-137899.078125</v>
          </cell>
          <cell r="P59">
            <v>-362.89230346679688</v>
          </cell>
          <cell r="Q59">
            <v>0</v>
          </cell>
          <cell r="R59">
            <v>0</v>
          </cell>
          <cell r="T59">
            <v>50333.345658095554</v>
          </cell>
        </row>
        <row r="60">
          <cell r="D60">
            <v>37956</v>
          </cell>
          <cell r="E60">
            <v>28.971563339233398</v>
          </cell>
          <cell r="F60">
            <v>-0.36500132083892822</v>
          </cell>
          <cell r="O60">
            <v>-158935.65625</v>
          </cell>
          <cell r="P60">
            <v>-361.2174072265625</v>
          </cell>
          <cell r="Q60">
            <v>0</v>
          </cell>
          <cell r="R60">
            <v>0</v>
          </cell>
          <cell r="T60">
            <v>58011.724459651858</v>
          </cell>
        </row>
        <row r="61">
          <cell r="D61">
            <v>37987</v>
          </cell>
          <cell r="E61">
            <v>30.408714294433594</v>
          </cell>
          <cell r="F61">
            <v>1.8165225057487078E-7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38018</v>
          </cell>
          <cell r="E62">
            <v>29.810710906982422</v>
          </cell>
          <cell r="F62">
            <v>1.8165225057487078E-7</v>
          </cell>
          <cell r="G62">
            <v>29.810711088634672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38047</v>
          </cell>
          <cell r="E63">
            <v>29.022680282592773</v>
          </cell>
          <cell r="F63">
            <v>-0.25000044356944784</v>
          </cell>
          <cell r="G63">
            <v>28.772679839023326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38078</v>
          </cell>
          <cell r="E64">
            <v>29.222673416137695</v>
          </cell>
          <cell r="F64">
            <v>-0.25000044356944784</v>
          </cell>
          <cell r="G64">
            <v>28.972672972568247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38108</v>
          </cell>
          <cell r="E65">
            <v>29.375</v>
          </cell>
          <cell r="F65">
            <v>0</v>
          </cell>
          <cell r="G65">
            <v>29.375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38139</v>
          </cell>
          <cell r="E66">
            <v>37.450004577636719</v>
          </cell>
          <cell r="F66">
            <v>-0.5</v>
          </cell>
          <cell r="G66">
            <v>36.950004577636719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38169</v>
          </cell>
          <cell r="E67">
            <v>48.024997711181641</v>
          </cell>
          <cell r="F67">
            <v>-0.5</v>
          </cell>
          <cell r="G67">
            <v>47.524997711181641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38200</v>
          </cell>
          <cell r="E68">
            <v>48.024997711181641</v>
          </cell>
          <cell r="F68">
            <v>-0.5</v>
          </cell>
          <cell r="G68">
            <v>47.524997711181641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38231</v>
          </cell>
          <cell r="E69">
            <v>27.82499885559082</v>
          </cell>
          <cell r="F69">
            <v>0</v>
          </cell>
          <cell r="G69">
            <v>27.82499885559082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38261</v>
          </cell>
          <cell r="E70">
            <v>28.946569442749023</v>
          </cell>
          <cell r="F70">
            <v>-0.36500132083892822</v>
          </cell>
          <cell r="G70">
            <v>28.581568121910095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38292</v>
          </cell>
          <cell r="E71">
            <v>29.146564483642578</v>
          </cell>
          <cell r="F71">
            <v>-0.36500132083892822</v>
          </cell>
          <cell r="G71">
            <v>28.78156316280365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38322</v>
          </cell>
          <cell r="E72">
            <v>29.996564865112305</v>
          </cell>
          <cell r="F72">
            <v>-0.36500132083892822</v>
          </cell>
          <cell r="G72">
            <v>29.631563544273376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G73">
            <v>30.718717756725493</v>
          </cell>
          <cell r="O73">
            <v>-14260.447265625</v>
          </cell>
          <cell r="P73">
            <v>0</v>
          </cell>
          <cell r="Q73">
            <v>0</v>
          </cell>
          <cell r="R73">
            <v>0</v>
          </cell>
          <cell r="T73">
            <v>-2.5904423400050433E-3</v>
          </cell>
        </row>
        <row r="74">
          <cell r="G74">
            <v>30.64071291968936</v>
          </cell>
          <cell r="O74">
            <v>-13519.8544921875</v>
          </cell>
          <cell r="P74">
            <v>0</v>
          </cell>
          <cell r="Q74">
            <v>0</v>
          </cell>
          <cell r="R74">
            <v>0</v>
          </cell>
          <cell r="T74">
            <v>-2.4559119959506361E-3</v>
          </cell>
        </row>
        <row r="75">
          <cell r="G75">
            <v>29.602677855380747</v>
          </cell>
          <cell r="O75">
            <v>-15470.18359375</v>
          </cell>
          <cell r="P75">
            <v>0</v>
          </cell>
          <cell r="Q75">
            <v>0</v>
          </cell>
          <cell r="R75">
            <v>0</v>
          </cell>
          <cell r="T75">
            <v>3867.5527605382945</v>
          </cell>
        </row>
        <row r="76">
          <cell r="G76">
            <v>29.802678618320201</v>
          </cell>
          <cell r="O76">
            <v>-14056.44140625</v>
          </cell>
          <cell r="P76">
            <v>0</v>
          </cell>
          <cell r="Q76">
            <v>0</v>
          </cell>
          <cell r="R76">
            <v>0</v>
          </cell>
          <cell r="T76">
            <v>3514.1165865704534</v>
          </cell>
        </row>
        <row r="77">
          <cell r="G77">
            <v>30.205001831054688</v>
          </cell>
          <cell r="O77">
            <v>-13985.68359375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G78">
            <v>37.430000305175781</v>
          </cell>
          <cell r="O78">
            <v>-14580.1669921875</v>
          </cell>
          <cell r="P78">
            <v>0</v>
          </cell>
          <cell r="Q78">
            <v>0</v>
          </cell>
          <cell r="R78">
            <v>0</v>
          </cell>
          <cell r="T78">
            <v>7290.08349609375</v>
          </cell>
        </row>
        <row r="79">
          <cell r="G79">
            <v>47.435001373291016</v>
          </cell>
          <cell r="O79">
            <v>-13187.482421875</v>
          </cell>
          <cell r="P79">
            <v>0</v>
          </cell>
          <cell r="Q79">
            <v>0</v>
          </cell>
          <cell r="R79">
            <v>0</v>
          </cell>
          <cell r="T79">
            <v>6593.7412109375</v>
          </cell>
        </row>
        <row r="80">
          <cell r="G80">
            <v>47.435001373291016</v>
          </cell>
          <cell r="O80">
            <v>-15089.1669921875</v>
          </cell>
          <cell r="P80">
            <v>0</v>
          </cell>
          <cell r="Q80">
            <v>0</v>
          </cell>
          <cell r="R80">
            <v>0</v>
          </cell>
          <cell r="T80">
            <v>7544.58349609375</v>
          </cell>
        </row>
        <row r="81">
          <cell r="G81">
            <v>28.334995269775391</v>
          </cell>
          <cell r="O81">
            <v>-13710.8564453125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G82">
            <v>29.661571860313416</v>
          </cell>
          <cell r="O82">
            <v>-13642.8623046875</v>
          </cell>
          <cell r="P82">
            <v>0</v>
          </cell>
          <cell r="Q82">
            <v>0</v>
          </cell>
          <cell r="R82">
            <v>0</v>
          </cell>
          <cell r="T82">
            <v>4979.6627612345619</v>
          </cell>
        </row>
        <row r="83">
          <cell r="G83">
            <v>29.861564993858337</v>
          </cell>
          <cell r="O83">
            <v>-13576.9736328125</v>
          </cell>
          <cell r="P83">
            <v>0</v>
          </cell>
          <cell r="Q83">
            <v>0</v>
          </cell>
          <cell r="R83">
            <v>0</v>
          </cell>
          <cell r="T83">
            <v>4955.6133089718642</v>
          </cell>
        </row>
        <row r="84">
          <cell r="G84">
            <v>30.71156919002533</v>
          </cell>
          <cell r="O84">
            <v>-13508.802734375</v>
          </cell>
          <cell r="P84">
            <v>0</v>
          </cell>
          <cell r="Q84">
            <v>0</v>
          </cell>
          <cell r="R84">
            <v>0</v>
          </cell>
          <cell r="T84">
            <v>4930.7308409994002</v>
          </cell>
        </row>
        <row r="85">
          <cell r="G85">
            <v>31.038711729503813</v>
          </cell>
          <cell r="O85">
            <v>-75823.015625</v>
          </cell>
          <cell r="P85">
            <v>-14891.1728515625</v>
          </cell>
          <cell r="Q85">
            <v>-3842.883544921875</v>
          </cell>
          <cell r="R85">
            <v>-5764.3251953125</v>
          </cell>
          <cell r="T85">
            <v>-1.3773421433654842E-2</v>
          </cell>
        </row>
        <row r="86">
          <cell r="G86">
            <v>30.480709257579985</v>
          </cell>
          <cell r="O86">
            <v>-71880.90625</v>
          </cell>
          <cell r="P86">
            <v>-13030.8525390625</v>
          </cell>
          <cell r="Q86">
            <v>-3723.1005859375</v>
          </cell>
          <cell r="R86">
            <v>-3723.1005859375</v>
          </cell>
          <cell r="T86">
            <v>-1.3057328393673795E-2</v>
          </cell>
        </row>
        <row r="87">
          <cell r="G87">
            <v>29.442679915317271</v>
          </cell>
          <cell r="O87">
            <v>-83409.3125</v>
          </cell>
          <cell r="P87">
            <v>-14747.138671875</v>
          </cell>
          <cell r="Q87">
            <v>-3805.713134765625</v>
          </cell>
          <cell r="R87">
            <v>-3805.713134765625</v>
          </cell>
          <cell r="T87">
            <v>20852.365122822692</v>
          </cell>
        </row>
        <row r="88">
          <cell r="G88">
            <v>29.642680678256724</v>
          </cell>
          <cell r="O88">
            <v>-71919.0234375</v>
          </cell>
          <cell r="P88">
            <v>-13972.92578125</v>
          </cell>
          <cell r="Q88">
            <v>-4670.78125</v>
          </cell>
          <cell r="R88">
            <v>-4670.78125</v>
          </cell>
          <cell r="T88">
            <v>17979.787760456515</v>
          </cell>
        </row>
        <row r="89">
          <cell r="G89">
            <v>30.544990539550781</v>
          </cell>
          <cell r="O89">
            <v>-76208.5078125</v>
          </cell>
          <cell r="P89">
            <v>-12648.7060546875</v>
          </cell>
          <cell r="Q89">
            <v>-3264.182373046875</v>
          </cell>
          <cell r="R89">
            <v>-4080.22802734375</v>
          </cell>
          <cell r="T89">
            <v>0</v>
          </cell>
        </row>
        <row r="90">
          <cell r="G90">
            <v>37.680007934570313</v>
          </cell>
          <cell r="O90">
            <v>-74445.3828125</v>
          </cell>
          <cell r="P90">
            <v>-11614.85546875</v>
          </cell>
          <cell r="Q90">
            <v>-3097.294921875</v>
          </cell>
          <cell r="R90">
            <v>-3097.294921875</v>
          </cell>
          <cell r="T90">
            <v>37222.69140625</v>
          </cell>
        </row>
        <row r="91">
          <cell r="G91">
            <v>49.344997406005859</v>
          </cell>
          <cell r="O91">
            <v>-65334.41796875</v>
          </cell>
          <cell r="P91">
            <v>-11361.583984375</v>
          </cell>
          <cell r="Q91">
            <v>-3665.02685546875</v>
          </cell>
          <cell r="R91">
            <v>-4398.0322265625</v>
          </cell>
          <cell r="T91">
            <v>32667.208984375</v>
          </cell>
        </row>
        <row r="92">
          <cell r="G92">
            <v>49.344997406005859</v>
          </cell>
          <cell r="O92">
            <v>-74461.859375</v>
          </cell>
          <cell r="P92">
            <v>-11302.64453125</v>
          </cell>
          <cell r="Q92">
            <v>-2916.8115234375</v>
          </cell>
          <cell r="R92">
            <v>-2916.8115234375</v>
          </cell>
          <cell r="T92">
            <v>37230.9296875</v>
          </cell>
        </row>
        <row r="93">
          <cell r="G93">
            <v>28.084995269775391</v>
          </cell>
          <cell r="O93">
            <v>-68377.6171875</v>
          </cell>
          <cell r="P93">
            <v>-11994.2236328125</v>
          </cell>
          <cell r="Q93">
            <v>-3998.074462890625</v>
          </cell>
          <cell r="R93">
            <v>-3998.074462890625</v>
          </cell>
          <cell r="T93">
            <v>0</v>
          </cell>
        </row>
        <row r="94">
          <cell r="G94">
            <v>29.501570105552673</v>
          </cell>
          <cell r="O94">
            <v>-75105.4375</v>
          </cell>
          <cell r="P94">
            <v>-12559.4775390625</v>
          </cell>
          <cell r="Q94">
            <v>-3231.289794921875</v>
          </cell>
          <cell r="R94">
            <v>-4039.1123046875</v>
          </cell>
          <cell r="T94">
            <v>27413.583889685571</v>
          </cell>
        </row>
        <row r="95">
          <cell r="G95">
            <v>29.701557517051697</v>
          </cell>
          <cell r="O95">
            <v>-71597.15625</v>
          </cell>
          <cell r="P95">
            <v>-13522.0390625</v>
          </cell>
          <cell r="Q95">
            <v>-3605.877197265625</v>
          </cell>
          <cell r="R95">
            <v>-4507.3466796875</v>
          </cell>
          <cell r="T95">
            <v>26133.056599561125</v>
          </cell>
        </row>
        <row r="96">
          <cell r="G96">
            <v>30.551563620567322</v>
          </cell>
          <cell r="O96">
            <v>-67597.8515625</v>
          </cell>
          <cell r="P96">
            <v>-13713.052734375</v>
          </cell>
          <cell r="Q96">
            <v>-4423.56591796875</v>
          </cell>
          <cell r="R96">
            <v>-5308.27880859375</v>
          </cell>
          <cell r="T96">
            <v>24673.305106186308</v>
          </cell>
        </row>
        <row r="97">
          <cell r="G97">
            <v>31.108711424328032</v>
          </cell>
          <cell r="O97">
            <v>-61521.86328125</v>
          </cell>
          <cell r="P97">
            <v>-14018.2548828125</v>
          </cell>
          <cell r="Q97">
            <v>-3617.6142578125</v>
          </cell>
          <cell r="R97">
            <v>-4522.01806640625</v>
          </cell>
          <cell r="T97">
            <v>-1.1175584924598567E-2</v>
          </cell>
        </row>
        <row r="98">
          <cell r="G98">
            <v>30.550712767101469</v>
          </cell>
          <cell r="O98">
            <v>-55670.41015625</v>
          </cell>
          <cell r="P98">
            <v>-12266.5703125</v>
          </cell>
          <cell r="Q98">
            <v>-3504.734375</v>
          </cell>
          <cell r="R98">
            <v>-3504.734375</v>
          </cell>
          <cell r="T98">
            <v>-1.0112655295308956E-2</v>
          </cell>
        </row>
        <row r="99">
          <cell r="G99">
            <v>29.512677702792857</v>
          </cell>
          <cell r="O99">
            <v>-61976.75</v>
          </cell>
          <cell r="P99">
            <v>-13882.578125</v>
          </cell>
          <cell r="Q99">
            <v>-4478.25048828125</v>
          </cell>
          <cell r="R99">
            <v>-3582.6005859375</v>
          </cell>
          <cell r="T99">
            <v>15494.214990992776</v>
          </cell>
        </row>
        <row r="100">
          <cell r="G100">
            <v>29.712674651035044</v>
          </cell>
          <cell r="O100">
            <v>-58612.84375</v>
          </cell>
          <cell r="P100">
            <v>-13151.359375</v>
          </cell>
          <cell r="Q100">
            <v>-3516.923583984375</v>
          </cell>
          <cell r="R100">
            <v>-4396.154296875</v>
          </cell>
          <cell r="T100">
            <v>14653.236936366739</v>
          </cell>
        </row>
        <row r="101">
          <cell r="G101">
            <v>31.115001678466797</v>
          </cell>
          <cell r="O101">
            <v>-58741.99609375</v>
          </cell>
          <cell r="P101">
            <v>-11906.177734375</v>
          </cell>
          <cell r="Q101">
            <v>-3072.56201171875</v>
          </cell>
          <cell r="R101">
            <v>-3840.702392578125</v>
          </cell>
          <cell r="T101">
            <v>0</v>
          </cell>
        </row>
        <row r="102">
          <cell r="G102">
            <v>38.220005035400391</v>
          </cell>
          <cell r="O102">
            <v>-54551.12890625</v>
          </cell>
          <cell r="P102">
            <v>-10933.380859375</v>
          </cell>
          <cell r="Q102">
            <v>-3644.46044921875</v>
          </cell>
          <cell r="R102">
            <v>-2915.568359375</v>
          </cell>
          <cell r="T102">
            <v>27275.564453125</v>
          </cell>
        </row>
        <row r="103">
          <cell r="G103">
            <v>50.295001983642578</v>
          </cell>
          <cell r="O103">
            <v>-52299.4921875</v>
          </cell>
          <cell r="P103">
            <v>-10694.728515625</v>
          </cell>
          <cell r="Q103">
            <v>-2759.929931640625</v>
          </cell>
          <cell r="R103">
            <v>-4139.89501953125</v>
          </cell>
          <cell r="T103">
            <v>26149.74609375</v>
          </cell>
        </row>
        <row r="104">
          <cell r="G104">
            <v>50.295001983642578</v>
          </cell>
          <cell r="O104">
            <v>-56710.140625</v>
          </cell>
          <cell r="P104">
            <v>-10637.7939453125</v>
          </cell>
          <cell r="Q104">
            <v>-2745.2373046875</v>
          </cell>
          <cell r="R104">
            <v>-2745.2373046875</v>
          </cell>
          <cell r="T104">
            <v>28355.0703125</v>
          </cell>
        </row>
        <row r="105">
          <cell r="G105">
            <v>28.064994812011719</v>
          </cell>
          <cell r="O105">
            <v>-50137.17578125</v>
          </cell>
          <cell r="P105">
            <v>-11287.45703125</v>
          </cell>
          <cell r="Q105">
            <v>-3762.48583984375</v>
          </cell>
          <cell r="R105">
            <v>-4514.98291015625</v>
          </cell>
          <cell r="T105">
            <v>0</v>
          </cell>
        </row>
        <row r="106">
          <cell r="G106">
            <v>29.571569800376892</v>
          </cell>
          <cell r="O106">
            <v>-60634.08984375</v>
          </cell>
          <cell r="P106">
            <v>-11815.8564453125</v>
          </cell>
          <cell r="Q106">
            <v>-3039.971923828125</v>
          </cell>
          <cell r="R106">
            <v>-3039.971923828125</v>
          </cell>
          <cell r="T106">
            <v>22131.522880834993</v>
          </cell>
        </row>
        <row r="107">
          <cell r="G107">
            <v>29.771562933921814</v>
          </cell>
          <cell r="O107">
            <v>-55317.96875</v>
          </cell>
          <cell r="P107">
            <v>-12718.341796875</v>
          </cell>
          <cell r="Q107">
            <v>-3391.5576171875</v>
          </cell>
          <cell r="R107">
            <v>-4239.447265625</v>
          </cell>
          <cell r="T107">
            <v>20191.131659876555</v>
          </cell>
        </row>
        <row r="108">
          <cell r="G108">
            <v>30.621569037437439</v>
          </cell>
          <cell r="O108">
            <v>-52173.40234375</v>
          </cell>
          <cell r="P108">
            <v>-12894.603515625</v>
          </cell>
          <cell r="Q108">
            <v>-4159.54931640625</v>
          </cell>
          <cell r="R108">
            <v>-4991.458984375</v>
          </cell>
          <cell r="T108">
            <v>19043.360768129583</v>
          </cell>
        </row>
        <row r="109">
          <cell r="G109">
            <v>31.218717756725493</v>
          </cell>
          <cell r="O109">
            <v>-32913.3046875</v>
          </cell>
          <cell r="P109">
            <v>-13178.224609375</v>
          </cell>
          <cell r="Q109">
            <v>-3400.83203125</v>
          </cell>
          <cell r="R109">
            <v>-4251.0400390625</v>
          </cell>
          <cell r="T109">
            <v>-5.9787758703408189E-3</v>
          </cell>
        </row>
        <row r="110">
          <cell r="G110">
            <v>30.780712309337797</v>
          </cell>
          <cell r="O110">
            <v>-31259.24609375</v>
          </cell>
          <cell r="P110">
            <v>-11938.439453125</v>
          </cell>
          <cell r="Q110">
            <v>-3293.36279296875</v>
          </cell>
          <cell r="R110">
            <v>-3293.36279296875</v>
          </cell>
          <cell r="T110">
            <v>-5.6783124042034255E-3</v>
          </cell>
        </row>
        <row r="111">
          <cell r="G111">
            <v>29.742677245029185</v>
          </cell>
          <cell r="O111">
            <v>-32034.330078125</v>
          </cell>
          <cell r="P111">
            <v>-13041.2177734375</v>
          </cell>
          <cell r="Q111">
            <v>-4206.8447265625</v>
          </cell>
          <cell r="R111">
            <v>-4206.8447265625</v>
          </cell>
          <cell r="T111">
            <v>8008.5967289813543</v>
          </cell>
        </row>
        <row r="112">
          <cell r="G112">
            <v>29.942678007968638</v>
          </cell>
          <cell r="O112">
            <v>-33137.9296875</v>
          </cell>
          <cell r="P112">
            <v>-12351.8759765625</v>
          </cell>
          <cell r="Q112">
            <v>-3303.1259765625</v>
          </cell>
          <cell r="R112">
            <v>-3303.1259765625</v>
          </cell>
          <cell r="T112">
            <v>8284.4971208481747</v>
          </cell>
        </row>
        <row r="113">
          <cell r="G113">
            <v>31.844993591308594</v>
          </cell>
          <cell r="O113">
            <v>-29359.8125</v>
          </cell>
          <cell r="P113">
            <v>-11179.81640625</v>
          </cell>
          <cell r="Q113">
            <v>-3606.392333984375</v>
          </cell>
          <cell r="R113">
            <v>-3606.392333984375</v>
          </cell>
          <cell r="T113">
            <v>0</v>
          </cell>
        </row>
        <row r="114">
          <cell r="G114">
            <v>38.569999694824219</v>
          </cell>
          <cell r="O114">
            <v>-28041.716796875</v>
          </cell>
          <cell r="P114">
            <v>-10263.638671875</v>
          </cell>
          <cell r="Q114">
            <v>-2736.97021484375</v>
          </cell>
          <cell r="R114">
            <v>-3421.212646484375</v>
          </cell>
          <cell r="T114">
            <v>14020.8583984375</v>
          </cell>
        </row>
        <row r="115">
          <cell r="G115">
            <v>51.685001373291016</v>
          </cell>
          <cell r="O115">
            <v>-27281.4765625</v>
          </cell>
          <cell r="P115">
            <v>-10036.6328125</v>
          </cell>
          <cell r="Q115">
            <v>-2590.09912109375</v>
          </cell>
          <cell r="R115">
            <v>-3237.623779296875</v>
          </cell>
          <cell r="T115">
            <v>13640.73828125</v>
          </cell>
        </row>
        <row r="116">
          <cell r="G116">
            <v>51.685001373291016</v>
          </cell>
          <cell r="O116">
            <v>-25671.9765625</v>
          </cell>
          <cell r="P116">
            <v>-9982.6494140625</v>
          </cell>
          <cell r="Q116">
            <v>-3220.209228515625</v>
          </cell>
          <cell r="R116">
            <v>-3220.209228515625</v>
          </cell>
          <cell r="T116">
            <v>12835.98828125</v>
          </cell>
        </row>
        <row r="117">
          <cell r="G117">
            <v>28.084995269775391</v>
          </cell>
          <cell r="O117">
            <v>-22801.759765625</v>
          </cell>
          <cell r="P117">
            <v>-8143.48583984375</v>
          </cell>
          <cell r="Q117">
            <v>-2171.59619140625</v>
          </cell>
          <cell r="R117">
            <v>-2714.495361328125</v>
          </cell>
          <cell r="T117">
            <v>0</v>
          </cell>
        </row>
        <row r="118">
          <cell r="G118">
            <v>29.801573157310486</v>
          </cell>
          <cell r="O118">
            <v>-24845.04296875</v>
          </cell>
          <cell r="P118">
            <v>-8405.4560546875</v>
          </cell>
          <cell r="Q118">
            <v>-2160.4384765625</v>
          </cell>
          <cell r="R118">
            <v>-2160.4384765625</v>
          </cell>
          <cell r="T118">
            <v>9068.4734998936765</v>
          </cell>
        </row>
        <row r="119">
          <cell r="G119">
            <v>30.001566290855408</v>
          </cell>
          <cell r="O119">
            <v>-20421.861328125</v>
          </cell>
          <cell r="P119">
            <v>-8061.2607421875</v>
          </cell>
          <cell r="Q119">
            <v>-2687.0869140625</v>
          </cell>
          <cell r="R119">
            <v>-3224.50439453125</v>
          </cell>
          <cell r="T119">
            <v>7454.006358755054</v>
          </cell>
        </row>
        <row r="120">
          <cell r="G120">
            <v>30.851564764976501</v>
          </cell>
          <cell r="O120">
            <v>-23524.291015625</v>
          </cell>
          <cell r="P120">
            <v>-8286.9658203125</v>
          </cell>
          <cell r="Q120">
            <v>-2138.572021484375</v>
          </cell>
          <cell r="R120">
            <v>-2673.21484375</v>
          </cell>
          <cell r="T120">
            <v>8586.3972925024573</v>
          </cell>
        </row>
        <row r="121">
          <cell r="G121">
            <v>31.528717222667876</v>
          </cell>
          <cell r="O121">
            <v>-33508.203125</v>
          </cell>
          <cell r="P121">
            <v>-8244.08203125</v>
          </cell>
          <cell r="Q121">
            <v>-2659.38134765625</v>
          </cell>
          <cell r="R121">
            <v>-2659.38134765625</v>
          </cell>
          <cell r="T121">
            <v>-6.086840510376168E-3</v>
          </cell>
        </row>
        <row r="122">
          <cell r="G122">
            <v>31.050712767101469</v>
          </cell>
          <cell r="O122">
            <v>-31763.03515625</v>
          </cell>
          <cell r="P122">
            <v>-7411.37451171875</v>
          </cell>
          <cell r="Q122">
            <v>-2117.53564453125</v>
          </cell>
          <cell r="R122">
            <v>-2117.53564453125</v>
          </cell>
          <cell r="T122">
            <v>-5.7698268212215548E-3</v>
          </cell>
        </row>
        <row r="123">
          <cell r="G123">
            <v>30.01267961014149</v>
          </cell>
          <cell r="O123">
            <v>-34757.703125</v>
          </cell>
          <cell r="P123">
            <v>-8162.7939453125</v>
          </cell>
          <cell r="Q123">
            <v>-2106.527587890625</v>
          </cell>
          <cell r="R123">
            <v>-2633.159423828125</v>
          </cell>
          <cell r="T123">
            <v>8689.4411987051826</v>
          </cell>
        </row>
        <row r="124">
          <cell r="G124">
            <v>30.212680373080943</v>
          </cell>
          <cell r="O124">
            <v>-34582.41796875</v>
          </cell>
          <cell r="P124">
            <v>-7826.8916015625</v>
          </cell>
          <cell r="Q124">
            <v>-2095.904052734375</v>
          </cell>
          <cell r="R124">
            <v>-2095.904052734375</v>
          </cell>
          <cell r="T124">
            <v>8645.6198318915431</v>
          </cell>
        </row>
        <row r="125">
          <cell r="G125">
            <v>32.614990234375</v>
          </cell>
          <cell r="O125">
            <v>-31274.359375</v>
          </cell>
          <cell r="P125">
            <v>-8079.2099609375</v>
          </cell>
          <cell r="Q125">
            <v>-2606.196533203125</v>
          </cell>
          <cell r="R125">
            <v>-3127.43603515625</v>
          </cell>
          <cell r="T125">
            <v>0</v>
          </cell>
        </row>
        <row r="126">
          <cell r="G126">
            <v>39.989994049072266</v>
          </cell>
          <cell r="O126">
            <v>-34227.4921875</v>
          </cell>
          <cell r="P126">
            <v>-7778.974609375</v>
          </cell>
          <cell r="Q126">
            <v>-2074.393310546875</v>
          </cell>
          <cell r="R126">
            <v>-2074.393310546875</v>
          </cell>
          <cell r="T126">
            <v>17113.74609375</v>
          </cell>
        </row>
        <row r="127">
          <cell r="G127">
            <v>53.18499755859375</v>
          </cell>
          <cell r="O127">
            <v>-35595.515625</v>
          </cell>
          <cell r="P127">
            <v>-7996.09423828125</v>
          </cell>
          <cell r="Q127">
            <v>-1547.6312255859375</v>
          </cell>
          <cell r="R127">
            <v>-2579.38525390625</v>
          </cell>
          <cell r="T127">
            <v>17797.7578125</v>
          </cell>
        </row>
        <row r="128">
          <cell r="G128">
            <v>53.18499755859375</v>
          </cell>
          <cell r="O128">
            <v>-32329.310546875</v>
          </cell>
          <cell r="P128">
            <v>-7954.037109375</v>
          </cell>
          <cell r="Q128">
            <v>-2565.818359375</v>
          </cell>
          <cell r="R128">
            <v>-2565.818359375</v>
          </cell>
          <cell r="T128">
            <v>16164.6552734375</v>
          </cell>
        </row>
        <row r="129">
          <cell r="G129">
            <v>28.184995651245117</v>
          </cell>
          <cell r="O129">
            <v>-32164.35546875</v>
          </cell>
          <cell r="P129">
            <v>-7658.18017578125</v>
          </cell>
          <cell r="Q129">
            <v>-2042.1812744140625</v>
          </cell>
          <cell r="R129">
            <v>-2552.7265625</v>
          </cell>
          <cell r="T129">
            <v>0</v>
          </cell>
        </row>
        <row r="130">
          <cell r="G130">
            <v>30.071569800376892</v>
          </cell>
          <cell r="O130">
            <v>-33517.93359375</v>
          </cell>
          <cell r="P130">
            <v>-7903.376953125</v>
          </cell>
          <cell r="Q130">
            <v>-2539.2373046875</v>
          </cell>
          <cell r="R130">
            <v>-2031.389892578125</v>
          </cell>
          <cell r="T130">
            <v>12234.090033510234</v>
          </cell>
        </row>
        <row r="131">
          <cell r="G131">
            <v>30.271562933921814</v>
          </cell>
          <cell r="O131">
            <v>-30314.65625</v>
          </cell>
          <cell r="P131">
            <v>-7578.66357421875</v>
          </cell>
          <cell r="Q131">
            <v>-2020.97705078125</v>
          </cell>
          <cell r="R131">
            <v>-3031.465576171875</v>
          </cell>
          <cell r="T131">
            <v>11064.889572028071</v>
          </cell>
        </row>
        <row r="132">
          <cell r="G132">
            <v>31.121563315391541</v>
          </cell>
          <cell r="O132">
            <v>-33169.09765625</v>
          </cell>
          <cell r="P132">
            <v>-7789.71240234375</v>
          </cell>
          <cell r="Q132">
            <v>-2010.2484130859375</v>
          </cell>
          <cell r="R132">
            <v>-2512.810546875</v>
          </cell>
          <cell r="T132">
            <v>12106.764455566648</v>
          </cell>
        </row>
        <row r="133">
          <cell r="G133">
            <v>31.868713560558501</v>
          </cell>
          <cell r="O133">
            <v>-19995.51953125</v>
          </cell>
          <cell r="P133">
            <v>-7748.26318359375</v>
          </cell>
          <cell r="Q133">
            <v>-2499.43994140625</v>
          </cell>
          <cell r="R133">
            <v>-2999.327880859375</v>
          </cell>
          <cell r="T133">
            <v>-3.6322311242653477E-3</v>
          </cell>
        </row>
        <row r="134">
          <cell r="G134">
            <v>31.510711851574126</v>
          </cell>
          <cell r="O134">
            <v>-19899.1796875</v>
          </cell>
          <cell r="P134">
            <v>-6964.712890625</v>
          </cell>
          <cell r="Q134">
            <v>-1989.9180908203125</v>
          </cell>
          <cell r="R134">
            <v>-1989.9180908203125</v>
          </cell>
          <cell r="T134">
            <v>-3.6147307748281288E-3</v>
          </cell>
        </row>
        <row r="135">
          <cell r="G135">
            <v>30.472676787265513</v>
          </cell>
          <cell r="O135">
            <v>-22761.75</v>
          </cell>
          <cell r="P135">
            <v>-7669.72021484375</v>
          </cell>
          <cell r="Q135">
            <v>-1979.28271484375</v>
          </cell>
          <cell r="R135">
            <v>-1979.28271484375</v>
          </cell>
          <cell r="T135">
            <v>5690.4475964168796</v>
          </cell>
        </row>
        <row r="136">
          <cell r="G136">
            <v>30.672677550204966</v>
          </cell>
          <cell r="O136">
            <v>-21659.232421875</v>
          </cell>
          <cell r="P136">
            <v>-7353.06298828125</v>
          </cell>
          <cell r="Q136">
            <v>-1969.0211181640625</v>
          </cell>
          <cell r="R136">
            <v>-1969.0211181640625</v>
          </cell>
          <cell r="T136">
            <v>5414.8177128425159</v>
          </cell>
        </row>
        <row r="137">
          <cell r="G137">
            <v>33.574996948242188</v>
          </cell>
          <cell r="O137">
            <v>-19584.494140625</v>
          </cell>
          <cell r="P137">
            <v>-7588.9912109375</v>
          </cell>
          <cell r="Q137">
            <v>-2448.061767578125</v>
          </cell>
          <cell r="R137">
            <v>-2937.674072265625</v>
          </cell>
          <cell r="T137">
            <v>0</v>
          </cell>
        </row>
        <row r="138">
          <cell r="G138">
            <v>42.120002746582031</v>
          </cell>
          <cell r="O138">
            <v>-21430.74609375</v>
          </cell>
          <cell r="P138">
            <v>-7305.93603515625</v>
          </cell>
          <cell r="Q138">
            <v>-1948.2496337890625</v>
          </cell>
          <cell r="R138">
            <v>-1948.2496337890625</v>
          </cell>
          <cell r="T138">
            <v>10715.373046875</v>
          </cell>
        </row>
        <row r="139">
          <cell r="G139">
            <v>55.274997711181641</v>
          </cell>
          <cell r="O139">
            <v>-20346.2890625</v>
          </cell>
          <cell r="P139">
            <v>-7508.74951171875</v>
          </cell>
          <cell r="Q139">
            <v>-2422.17724609375</v>
          </cell>
          <cell r="R139">
            <v>-2422.17724609375</v>
          </cell>
          <cell r="T139">
            <v>10173.14453125</v>
          </cell>
        </row>
        <row r="140">
          <cell r="G140">
            <v>55.274997711181641</v>
          </cell>
          <cell r="O140">
            <v>-21199.93359375</v>
          </cell>
          <cell r="P140">
            <v>-7468.1591796875</v>
          </cell>
          <cell r="Q140">
            <v>-1927.2667236328125</v>
          </cell>
          <cell r="R140">
            <v>-2409.08349609375</v>
          </cell>
          <cell r="T140">
            <v>10599.966796875</v>
          </cell>
        </row>
        <row r="141">
          <cell r="G141">
            <v>28.354997634887695</v>
          </cell>
          <cell r="O141">
            <v>-20130.1875</v>
          </cell>
          <cell r="P141">
            <v>-7189.35302734375</v>
          </cell>
          <cell r="Q141">
            <v>-1917.16064453125</v>
          </cell>
          <cell r="R141">
            <v>-2396.450927734375</v>
          </cell>
          <cell r="T141">
            <v>0</v>
          </cell>
        </row>
        <row r="142">
          <cell r="G142">
            <v>30.531566977500916</v>
          </cell>
          <cell r="O142">
            <v>-20020.875</v>
          </cell>
          <cell r="P142">
            <v>-7418.44921875</v>
          </cell>
          <cell r="Q142">
            <v>-2383.4375</v>
          </cell>
          <cell r="R142">
            <v>-2383.4375</v>
          </cell>
          <cell r="T142">
            <v>7307.6458193510771</v>
          </cell>
        </row>
        <row r="143">
          <cell r="G143">
            <v>30.731560111045837</v>
          </cell>
          <cell r="O143">
            <v>-19915.419921875</v>
          </cell>
          <cell r="P143">
            <v>-7112.64990234375</v>
          </cell>
          <cell r="Q143">
            <v>-1896.7066650390625</v>
          </cell>
          <cell r="R143">
            <v>-2370.88330078125</v>
          </cell>
          <cell r="T143">
            <v>7269.1545765462797</v>
          </cell>
        </row>
        <row r="144">
          <cell r="G144">
            <v>31.581562399864197</v>
          </cell>
          <cell r="O144">
            <v>-21693.1484375</v>
          </cell>
          <cell r="P144">
            <v>-7309.6484375</v>
          </cell>
          <cell r="Q144">
            <v>-1414.7706298828125</v>
          </cell>
          <cell r="R144">
            <v>-2357.950927734375</v>
          </cell>
          <cell r="T144">
            <v>7918.027832842432</v>
          </cell>
        </row>
        <row r="145">
          <cell r="G145">
            <v>32.258724394298739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1194.7822265625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1194.7822265625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1194.7822265625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1194.7822265625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1194.7822265625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1593.04296875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1593.04296875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1593.04296875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1593.04296875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1593.04296875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1593.04296875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1593.04296875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1593.04296875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1593.04296875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1593.04296875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1588.2744140625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1588.2744140625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1588.2744140625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1588.2744140625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1588.2744140625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1588.2744140625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27000.666015625</v>
          </cell>
          <cell r="P34">
            <v>0</v>
          </cell>
          <cell r="Q34">
            <v>0</v>
          </cell>
          <cell r="R34">
            <v>0</v>
          </cell>
          <cell r="T34">
            <v>-2700.0460016890593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-17011.126953125</v>
          </cell>
          <cell r="P43">
            <v>0</v>
          </cell>
          <cell r="Q43">
            <v>0</v>
          </cell>
          <cell r="R43">
            <v>0</v>
          </cell>
          <cell r="T43">
            <v>8505.5634765625</v>
          </cell>
        </row>
        <row r="44">
          <cell r="O44">
            <v>-16954.423828125</v>
          </cell>
          <cell r="P44">
            <v>0</v>
          </cell>
          <cell r="Q44">
            <v>0</v>
          </cell>
          <cell r="R44">
            <v>0</v>
          </cell>
          <cell r="T44">
            <v>8477.2119140625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-8660.2279722825351</v>
          </cell>
        </row>
        <row r="38">
          <cell r="S38">
            <v>-7851.8865646223176</v>
          </cell>
        </row>
        <row r="39">
          <cell r="S39">
            <v>-4109.9008274924072</v>
          </cell>
        </row>
        <row r="40">
          <cell r="S40">
            <v>-4293.0136520072629</v>
          </cell>
        </row>
        <row r="41">
          <cell r="S41">
            <v>0</v>
          </cell>
        </row>
        <row r="42">
          <cell r="S42">
            <v>-5818.1751708984375</v>
          </cell>
        </row>
        <row r="43">
          <cell r="S43">
            <v>-17011.126953125</v>
          </cell>
        </row>
        <row r="44">
          <cell r="S44">
            <v>-16954.423828125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0</v>
          </cell>
        </row>
        <row r="38">
          <cell r="S38">
            <v>0</v>
          </cell>
        </row>
        <row r="39">
          <cell r="S39">
            <v>0</v>
          </cell>
        </row>
        <row r="40">
          <cell r="S40">
            <v>0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37257</v>
          </cell>
          <cell r="N3">
            <v>34683.76171875</v>
          </cell>
          <cell r="O3">
            <v>0</v>
          </cell>
          <cell r="P3">
            <v>0</v>
          </cell>
          <cell r="Q3">
            <v>0</v>
          </cell>
        </row>
        <row r="4">
          <cell r="D4">
            <v>37288</v>
          </cell>
          <cell r="N4">
            <v>31446.693359375</v>
          </cell>
          <cell r="O4">
            <v>0</v>
          </cell>
          <cell r="P4">
            <v>0</v>
          </cell>
          <cell r="Q4">
            <v>0</v>
          </cell>
        </row>
        <row r="5">
          <cell r="D5">
            <v>37316</v>
          </cell>
          <cell r="N5">
            <v>32927.16796875</v>
          </cell>
          <cell r="O5">
            <v>0</v>
          </cell>
          <cell r="P5">
            <v>0</v>
          </cell>
          <cell r="Q5">
            <v>0</v>
          </cell>
        </row>
        <row r="6">
          <cell r="D6">
            <v>37347</v>
          </cell>
          <cell r="N6">
            <v>34387.6953125</v>
          </cell>
          <cell r="O6">
            <v>0</v>
          </cell>
          <cell r="P6">
            <v>0</v>
          </cell>
          <cell r="Q6">
            <v>0</v>
          </cell>
        </row>
        <row r="7">
          <cell r="D7">
            <v>37377</v>
          </cell>
          <cell r="N7">
            <v>34283.1328125</v>
          </cell>
          <cell r="O7">
            <v>0</v>
          </cell>
          <cell r="P7">
            <v>0</v>
          </cell>
          <cell r="Q7">
            <v>0</v>
          </cell>
        </row>
        <row r="8">
          <cell r="D8">
            <v>37408</v>
          </cell>
          <cell r="N8">
            <v>31069.0625</v>
          </cell>
          <cell r="O8">
            <v>0</v>
          </cell>
          <cell r="P8">
            <v>0</v>
          </cell>
          <cell r="Q8">
            <v>0</v>
          </cell>
        </row>
        <row r="9">
          <cell r="D9">
            <v>37438</v>
          </cell>
          <cell r="N9">
            <v>85172.3984375</v>
          </cell>
          <cell r="O9">
            <v>0</v>
          </cell>
          <cell r="P9">
            <v>0</v>
          </cell>
          <cell r="Q9">
            <v>0</v>
          </cell>
        </row>
        <row r="10">
          <cell r="D10">
            <v>37469</v>
          </cell>
          <cell r="N10">
            <v>84873.765625</v>
          </cell>
          <cell r="O10">
            <v>0</v>
          </cell>
          <cell r="P10">
            <v>0</v>
          </cell>
          <cell r="Q10">
            <v>0</v>
          </cell>
        </row>
        <row r="11">
          <cell r="D11">
            <v>37500</v>
          </cell>
          <cell r="N11">
            <v>30768.26953125</v>
          </cell>
          <cell r="O11">
            <v>0</v>
          </cell>
          <cell r="P11">
            <v>0</v>
          </cell>
          <cell r="Q11">
            <v>0</v>
          </cell>
        </row>
        <row r="12">
          <cell r="D12">
            <v>37530</v>
          </cell>
          <cell r="N12">
            <v>35258.61328125</v>
          </cell>
          <cell r="O12">
            <v>0</v>
          </cell>
          <cell r="P12">
            <v>0</v>
          </cell>
          <cell r="Q12">
            <v>0</v>
          </cell>
        </row>
        <row r="13">
          <cell r="D13">
            <v>37561</v>
          </cell>
          <cell r="N13">
            <v>30556.296875</v>
          </cell>
          <cell r="O13">
            <v>0</v>
          </cell>
          <cell r="P13">
            <v>0</v>
          </cell>
          <cell r="Q13">
            <v>0</v>
          </cell>
        </row>
        <row r="14">
          <cell r="D14">
            <v>37591</v>
          </cell>
          <cell r="N14">
            <v>31956.65234375</v>
          </cell>
          <cell r="O14">
            <v>0</v>
          </cell>
          <cell r="P14">
            <v>0</v>
          </cell>
          <cell r="Q14">
            <v>0</v>
          </cell>
        </row>
        <row r="15">
          <cell r="D15">
            <v>37140</v>
          </cell>
          <cell r="N15">
            <v>0</v>
          </cell>
          <cell r="O15">
            <v>0</v>
          </cell>
          <cell r="P15">
            <v>0</v>
          </cell>
        </row>
        <row r="16">
          <cell r="D16">
            <v>37141</v>
          </cell>
          <cell r="N16">
            <v>-3.9999999840167888E-12</v>
          </cell>
          <cell r="O16">
            <v>0</v>
          </cell>
          <cell r="P16">
            <v>0</v>
          </cell>
        </row>
        <row r="17">
          <cell r="D17">
            <v>37144</v>
          </cell>
          <cell r="N17">
            <v>-10354.779296875</v>
          </cell>
          <cell r="O17">
            <v>0</v>
          </cell>
          <cell r="P17">
            <v>0</v>
          </cell>
        </row>
        <row r="18">
          <cell r="D18">
            <v>37145</v>
          </cell>
          <cell r="N18">
            <v>-10354.779296875</v>
          </cell>
          <cell r="O18">
            <v>0</v>
          </cell>
          <cell r="P18">
            <v>0</v>
          </cell>
        </row>
        <row r="19">
          <cell r="D19">
            <v>37146</v>
          </cell>
          <cell r="N19">
            <v>-10354.779296875</v>
          </cell>
          <cell r="O19">
            <v>0</v>
          </cell>
          <cell r="P19">
            <v>0</v>
          </cell>
        </row>
        <row r="20">
          <cell r="D20">
            <v>37147</v>
          </cell>
          <cell r="N20">
            <v>-10354.779296875</v>
          </cell>
          <cell r="O20">
            <v>0</v>
          </cell>
          <cell r="P20">
            <v>0</v>
          </cell>
        </row>
        <row r="21">
          <cell r="D21">
            <v>37148</v>
          </cell>
          <cell r="N21">
            <v>-10354.779296875</v>
          </cell>
          <cell r="O21">
            <v>0</v>
          </cell>
          <cell r="P21">
            <v>0</v>
          </cell>
        </row>
        <row r="22">
          <cell r="D22">
            <v>37151</v>
          </cell>
          <cell r="N22">
            <v>-10354.779296875</v>
          </cell>
          <cell r="O22">
            <v>0</v>
          </cell>
          <cell r="P22">
            <v>0</v>
          </cell>
        </row>
        <row r="23">
          <cell r="D23">
            <v>37152</v>
          </cell>
          <cell r="N23">
            <v>-10354.779296875</v>
          </cell>
          <cell r="O23">
            <v>0</v>
          </cell>
          <cell r="P23">
            <v>0</v>
          </cell>
        </row>
        <row r="24">
          <cell r="D24">
            <v>37153</v>
          </cell>
          <cell r="N24">
            <v>-10354.779296875</v>
          </cell>
          <cell r="O24">
            <v>0</v>
          </cell>
          <cell r="P24">
            <v>0</v>
          </cell>
        </row>
        <row r="25">
          <cell r="D25">
            <v>37154</v>
          </cell>
          <cell r="N25">
            <v>-10354.779296875</v>
          </cell>
          <cell r="O25">
            <v>0</v>
          </cell>
          <cell r="P25">
            <v>0</v>
          </cell>
        </row>
        <row r="26">
          <cell r="D26">
            <v>37155</v>
          </cell>
          <cell r="N26">
            <v>-10354.779296875</v>
          </cell>
          <cell r="O26">
            <v>0</v>
          </cell>
          <cell r="P26">
            <v>0</v>
          </cell>
        </row>
        <row r="27">
          <cell r="D27">
            <v>37158</v>
          </cell>
          <cell r="N27">
            <v>-10354.779296875</v>
          </cell>
          <cell r="O27">
            <v>0</v>
          </cell>
          <cell r="P27">
            <v>0</v>
          </cell>
        </row>
        <row r="28">
          <cell r="D28">
            <v>37159</v>
          </cell>
          <cell r="N28">
            <v>-10354.779296875</v>
          </cell>
          <cell r="O28">
            <v>0</v>
          </cell>
          <cell r="P28">
            <v>0</v>
          </cell>
        </row>
        <row r="29">
          <cell r="D29">
            <v>37160</v>
          </cell>
          <cell r="N29">
            <v>-10354.779296875</v>
          </cell>
          <cell r="O29">
            <v>0</v>
          </cell>
          <cell r="P29">
            <v>0</v>
          </cell>
        </row>
        <row r="30">
          <cell r="D30">
            <v>37161</v>
          </cell>
          <cell r="N30">
            <v>-10354.779296875</v>
          </cell>
          <cell r="O30">
            <v>0</v>
          </cell>
          <cell r="P30">
            <v>0</v>
          </cell>
        </row>
        <row r="31">
          <cell r="D31">
            <v>37162</v>
          </cell>
          <cell r="N31">
            <v>-10354.779296875</v>
          </cell>
          <cell r="O31">
            <v>0</v>
          </cell>
          <cell r="P31">
            <v>0</v>
          </cell>
        </row>
        <row r="32">
          <cell r="D32">
            <v>37165</v>
          </cell>
          <cell r="N32">
            <v>0</v>
          </cell>
          <cell r="O32">
            <v>0</v>
          </cell>
          <cell r="P32">
            <v>0</v>
          </cell>
        </row>
        <row r="33">
          <cell r="D33">
            <v>37166</v>
          </cell>
          <cell r="N33">
            <v>0</v>
          </cell>
          <cell r="O33">
            <v>0</v>
          </cell>
          <cell r="P33">
            <v>0</v>
          </cell>
        </row>
        <row r="34">
          <cell r="D34">
            <v>37167</v>
          </cell>
          <cell r="N34">
            <v>0</v>
          </cell>
          <cell r="O34">
            <v>0</v>
          </cell>
          <cell r="P34">
            <v>0</v>
          </cell>
        </row>
        <row r="35">
          <cell r="D35">
            <v>37168</v>
          </cell>
          <cell r="N35">
            <v>0</v>
          </cell>
          <cell r="O35">
            <v>0</v>
          </cell>
          <cell r="P35">
            <v>0</v>
          </cell>
        </row>
        <row r="36">
          <cell r="D36">
            <v>37169</v>
          </cell>
          <cell r="N36">
            <v>0</v>
          </cell>
          <cell r="O36">
            <v>0</v>
          </cell>
          <cell r="P36">
            <v>0</v>
          </cell>
        </row>
        <row r="37">
          <cell r="D37">
            <v>37172</v>
          </cell>
          <cell r="N37">
            <v>0</v>
          </cell>
          <cell r="O37">
            <v>0</v>
          </cell>
          <cell r="P37">
            <v>0</v>
          </cell>
        </row>
        <row r="38">
          <cell r="D38">
            <v>37195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D39">
            <v>37196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D40">
            <v>37226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D41">
            <v>37257</v>
          </cell>
          <cell r="N41">
            <v>86602.2109375</v>
          </cell>
          <cell r="O41">
            <v>0</v>
          </cell>
          <cell r="P41">
            <v>0</v>
          </cell>
          <cell r="Q41">
            <v>0</v>
          </cell>
        </row>
        <row r="42">
          <cell r="D42">
            <v>37288</v>
          </cell>
          <cell r="N42">
            <v>78518.8046875</v>
          </cell>
          <cell r="O42">
            <v>0</v>
          </cell>
          <cell r="P42">
            <v>0</v>
          </cell>
          <cell r="Q42">
            <v>0</v>
          </cell>
        </row>
        <row r="43">
          <cell r="D43">
            <v>37316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D44">
            <v>37347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D45">
            <v>37377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D46">
            <v>37408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D47">
            <v>37438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D48">
            <v>37469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D49">
            <v>37500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D50">
            <v>37530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D51">
            <v>37561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D52">
            <v>37591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D53">
            <v>37622</v>
          </cell>
          <cell r="N53">
            <v>-16649.09765625</v>
          </cell>
          <cell r="O53">
            <v>0</v>
          </cell>
          <cell r="P53">
            <v>0</v>
          </cell>
          <cell r="Q53">
            <v>0</v>
          </cell>
        </row>
        <row r="54">
          <cell r="D54">
            <v>37653</v>
          </cell>
          <cell r="N54">
            <v>-15081.2861328125</v>
          </cell>
          <cell r="O54">
            <v>0</v>
          </cell>
          <cell r="P54">
            <v>0</v>
          </cell>
          <cell r="Q54">
            <v>0</v>
          </cell>
        </row>
        <row r="55">
          <cell r="D55">
            <v>37681</v>
          </cell>
          <cell r="N55">
            <v>-15771.6474609375</v>
          </cell>
          <cell r="O55">
            <v>0</v>
          </cell>
          <cell r="P55">
            <v>0</v>
          </cell>
          <cell r="Q55">
            <v>0</v>
          </cell>
        </row>
        <row r="56">
          <cell r="D56">
            <v>37712</v>
          </cell>
          <cell r="N56">
            <v>-16457.296875</v>
          </cell>
          <cell r="O56">
            <v>0</v>
          </cell>
          <cell r="P56">
            <v>0</v>
          </cell>
          <cell r="Q56">
            <v>0</v>
          </cell>
        </row>
        <row r="57">
          <cell r="D57">
            <v>37742</v>
          </cell>
          <cell r="N57">
            <v>-15643.814453125</v>
          </cell>
          <cell r="O57">
            <v>0</v>
          </cell>
          <cell r="P57">
            <v>0</v>
          </cell>
          <cell r="Q57">
            <v>0</v>
          </cell>
        </row>
        <row r="58">
          <cell r="D58">
            <v>37773</v>
          </cell>
          <cell r="N58">
            <v>-15579.6240234375</v>
          </cell>
          <cell r="O58">
            <v>0</v>
          </cell>
          <cell r="P58">
            <v>0</v>
          </cell>
          <cell r="Q58">
            <v>0</v>
          </cell>
        </row>
        <row r="59">
          <cell r="D59">
            <v>37803</v>
          </cell>
          <cell r="N59">
            <v>-16251.0751953125</v>
          </cell>
          <cell r="O59">
            <v>0</v>
          </cell>
          <cell r="P59">
            <v>0</v>
          </cell>
          <cell r="Q59">
            <v>0</v>
          </cell>
        </row>
        <row r="60">
          <cell r="D60">
            <v>37834</v>
          </cell>
          <cell r="N60">
            <v>-15444.431640625</v>
          </cell>
          <cell r="O60">
            <v>0</v>
          </cell>
          <cell r="P60">
            <v>0</v>
          </cell>
          <cell r="Q60">
            <v>0</v>
          </cell>
        </row>
        <row r="61">
          <cell r="D61">
            <v>37865</v>
          </cell>
          <cell r="N61">
            <v>-15378.1767578125</v>
          </cell>
          <cell r="O61">
            <v>0</v>
          </cell>
          <cell r="P61">
            <v>0</v>
          </cell>
          <cell r="Q61">
            <v>0</v>
          </cell>
        </row>
        <row r="62">
          <cell r="D62">
            <v>37895</v>
          </cell>
          <cell r="N62">
            <v>-16767.033203125</v>
          </cell>
          <cell r="O62">
            <v>0</v>
          </cell>
          <cell r="P62">
            <v>0</v>
          </cell>
          <cell r="Q62">
            <v>0</v>
          </cell>
        </row>
        <row r="63">
          <cell r="D63">
            <v>37926</v>
          </cell>
          <cell r="N63">
            <v>-13789.9072265625</v>
          </cell>
          <cell r="O63">
            <v>0</v>
          </cell>
          <cell r="P63">
            <v>0</v>
          </cell>
          <cell r="Q63">
            <v>0</v>
          </cell>
        </row>
        <row r="64">
          <cell r="D64">
            <v>37956</v>
          </cell>
          <cell r="N64">
            <v>-15893.56640625</v>
          </cell>
          <cell r="O64">
            <v>0</v>
          </cell>
          <cell r="P64">
            <v>0</v>
          </cell>
          <cell r="Q64">
            <v>0</v>
          </cell>
        </row>
        <row r="65">
          <cell r="D65">
            <v>37165</v>
          </cell>
          <cell r="N65">
            <v>2385.392333984375</v>
          </cell>
          <cell r="O65">
            <v>0</v>
          </cell>
          <cell r="P65">
            <v>0</v>
          </cell>
        </row>
        <row r="66">
          <cell r="D66">
            <v>37166</v>
          </cell>
          <cell r="N66">
            <v>2385.392333984375</v>
          </cell>
          <cell r="O66">
            <v>0</v>
          </cell>
          <cell r="P66">
            <v>0</v>
          </cell>
        </row>
        <row r="67">
          <cell r="D67">
            <v>37167</v>
          </cell>
          <cell r="N67">
            <v>2385.392333984375</v>
          </cell>
          <cell r="O67">
            <v>0</v>
          </cell>
          <cell r="P67">
            <v>0</v>
          </cell>
        </row>
        <row r="68">
          <cell r="D68">
            <v>37168</v>
          </cell>
          <cell r="N68">
            <v>2385.392333984375</v>
          </cell>
          <cell r="O68">
            <v>0</v>
          </cell>
          <cell r="P68">
            <v>0</v>
          </cell>
        </row>
        <row r="69">
          <cell r="D69">
            <v>37169</v>
          </cell>
          <cell r="N69">
            <v>2385.392333984375</v>
          </cell>
          <cell r="O69">
            <v>0</v>
          </cell>
          <cell r="P69">
            <v>0</v>
          </cell>
        </row>
        <row r="70">
          <cell r="D70">
            <v>37172</v>
          </cell>
          <cell r="N70">
            <v>2385.392333984375</v>
          </cell>
          <cell r="O70">
            <v>0</v>
          </cell>
          <cell r="P70">
            <v>0</v>
          </cell>
        </row>
        <row r="71">
          <cell r="D71">
            <v>37195</v>
          </cell>
          <cell r="N71">
            <v>40551.66796875</v>
          </cell>
          <cell r="O71">
            <v>0</v>
          </cell>
          <cell r="P71">
            <v>0</v>
          </cell>
          <cell r="Q71">
            <v>0</v>
          </cell>
        </row>
        <row r="72">
          <cell r="D72">
            <v>37196</v>
          </cell>
          <cell r="N72">
            <v>49950.2890625</v>
          </cell>
          <cell r="O72">
            <v>0</v>
          </cell>
          <cell r="P72">
            <v>0</v>
          </cell>
          <cell r="Q72">
            <v>0</v>
          </cell>
        </row>
        <row r="73">
          <cell r="D73">
            <v>37226</v>
          </cell>
          <cell r="N73">
            <v>47431.5234375</v>
          </cell>
          <cell r="O73">
            <v>0</v>
          </cell>
          <cell r="P73">
            <v>0</v>
          </cell>
          <cell r="Q73">
            <v>0</v>
          </cell>
        </row>
        <row r="74">
          <cell r="D74">
            <v>37257</v>
          </cell>
          <cell r="N74">
            <v>69367.5234375</v>
          </cell>
          <cell r="O74">
            <v>0</v>
          </cell>
          <cell r="P74">
            <v>0</v>
          </cell>
          <cell r="Q74">
            <v>0</v>
          </cell>
        </row>
        <row r="75">
          <cell r="D75">
            <v>37288</v>
          </cell>
          <cell r="N75">
            <v>62893.38671875</v>
          </cell>
          <cell r="O75">
            <v>0</v>
          </cell>
          <cell r="P75">
            <v>0</v>
          </cell>
          <cell r="Q75">
            <v>0</v>
          </cell>
        </row>
        <row r="76">
          <cell r="D76">
            <v>37316</v>
          </cell>
          <cell r="N76">
            <v>49390.75</v>
          </cell>
          <cell r="O76">
            <v>0</v>
          </cell>
          <cell r="P76">
            <v>0</v>
          </cell>
          <cell r="Q76">
            <v>0</v>
          </cell>
        </row>
        <row r="77">
          <cell r="D77">
            <v>37347</v>
          </cell>
          <cell r="N77">
            <v>51581.5390625</v>
          </cell>
          <cell r="O77">
            <v>0</v>
          </cell>
          <cell r="P77">
            <v>0</v>
          </cell>
          <cell r="Q77">
            <v>0</v>
          </cell>
        </row>
        <row r="78">
          <cell r="D78">
            <v>37377</v>
          </cell>
          <cell r="N78">
            <v>68566.265625</v>
          </cell>
          <cell r="O78">
            <v>0</v>
          </cell>
          <cell r="P78">
            <v>0</v>
          </cell>
          <cell r="Q78">
            <v>0</v>
          </cell>
        </row>
        <row r="79">
          <cell r="D79">
            <v>37408</v>
          </cell>
          <cell r="N79">
            <v>62138.125</v>
          </cell>
          <cell r="O79">
            <v>0</v>
          </cell>
          <cell r="P79">
            <v>0</v>
          </cell>
          <cell r="Q79">
            <v>0</v>
          </cell>
        </row>
        <row r="80">
          <cell r="D80">
            <v>37438</v>
          </cell>
          <cell r="N80">
            <v>579172.3125</v>
          </cell>
          <cell r="O80">
            <v>0</v>
          </cell>
          <cell r="P80">
            <v>0</v>
          </cell>
          <cell r="Q80">
            <v>0</v>
          </cell>
        </row>
        <row r="81">
          <cell r="D81">
            <v>37469</v>
          </cell>
          <cell r="N81">
            <v>577141.625</v>
          </cell>
          <cell r="O81">
            <v>0</v>
          </cell>
          <cell r="P81">
            <v>0</v>
          </cell>
          <cell r="Q81">
            <v>0</v>
          </cell>
        </row>
        <row r="82">
          <cell r="D82">
            <v>37500</v>
          </cell>
          <cell r="N82">
            <v>46152.40625</v>
          </cell>
          <cell r="O82">
            <v>0</v>
          </cell>
          <cell r="P82">
            <v>0</v>
          </cell>
          <cell r="Q82">
            <v>0</v>
          </cell>
        </row>
        <row r="83">
          <cell r="D83">
            <v>37530</v>
          </cell>
          <cell r="N83">
            <v>123405.1484375</v>
          </cell>
          <cell r="O83">
            <v>0</v>
          </cell>
          <cell r="P83">
            <v>0</v>
          </cell>
          <cell r="Q83">
            <v>0</v>
          </cell>
        </row>
        <row r="84">
          <cell r="D84">
            <v>37561</v>
          </cell>
          <cell r="N84">
            <v>106947.0390625</v>
          </cell>
          <cell r="O84">
            <v>0</v>
          </cell>
          <cell r="P84">
            <v>0</v>
          </cell>
          <cell r="Q84">
            <v>0</v>
          </cell>
        </row>
        <row r="85">
          <cell r="D85">
            <v>37591</v>
          </cell>
          <cell r="N85">
            <v>111848.28125</v>
          </cell>
          <cell r="O85">
            <v>0</v>
          </cell>
          <cell r="P85">
            <v>0</v>
          </cell>
          <cell r="Q85">
            <v>0</v>
          </cell>
        </row>
        <row r="86">
          <cell r="D86">
            <v>37622</v>
          </cell>
          <cell r="N86">
            <v>16676.56640625</v>
          </cell>
          <cell r="O86">
            <v>0</v>
          </cell>
          <cell r="P86">
            <v>0</v>
          </cell>
          <cell r="Q86">
            <v>0</v>
          </cell>
        </row>
        <row r="87">
          <cell r="D87">
            <v>37653</v>
          </cell>
          <cell r="N87">
            <v>15106.5498046875</v>
          </cell>
          <cell r="O87">
            <v>0</v>
          </cell>
          <cell r="P87">
            <v>0</v>
          </cell>
          <cell r="Q87">
            <v>0</v>
          </cell>
        </row>
        <row r="88">
          <cell r="D88">
            <v>37681</v>
          </cell>
          <cell r="N88">
            <v>15798.41015625</v>
          </cell>
          <cell r="O88">
            <v>0</v>
          </cell>
          <cell r="P88">
            <v>0</v>
          </cell>
          <cell r="Q88">
            <v>0</v>
          </cell>
        </row>
        <row r="89">
          <cell r="D89">
            <v>37712</v>
          </cell>
          <cell r="N89">
            <v>16485.744140625</v>
          </cell>
          <cell r="O89">
            <v>0</v>
          </cell>
          <cell r="P89">
            <v>0</v>
          </cell>
          <cell r="Q89">
            <v>0</v>
          </cell>
        </row>
        <row r="90">
          <cell r="D90">
            <v>37742</v>
          </cell>
          <cell r="N90">
            <v>15673.4755859375</v>
          </cell>
          <cell r="O90">
            <v>0</v>
          </cell>
          <cell r="P90">
            <v>0</v>
          </cell>
          <cell r="Q90">
            <v>0</v>
          </cell>
        </row>
        <row r="91">
          <cell r="D91">
            <v>37773</v>
          </cell>
          <cell r="N91">
            <v>15605.4013671875</v>
          </cell>
          <cell r="O91">
            <v>0</v>
          </cell>
          <cell r="P91">
            <v>0</v>
          </cell>
          <cell r="Q91">
            <v>0</v>
          </cell>
        </row>
        <row r="92">
          <cell r="D92">
            <v>37803</v>
          </cell>
          <cell r="N92">
            <v>16280.7294921875</v>
          </cell>
          <cell r="O92">
            <v>0</v>
          </cell>
          <cell r="P92">
            <v>0</v>
          </cell>
          <cell r="Q92">
            <v>0</v>
          </cell>
        </row>
        <row r="93">
          <cell r="D93">
            <v>37834</v>
          </cell>
          <cell r="N93">
            <v>15470.798828125</v>
          </cell>
          <cell r="O93">
            <v>0</v>
          </cell>
          <cell r="P93">
            <v>0</v>
          </cell>
          <cell r="Q93">
            <v>0</v>
          </cell>
        </row>
        <row r="94">
          <cell r="D94">
            <v>37865</v>
          </cell>
          <cell r="N94">
            <v>15406.927734375</v>
          </cell>
          <cell r="O94">
            <v>0</v>
          </cell>
          <cell r="P94">
            <v>0</v>
          </cell>
          <cell r="Q94">
            <v>0</v>
          </cell>
        </row>
        <row r="95">
          <cell r="D95">
            <v>37895</v>
          </cell>
          <cell r="N95">
            <v>16798.90234375</v>
          </cell>
          <cell r="O95">
            <v>0</v>
          </cell>
          <cell r="P95">
            <v>0</v>
          </cell>
          <cell r="Q95">
            <v>0</v>
          </cell>
        </row>
        <row r="96">
          <cell r="D96">
            <v>37926</v>
          </cell>
          <cell r="N96">
            <v>13820.515625</v>
          </cell>
          <cell r="O96">
            <v>0</v>
          </cell>
          <cell r="P96">
            <v>0</v>
          </cell>
          <cell r="Q96">
            <v>0</v>
          </cell>
        </row>
        <row r="97">
          <cell r="D97">
            <v>37956</v>
          </cell>
          <cell r="N97">
            <v>15922.1494140625</v>
          </cell>
          <cell r="O97">
            <v>0</v>
          </cell>
          <cell r="P97">
            <v>0</v>
          </cell>
          <cell r="Q97">
            <v>0</v>
          </cell>
        </row>
        <row r="98">
          <cell r="D98">
            <v>37140</v>
          </cell>
          <cell r="N98">
            <v>0</v>
          </cell>
          <cell r="O98">
            <v>0</v>
          </cell>
          <cell r="P98">
            <v>0</v>
          </cell>
        </row>
        <row r="99">
          <cell r="D99">
            <v>37141</v>
          </cell>
          <cell r="N99">
            <v>1.3000000381735433E-11</v>
          </cell>
          <cell r="O99">
            <v>-398.2607421875</v>
          </cell>
          <cell r="P99">
            <v>0</v>
          </cell>
        </row>
        <row r="100">
          <cell r="D100">
            <v>37142</v>
          </cell>
          <cell r="N100">
            <v>0</v>
          </cell>
          <cell r="O100">
            <v>-1194.7822265625</v>
          </cell>
          <cell r="P100">
            <v>0</v>
          </cell>
        </row>
        <row r="101">
          <cell r="D101">
            <v>37143</v>
          </cell>
          <cell r="N101">
            <v>0</v>
          </cell>
          <cell r="O101">
            <v>-398.2607421875</v>
          </cell>
          <cell r="P101">
            <v>-796.521484375</v>
          </cell>
        </row>
        <row r="102">
          <cell r="D102">
            <v>37144</v>
          </cell>
          <cell r="N102">
            <v>-15133.908203125</v>
          </cell>
          <cell r="O102">
            <v>-398.2607421875</v>
          </cell>
          <cell r="P102">
            <v>0</v>
          </cell>
        </row>
        <row r="103">
          <cell r="D103">
            <v>37145</v>
          </cell>
          <cell r="N103">
            <v>-15133.908203125</v>
          </cell>
          <cell r="O103">
            <v>-398.2607421875</v>
          </cell>
          <cell r="P103">
            <v>0</v>
          </cell>
        </row>
        <row r="104">
          <cell r="D104">
            <v>37146</v>
          </cell>
          <cell r="N104">
            <v>-15133.908203125</v>
          </cell>
          <cell r="O104">
            <v>-398.2607421875</v>
          </cell>
          <cell r="P104">
            <v>0</v>
          </cell>
        </row>
        <row r="105">
          <cell r="D105">
            <v>37147</v>
          </cell>
          <cell r="N105">
            <v>-15133.908203125</v>
          </cell>
          <cell r="O105">
            <v>-398.2607421875</v>
          </cell>
          <cell r="P105">
            <v>0</v>
          </cell>
        </row>
        <row r="106">
          <cell r="D106">
            <v>37148</v>
          </cell>
          <cell r="N106">
            <v>-15133.908203125</v>
          </cell>
          <cell r="O106">
            <v>-398.2607421875</v>
          </cell>
          <cell r="P106">
            <v>0</v>
          </cell>
        </row>
        <row r="107">
          <cell r="D107">
            <v>37149</v>
          </cell>
          <cell r="N107">
            <v>0</v>
          </cell>
          <cell r="O107">
            <v>-1194.7822265625</v>
          </cell>
          <cell r="P107">
            <v>0</v>
          </cell>
        </row>
        <row r="108">
          <cell r="D108">
            <v>37150</v>
          </cell>
          <cell r="N108">
            <v>0</v>
          </cell>
          <cell r="O108">
            <v>-398.2607421875</v>
          </cell>
          <cell r="P108">
            <v>-796.521484375</v>
          </cell>
        </row>
        <row r="109">
          <cell r="D109">
            <v>37151</v>
          </cell>
          <cell r="N109">
            <v>-15133.908203125</v>
          </cell>
          <cell r="O109">
            <v>-398.2607421875</v>
          </cell>
          <cell r="P109">
            <v>0</v>
          </cell>
        </row>
        <row r="110">
          <cell r="D110">
            <v>37152</v>
          </cell>
          <cell r="N110">
            <v>-15133.908203125</v>
          </cell>
          <cell r="O110">
            <v>-398.2607421875</v>
          </cell>
          <cell r="P110">
            <v>0</v>
          </cell>
        </row>
        <row r="111">
          <cell r="D111">
            <v>37153</v>
          </cell>
          <cell r="N111">
            <v>-15133.908203125</v>
          </cell>
          <cell r="O111">
            <v>-398.2607421875</v>
          </cell>
          <cell r="P111">
            <v>0</v>
          </cell>
        </row>
        <row r="112">
          <cell r="D112">
            <v>37154</v>
          </cell>
          <cell r="N112">
            <v>-15133.908203125</v>
          </cell>
          <cell r="O112">
            <v>-398.2607421875</v>
          </cell>
          <cell r="P112">
            <v>0</v>
          </cell>
        </row>
        <row r="113">
          <cell r="D113">
            <v>37155</v>
          </cell>
          <cell r="N113">
            <v>-15133.908203125</v>
          </cell>
          <cell r="O113">
            <v>-398.2607421875</v>
          </cell>
          <cell r="P113">
            <v>0</v>
          </cell>
        </row>
        <row r="114">
          <cell r="D114">
            <v>37156</v>
          </cell>
          <cell r="N114">
            <v>0</v>
          </cell>
          <cell r="O114">
            <v>-1194.7822265625</v>
          </cell>
          <cell r="P114">
            <v>0</v>
          </cell>
        </row>
        <row r="115">
          <cell r="D115">
            <v>37157</v>
          </cell>
          <cell r="N115">
            <v>0</v>
          </cell>
          <cell r="O115">
            <v>-398.2607421875</v>
          </cell>
          <cell r="P115">
            <v>-796.521484375</v>
          </cell>
        </row>
        <row r="116">
          <cell r="D116">
            <v>37158</v>
          </cell>
          <cell r="N116">
            <v>-15133.908203125</v>
          </cell>
          <cell r="O116">
            <v>-398.2607421875</v>
          </cell>
          <cell r="P116">
            <v>0</v>
          </cell>
        </row>
        <row r="117">
          <cell r="D117">
            <v>37159</v>
          </cell>
          <cell r="N117">
            <v>-15133.908203125</v>
          </cell>
          <cell r="O117">
            <v>-398.2607421875</v>
          </cell>
          <cell r="P117">
            <v>0</v>
          </cell>
        </row>
        <row r="118">
          <cell r="D118">
            <v>37160</v>
          </cell>
          <cell r="N118">
            <v>-15133.908203125</v>
          </cell>
          <cell r="O118">
            <v>-398.2607421875</v>
          </cell>
          <cell r="P118">
            <v>0</v>
          </cell>
        </row>
        <row r="119">
          <cell r="D119">
            <v>37161</v>
          </cell>
          <cell r="N119">
            <v>-15133.908203125</v>
          </cell>
          <cell r="O119">
            <v>-398.2607421875</v>
          </cell>
          <cell r="P119">
            <v>0</v>
          </cell>
        </row>
        <row r="120">
          <cell r="D120">
            <v>37162</v>
          </cell>
          <cell r="N120">
            <v>-15133.908203125</v>
          </cell>
          <cell r="O120">
            <v>-398.2607421875</v>
          </cell>
          <cell r="P120">
            <v>0</v>
          </cell>
        </row>
        <row r="121">
          <cell r="D121">
            <v>37163</v>
          </cell>
          <cell r="N121">
            <v>0</v>
          </cell>
          <cell r="O121">
            <v>-1194.7822265625</v>
          </cell>
          <cell r="P121">
            <v>0</v>
          </cell>
        </row>
        <row r="122">
          <cell r="D122">
            <v>37164</v>
          </cell>
          <cell r="N122">
            <v>0</v>
          </cell>
          <cell r="O122">
            <v>-398.2607421875</v>
          </cell>
          <cell r="P122">
            <v>-796.521484375</v>
          </cell>
        </row>
        <row r="123">
          <cell r="D123">
            <v>37165</v>
          </cell>
          <cell r="N123">
            <v>7941.37255859375</v>
          </cell>
          <cell r="O123">
            <v>0</v>
          </cell>
          <cell r="P123">
            <v>0</v>
          </cell>
        </row>
        <row r="124">
          <cell r="D124">
            <v>37166</v>
          </cell>
          <cell r="N124">
            <v>7941.37255859375</v>
          </cell>
          <cell r="O124">
            <v>0</v>
          </cell>
          <cell r="P124">
            <v>0</v>
          </cell>
        </row>
        <row r="125">
          <cell r="D125">
            <v>37167</v>
          </cell>
          <cell r="N125">
            <v>7941.37255859375</v>
          </cell>
          <cell r="O125">
            <v>0</v>
          </cell>
          <cell r="P125">
            <v>0</v>
          </cell>
        </row>
        <row r="126">
          <cell r="D126">
            <v>37168</v>
          </cell>
          <cell r="N126">
            <v>7941.37255859375</v>
          </cell>
          <cell r="O126">
            <v>0</v>
          </cell>
          <cell r="P126">
            <v>0</v>
          </cell>
        </row>
        <row r="127">
          <cell r="D127">
            <v>37169</v>
          </cell>
          <cell r="N127">
            <v>7941.37255859375</v>
          </cell>
          <cell r="O127">
            <v>0</v>
          </cell>
          <cell r="P127">
            <v>0</v>
          </cell>
        </row>
        <row r="128">
          <cell r="D128">
            <v>37170</v>
          </cell>
          <cell r="N128">
            <v>0</v>
          </cell>
          <cell r="O128">
            <v>9.999999960041972E-12</v>
          </cell>
          <cell r="P128">
            <v>0</v>
          </cell>
        </row>
        <row r="129">
          <cell r="D129">
            <v>37171</v>
          </cell>
          <cell r="N129">
            <v>0</v>
          </cell>
          <cell r="O129">
            <v>1.1999999952050366E-11</v>
          </cell>
          <cell r="P129">
            <v>-1.9999999920083944E-12</v>
          </cell>
        </row>
        <row r="130">
          <cell r="D130">
            <v>37172</v>
          </cell>
          <cell r="N130">
            <v>7941.37255859375</v>
          </cell>
          <cell r="O130">
            <v>9.999999960041972E-13</v>
          </cell>
          <cell r="P130">
            <v>0</v>
          </cell>
        </row>
        <row r="131">
          <cell r="D131">
            <v>37195</v>
          </cell>
          <cell r="N131">
            <v>135003.328125</v>
          </cell>
          <cell r="O131">
            <v>6.9999998852932066E-11</v>
          </cell>
          <cell r="P131">
            <v>-5.9999999760251832E-12</v>
          </cell>
          <cell r="Q131">
            <v>0</v>
          </cell>
        </row>
        <row r="132">
          <cell r="D132">
            <v>37196</v>
          </cell>
          <cell r="N132">
            <v>166302.109375</v>
          </cell>
          <cell r="O132">
            <v>-1.000000013351432E-10</v>
          </cell>
          <cell r="P132">
            <v>0</v>
          </cell>
          <cell r="Q132">
            <v>0</v>
          </cell>
        </row>
        <row r="133">
          <cell r="D133">
            <v>37226</v>
          </cell>
          <cell r="N133">
            <v>157924.109375</v>
          </cell>
          <cell r="O133">
            <v>0</v>
          </cell>
          <cell r="P133">
            <v>0</v>
          </cell>
          <cell r="Q133">
            <v>0</v>
          </cell>
        </row>
        <row r="134">
          <cell r="D134">
            <v>37257</v>
          </cell>
          <cell r="N134">
            <v>1.000000013351432E-10</v>
          </cell>
          <cell r="O134">
            <v>-30704.421875</v>
          </cell>
          <cell r="P134">
            <v>-7872.9287109375</v>
          </cell>
          <cell r="Q134">
            <v>0</v>
          </cell>
        </row>
        <row r="135">
          <cell r="D135">
            <v>37288</v>
          </cell>
          <cell r="N135">
            <v>-1.000000013351432E-10</v>
          </cell>
          <cell r="O135">
            <v>-28266.76953125</v>
          </cell>
          <cell r="P135">
            <v>-6281.50439453125</v>
          </cell>
          <cell r="Q135">
            <v>0</v>
          </cell>
        </row>
        <row r="136">
          <cell r="D136">
            <v>37316</v>
          </cell>
          <cell r="N136">
            <v>0</v>
          </cell>
          <cell r="O136">
            <v>-32096.27734375</v>
          </cell>
          <cell r="P136">
            <v>-7828.3603515625</v>
          </cell>
          <cell r="Q136">
            <v>0</v>
          </cell>
        </row>
        <row r="137">
          <cell r="D137">
            <v>37347</v>
          </cell>
          <cell r="N137">
            <v>0</v>
          </cell>
          <cell r="O137">
            <v>-29563.16796875</v>
          </cell>
          <cell r="P137">
            <v>-6244.36572265625</v>
          </cell>
          <cell r="Q137">
            <v>0</v>
          </cell>
        </row>
        <row r="138">
          <cell r="D138">
            <v>37377</v>
          </cell>
          <cell r="N138">
            <v>17119.28125</v>
          </cell>
          <cell r="O138">
            <v>-30347.818359375</v>
          </cell>
          <cell r="P138">
            <v>-7781.49169921875</v>
          </cell>
          <cell r="Q138">
            <v>0</v>
          </cell>
        </row>
        <row r="139">
          <cell r="D139">
            <v>37408</v>
          </cell>
          <cell r="N139">
            <v>93090.8046875</v>
          </cell>
          <cell r="O139">
            <v>-31030.267578125</v>
          </cell>
          <cell r="P139">
            <v>-7757.56689453125</v>
          </cell>
          <cell r="Q139">
            <v>0</v>
          </cell>
        </row>
        <row r="140">
          <cell r="D140">
            <v>37438</v>
          </cell>
          <cell r="N140">
            <v>425278.15625</v>
          </cell>
          <cell r="O140">
            <v>-30156.087890625</v>
          </cell>
          <cell r="P140">
            <v>-7732.33056640625</v>
          </cell>
          <cell r="Q140">
            <v>0</v>
          </cell>
        </row>
        <row r="141">
          <cell r="D141">
            <v>37469</v>
          </cell>
          <cell r="N141">
            <v>423860.59375</v>
          </cell>
          <cell r="O141">
            <v>-31596.87890625</v>
          </cell>
          <cell r="P141">
            <v>-6165.24462890625</v>
          </cell>
          <cell r="Q141">
            <v>0</v>
          </cell>
        </row>
        <row r="142">
          <cell r="D142">
            <v>37500</v>
          </cell>
          <cell r="N142">
            <v>15361.46484375</v>
          </cell>
          <cell r="O142">
            <v>-29186.783203125</v>
          </cell>
          <cell r="P142">
            <v>-9216.87890625</v>
          </cell>
          <cell r="Q142">
            <v>0</v>
          </cell>
        </row>
        <row r="143">
          <cell r="D143">
            <v>37530</v>
          </cell>
          <cell r="N143">
            <v>17602.833984375</v>
          </cell>
          <cell r="O143">
            <v>-29943.94921875</v>
          </cell>
          <cell r="P143">
            <v>-6122.724609375</v>
          </cell>
          <cell r="Q143">
            <v>0</v>
          </cell>
        </row>
        <row r="144">
          <cell r="D144">
            <v>37561</v>
          </cell>
          <cell r="N144">
            <v>15252.6259765625</v>
          </cell>
          <cell r="O144">
            <v>-30505.251953125</v>
          </cell>
          <cell r="P144">
            <v>-7626.31298828125</v>
          </cell>
          <cell r="Q144">
            <v>0</v>
          </cell>
        </row>
        <row r="145">
          <cell r="D145">
            <v>37591</v>
          </cell>
          <cell r="N145">
            <v>15954.5341796875</v>
          </cell>
          <cell r="O145">
            <v>-29629.849609375</v>
          </cell>
          <cell r="P145">
            <v>-9116.876953125</v>
          </cell>
          <cell r="Q145">
            <v>0</v>
          </cell>
        </row>
        <row r="146">
          <cell r="D146">
            <v>37622</v>
          </cell>
          <cell r="N146">
            <v>149841.890625</v>
          </cell>
          <cell r="O146">
            <v>0</v>
          </cell>
          <cell r="P146">
            <v>0</v>
          </cell>
          <cell r="Q146">
            <v>0</v>
          </cell>
        </row>
        <row r="147">
          <cell r="D147">
            <v>37653</v>
          </cell>
          <cell r="N147">
            <v>135731.578125</v>
          </cell>
          <cell r="O147">
            <v>0</v>
          </cell>
          <cell r="P147">
            <v>0</v>
          </cell>
          <cell r="Q147">
            <v>0</v>
          </cell>
        </row>
        <row r="148">
          <cell r="D148">
            <v>37681</v>
          </cell>
          <cell r="N148">
            <v>141944.828125</v>
          </cell>
          <cell r="O148">
            <v>0</v>
          </cell>
          <cell r="P148">
            <v>0</v>
          </cell>
          <cell r="Q148">
            <v>0</v>
          </cell>
        </row>
        <row r="149">
          <cell r="D149">
            <v>37712</v>
          </cell>
          <cell r="N149">
            <v>148115.671875</v>
          </cell>
          <cell r="O149">
            <v>0</v>
          </cell>
          <cell r="P149">
            <v>0</v>
          </cell>
          <cell r="Q149">
            <v>0</v>
          </cell>
        </row>
        <row r="150">
          <cell r="D150">
            <v>37742</v>
          </cell>
          <cell r="N150">
            <v>219013.40625</v>
          </cell>
          <cell r="O150">
            <v>0</v>
          </cell>
          <cell r="P150">
            <v>0</v>
          </cell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  <row r="155"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Q160">
            <v>0</v>
          </cell>
        </row>
        <row r="161">
          <cell r="Q161">
            <v>0</v>
          </cell>
        </row>
        <row r="162">
          <cell r="Q162">
            <v>0</v>
          </cell>
        </row>
        <row r="163">
          <cell r="Q163">
            <v>0</v>
          </cell>
        </row>
        <row r="164">
          <cell r="Q164">
            <v>0</v>
          </cell>
        </row>
        <row r="165">
          <cell r="Q165">
            <v>0</v>
          </cell>
        </row>
        <row r="166">
          <cell r="Q166">
            <v>0</v>
          </cell>
        </row>
        <row r="167">
          <cell r="Q167">
            <v>0</v>
          </cell>
        </row>
        <row r="168">
          <cell r="Q168">
            <v>0</v>
          </cell>
        </row>
        <row r="169">
          <cell r="Q169">
            <v>0</v>
          </cell>
        </row>
        <row r="170">
          <cell r="Q170">
            <v>0</v>
          </cell>
        </row>
        <row r="171">
          <cell r="Q171">
            <v>0</v>
          </cell>
        </row>
        <row r="172">
          <cell r="Q172">
            <v>0</v>
          </cell>
        </row>
        <row r="173">
          <cell r="Q173">
            <v>0</v>
          </cell>
        </row>
        <row r="174"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Q181">
            <v>0</v>
          </cell>
        </row>
        <row r="182">
          <cell r="Q182">
            <v>0</v>
          </cell>
        </row>
        <row r="183">
          <cell r="Q183">
            <v>0</v>
          </cell>
        </row>
        <row r="184">
          <cell r="Q184">
            <v>0</v>
          </cell>
        </row>
        <row r="185">
          <cell r="Q185">
            <v>0</v>
          </cell>
        </row>
        <row r="186">
          <cell r="Q186">
            <v>0</v>
          </cell>
        </row>
        <row r="187">
          <cell r="Q187">
            <v>0</v>
          </cell>
        </row>
        <row r="188">
          <cell r="Q188">
            <v>0</v>
          </cell>
        </row>
        <row r="189">
          <cell r="Q189">
            <v>0</v>
          </cell>
        </row>
        <row r="190">
          <cell r="Q190">
            <v>0</v>
          </cell>
        </row>
        <row r="191">
          <cell r="Q191">
            <v>0</v>
          </cell>
        </row>
        <row r="192">
          <cell r="Q192">
            <v>0</v>
          </cell>
        </row>
        <row r="193">
          <cell r="Q193">
            <v>0</v>
          </cell>
        </row>
        <row r="217">
          <cell r="Q217">
            <v>0</v>
          </cell>
        </row>
        <row r="218"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Q233">
            <v>0</v>
          </cell>
        </row>
        <row r="234">
          <cell r="Q234">
            <v>0</v>
          </cell>
        </row>
        <row r="235">
          <cell r="Q235">
            <v>0</v>
          </cell>
        </row>
        <row r="236">
          <cell r="Q236">
            <v>0</v>
          </cell>
        </row>
        <row r="237"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4.xml"/><Relationship Id="rId117" Type="http://schemas.openxmlformats.org/officeDocument/2006/relationships/ctrlProp" Target="../ctrlProps/ctrlProp125.xml"/><Relationship Id="rId21" Type="http://schemas.openxmlformats.org/officeDocument/2006/relationships/ctrlProp" Target="../ctrlProps/ctrlProp29.xml"/><Relationship Id="rId42" Type="http://schemas.openxmlformats.org/officeDocument/2006/relationships/ctrlProp" Target="../ctrlProps/ctrlProp50.xml"/><Relationship Id="rId47" Type="http://schemas.openxmlformats.org/officeDocument/2006/relationships/ctrlProp" Target="../ctrlProps/ctrlProp55.xml"/><Relationship Id="rId63" Type="http://schemas.openxmlformats.org/officeDocument/2006/relationships/ctrlProp" Target="../ctrlProps/ctrlProp71.xml"/><Relationship Id="rId68" Type="http://schemas.openxmlformats.org/officeDocument/2006/relationships/ctrlProp" Target="../ctrlProps/ctrlProp76.xml"/><Relationship Id="rId84" Type="http://schemas.openxmlformats.org/officeDocument/2006/relationships/ctrlProp" Target="../ctrlProps/ctrlProp92.xml"/><Relationship Id="rId89" Type="http://schemas.openxmlformats.org/officeDocument/2006/relationships/ctrlProp" Target="../ctrlProps/ctrlProp97.xml"/><Relationship Id="rId112" Type="http://schemas.openxmlformats.org/officeDocument/2006/relationships/ctrlProp" Target="../ctrlProps/ctrlProp120.xml"/><Relationship Id="rId16" Type="http://schemas.openxmlformats.org/officeDocument/2006/relationships/ctrlProp" Target="../ctrlProps/ctrlProp24.xml"/><Relationship Id="rId107" Type="http://schemas.openxmlformats.org/officeDocument/2006/relationships/ctrlProp" Target="../ctrlProps/ctrlProp115.xml"/><Relationship Id="rId11" Type="http://schemas.openxmlformats.org/officeDocument/2006/relationships/ctrlProp" Target="../ctrlProps/ctrlProp19.xml"/><Relationship Id="rId32" Type="http://schemas.openxmlformats.org/officeDocument/2006/relationships/ctrlProp" Target="../ctrlProps/ctrlProp40.xml"/><Relationship Id="rId37" Type="http://schemas.openxmlformats.org/officeDocument/2006/relationships/ctrlProp" Target="../ctrlProps/ctrlProp45.xml"/><Relationship Id="rId53" Type="http://schemas.openxmlformats.org/officeDocument/2006/relationships/ctrlProp" Target="../ctrlProps/ctrlProp61.xml"/><Relationship Id="rId58" Type="http://schemas.openxmlformats.org/officeDocument/2006/relationships/ctrlProp" Target="../ctrlProps/ctrlProp66.xml"/><Relationship Id="rId74" Type="http://schemas.openxmlformats.org/officeDocument/2006/relationships/ctrlProp" Target="../ctrlProps/ctrlProp82.xml"/><Relationship Id="rId79" Type="http://schemas.openxmlformats.org/officeDocument/2006/relationships/ctrlProp" Target="../ctrlProps/ctrlProp87.xml"/><Relationship Id="rId102" Type="http://schemas.openxmlformats.org/officeDocument/2006/relationships/ctrlProp" Target="../ctrlProps/ctrlProp110.xml"/><Relationship Id="rId5" Type="http://schemas.openxmlformats.org/officeDocument/2006/relationships/ctrlProp" Target="../ctrlProps/ctrlProp13.xml"/><Relationship Id="rId90" Type="http://schemas.openxmlformats.org/officeDocument/2006/relationships/ctrlProp" Target="../ctrlProps/ctrlProp98.xml"/><Relationship Id="rId95" Type="http://schemas.openxmlformats.org/officeDocument/2006/relationships/ctrlProp" Target="../ctrlProps/ctrlProp103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3" Type="http://schemas.openxmlformats.org/officeDocument/2006/relationships/ctrlProp" Target="../ctrlProps/ctrlProp51.xml"/><Relationship Id="rId48" Type="http://schemas.openxmlformats.org/officeDocument/2006/relationships/ctrlProp" Target="../ctrlProps/ctrlProp56.xml"/><Relationship Id="rId64" Type="http://schemas.openxmlformats.org/officeDocument/2006/relationships/ctrlProp" Target="../ctrlProps/ctrlProp72.xml"/><Relationship Id="rId69" Type="http://schemas.openxmlformats.org/officeDocument/2006/relationships/ctrlProp" Target="../ctrlProps/ctrlProp77.xml"/><Relationship Id="rId113" Type="http://schemas.openxmlformats.org/officeDocument/2006/relationships/ctrlProp" Target="../ctrlProps/ctrlProp121.xml"/><Relationship Id="rId118" Type="http://schemas.openxmlformats.org/officeDocument/2006/relationships/ctrlProp" Target="../ctrlProps/ctrlProp126.xml"/><Relationship Id="rId80" Type="http://schemas.openxmlformats.org/officeDocument/2006/relationships/ctrlProp" Target="../ctrlProps/ctrlProp88.xml"/><Relationship Id="rId85" Type="http://schemas.openxmlformats.org/officeDocument/2006/relationships/ctrlProp" Target="../ctrlProps/ctrlProp93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33" Type="http://schemas.openxmlformats.org/officeDocument/2006/relationships/ctrlProp" Target="../ctrlProps/ctrlProp41.xml"/><Relationship Id="rId38" Type="http://schemas.openxmlformats.org/officeDocument/2006/relationships/ctrlProp" Target="../ctrlProps/ctrlProp46.xml"/><Relationship Id="rId59" Type="http://schemas.openxmlformats.org/officeDocument/2006/relationships/ctrlProp" Target="../ctrlProps/ctrlProp67.xml"/><Relationship Id="rId103" Type="http://schemas.openxmlformats.org/officeDocument/2006/relationships/ctrlProp" Target="../ctrlProps/ctrlProp111.xml"/><Relationship Id="rId108" Type="http://schemas.openxmlformats.org/officeDocument/2006/relationships/ctrlProp" Target="../ctrlProps/ctrlProp116.xml"/><Relationship Id="rId54" Type="http://schemas.openxmlformats.org/officeDocument/2006/relationships/ctrlProp" Target="../ctrlProps/ctrlProp62.xml"/><Relationship Id="rId70" Type="http://schemas.openxmlformats.org/officeDocument/2006/relationships/ctrlProp" Target="../ctrlProps/ctrlProp78.xml"/><Relationship Id="rId75" Type="http://schemas.openxmlformats.org/officeDocument/2006/relationships/ctrlProp" Target="../ctrlProps/ctrlProp83.xml"/><Relationship Id="rId91" Type="http://schemas.openxmlformats.org/officeDocument/2006/relationships/ctrlProp" Target="../ctrlProps/ctrlProp99.xml"/><Relationship Id="rId96" Type="http://schemas.openxmlformats.org/officeDocument/2006/relationships/ctrlProp" Target="../ctrlProps/ctrlProp104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4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49" Type="http://schemas.openxmlformats.org/officeDocument/2006/relationships/ctrlProp" Target="../ctrlProps/ctrlProp57.xml"/><Relationship Id="rId114" Type="http://schemas.openxmlformats.org/officeDocument/2006/relationships/ctrlProp" Target="../ctrlProps/ctrlProp122.xml"/><Relationship Id="rId119" Type="http://schemas.openxmlformats.org/officeDocument/2006/relationships/ctrlProp" Target="../ctrlProps/ctrlProp127.xml"/><Relationship Id="rId44" Type="http://schemas.openxmlformats.org/officeDocument/2006/relationships/ctrlProp" Target="../ctrlProps/ctrlProp52.xml"/><Relationship Id="rId60" Type="http://schemas.openxmlformats.org/officeDocument/2006/relationships/ctrlProp" Target="../ctrlProps/ctrlProp68.xml"/><Relationship Id="rId65" Type="http://schemas.openxmlformats.org/officeDocument/2006/relationships/ctrlProp" Target="../ctrlProps/ctrlProp73.xml"/><Relationship Id="rId81" Type="http://schemas.openxmlformats.org/officeDocument/2006/relationships/ctrlProp" Target="../ctrlProps/ctrlProp89.xml"/><Relationship Id="rId86" Type="http://schemas.openxmlformats.org/officeDocument/2006/relationships/ctrlProp" Target="../ctrlProps/ctrlProp94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39" Type="http://schemas.openxmlformats.org/officeDocument/2006/relationships/ctrlProp" Target="../ctrlProps/ctrlProp47.xml"/><Relationship Id="rId109" Type="http://schemas.openxmlformats.org/officeDocument/2006/relationships/ctrlProp" Target="../ctrlProps/ctrlProp117.xml"/><Relationship Id="rId34" Type="http://schemas.openxmlformats.org/officeDocument/2006/relationships/ctrlProp" Target="../ctrlProps/ctrlProp42.xml"/><Relationship Id="rId50" Type="http://schemas.openxmlformats.org/officeDocument/2006/relationships/ctrlProp" Target="../ctrlProps/ctrlProp58.xml"/><Relationship Id="rId55" Type="http://schemas.openxmlformats.org/officeDocument/2006/relationships/ctrlProp" Target="../ctrlProps/ctrlProp63.xml"/><Relationship Id="rId76" Type="http://schemas.openxmlformats.org/officeDocument/2006/relationships/ctrlProp" Target="../ctrlProps/ctrlProp84.xml"/><Relationship Id="rId97" Type="http://schemas.openxmlformats.org/officeDocument/2006/relationships/ctrlProp" Target="../ctrlProps/ctrlProp105.xml"/><Relationship Id="rId104" Type="http://schemas.openxmlformats.org/officeDocument/2006/relationships/ctrlProp" Target="../ctrlProps/ctrlProp112.xml"/><Relationship Id="rId120" Type="http://schemas.openxmlformats.org/officeDocument/2006/relationships/ctrlProp" Target="../ctrlProps/ctrlProp128.xml"/><Relationship Id="rId7" Type="http://schemas.openxmlformats.org/officeDocument/2006/relationships/ctrlProp" Target="../ctrlProps/ctrlProp15.xml"/><Relationship Id="rId71" Type="http://schemas.openxmlformats.org/officeDocument/2006/relationships/ctrlProp" Target="../ctrlProps/ctrlProp79.xml"/><Relationship Id="rId92" Type="http://schemas.openxmlformats.org/officeDocument/2006/relationships/ctrlProp" Target="../ctrlProps/ctrlProp100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7.xml"/><Relationship Id="rId24" Type="http://schemas.openxmlformats.org/officeDocument/2006/relationships/ctrlProp" Target="../ctrlProps/ctrlProp32.xml"/><Relationship Id="rId40" Type="http://schemas.openxmlformats.org/officeDocument/2006/relationships/ctrlProp" Target="../ctrlProps/ctrlProp48.xml"/><Relationship Id="rId45" Type="http://schemas.openxmlformats.org/officeDocument/2006/relationships/ctrlProp" Target="../ctrlProps/ctrlProp53.xml"/><Relationship Id="rId66" Type="http://schemas.openxmlformats.org/officeDocument/2006/relationships/ctrlProp" Target="../ctrlProps/ctrlProp74.xml"/><Relationship Id="rId87" Type="http://schemas.openxmlformats.org/officeDocument/2006/relationships/ctrlProp" Target="../ctrlProps/ctrlProp95.xml"/><Relationship Id="rId110" Type="http://schemas.openxmlformats.org/officeDocument/2006/relationships/ctrlProp" Target="../ctrlProps/ctrlProp118.xml"/><Relationship Id="rId115" Type="http://schemas.openxmlformats.org/officeDocument/2006/relationships/ctrlProp" Target="../ctrlProps/ctrlProp123.xml"/><Relationship Id="rId61" Type="http://schemas.openxmlformats.org/officeDocument/2006/relationships/ctrlProp" Target="../ctrlProps/ctrlProp69.xml"/><Relationship Id="rId82" Type="http://schemas.openxmlformats.org/officeDocument/2006/relationships/ctrlProp" Target="../ctrlProps/ctrlProp90.xml"/><Relationship Id="rId19" Type="http://schemas.openxmlformats.org/officeDocument/2006/relationships/ctrlProp" Target="../ctrlProps/ctrlProp27.xml"/><Relationship Id="rId14" Type="http://schemas.openxmlformats.org/officeDocument/2006/relationships/ctrlProp" Target="../ctrlProps/ctrlProp22.xml"/><Relationship Id="rId30" Type="http://schemas.openxmlformats.org/officeDocument/2006/relationships/ctrlProp" Target="../ctrlProps/ctrlProp38.xml"/><Relationship Id="rId35" Type="http://schemas.openxmlformats.org/officeDocument/2006/relationships/ctrlProp" Target="../ctrlProps/ctrlProp43.xml"/><Relationship Id="rId56" Type="http://schemas.openxmlformats.org/officeDocument/2006/relationships/ctrlProp" Target="../ctrlProps/ctrlProp64.xml"/><Relationship Id="rId77" Type="http://schemas.openxmlformats.org/officeDocument/2006/relationships/ctrlProp" Target="../ctrlProps/ctrlProp85.xml"/><Relationship Id="rId100" Type="http://schemas.openxmlformats.org/officeDocument/2006/relationships/ctrlProp" Target="../ctrlProps/ctrlProp108.xml"/><Relationship Id="rId105" Type="http://schemas.openxmlformats.org/officeDocument/2006/relationships/ctrlProp" Target="../ctrlProps/ctrlProp113.xml"/><Relationship Id="rId8" Type="http://schemas.openxmlformats.org/officeDocument/2006/relationships/ctrlProp" Target="../ctrlProps/ctrlProp16.xml"/><Relationship Id="rId51" Type="http://schemas.openxmlformats.org/officeDocument/2006/relationships/ctrlProp" Target="../ctrlProps/ctrlProp59.xml"/><Relationship Id="rId72" Type="http://schemas.openxmlformats.org/officeDocument/2006/relationships/ctrlProp" Target="../ctrlProps/ctrlProp80.xml"/><Relationship Id="rId93" Type="http://schemas.openxmlformats.org/officeDocument/2006/relationships/ctrlProp" Target="../ctrlProps/ctrlProp101.xml"/><Relationship Id="rId98" Type="http://schemas.openxmlformats.org/officeDocument/2006/relationships/ctrlProp" Target="../ctrlProps/ctrlProp106.xml"/><Relationship Id="rId121" Type="http://schemas.openxmlformats.org/officeDocument/2006/relationships/ctrlProp" Target="../ctrlProps/ctrlProp129.xml"/><Relationship Id="rId3" Type="http://schemas.openxmlformats.org/officeDocument/2006/relationships/ctrlProp" Target="../ctrlProps/ctrlProp11.xml"/><Relationship Id="rId25" Type="http://schemas.openxmlformats.org/officeDocument/2006/relationships/ctrlProp" Target="../ctrlProps/ctrlProp33.xml"/><Relationship Id="rId46" Type="http://schemas.openxmlformats.org/officeDocument/2006/relationships/ctrlProp" Target="../ctrlProps/ctrlProp54.xml"/><Relationship Id="rId67" Type="http://schemas.openxmlformats.org/officeDocument/2006/relationships/ctrlProp" Target="../ctrlProps/ctrlProp75.xml"/><Relationship Id="rId116" Type="http://schemas.openxmlformats.org/officeDocument/2006/relationships/ctrlProp" Target="../ctrlProps/ctrlProp124.xml"/><Relationship Id="rId20" Type="http://schemas.openxmlformats.org/officeDocument/2006/relationships/ctrlProp" Target="../ctrlProps/ctrlProp28.xml"/><Relationship Id="rId41" Type="http://schemas.openxmlformats.org/officeDocument/2006/relationships/ctrlProp" Target="../ctrlProps/ctrlProp49.xml"/><Relationship Id="rId62" Type="http://schemas.openxmlformats.org/officeDocument/2006/relationships/ctrlProp" Target="../ctrlProps/ctrlProp70.xml"/><Relationship Id="rId83" Type="http://schemas.openxmlformats.org/officeDocument/2006/relationships/ctrlProp" Target="../ctrlProps/ctrlProp91.xml"/><Relationship Id="rId88" Type="http://schemas.openxmlformats.org/officeDocument/2006/relationships/ctrlProp" Target="../ctrlProps/ctrlProp96.xml"/><Relationship Id="rId111" Type="http://schemas.openxmlformats.org/officeDocument/2006/relationships/ctrlProp" Target="../ctrlProps/ctrlProp119.xml"/><Relationship Id="rId15" Type="http://schemas.openxmlformats.org/officeDocument/2006/relationships/ctrlProp" Target="../ctrlProps/ctrlProp23.xml"/><Relationship Id="rId36" Type="http://schemas.openxmlformats.org/officeDocument/2006/relationships/ctrlProp" Target="../ctrlProps/ctrlProp44.xml"/><Relationship Id="rId57" Type="http://schemas.openxmlformats.org/officeDocument/2006/relationships/ctrlProp" Target="../ctrlProps/ctrlProp65.xml"/><Relationship Id="rId106" Type="http://schemas.openxmlformats.org/officeDocument/2006/relationships/ctrlProp" Target="../ctrlProps/ctrlProp114.xml"/><Relationship Id="rId10" Type="http://schemas.openxmlformats.org/officeDocument/2006/relationships/ctrlProp" Target="../ctrlProps/ctrlProp18.xml"/><Relationship Id="rId31" Type="http://schemas.openxmlformats.org/officeDocument/2006/relationships/ctrlProp" Target="../ctrlProps/ctrlProp39.xml"/><Relationship Id="rId52" Type="http://schemas.openxmlformats.org/officeDocument/2006/relationships/ctrlProp" Target="../ctrlProps/ctrlProp60.xml"/><Relationship Id="rId73" Type="http://schemas.openxmlformats.org/officeDocument/2006/relationships/ctrlProp" Target="../ctrlProps/ctrlProp81.xml"/><Relationship Id="rId78" Type="http://schemas.openxmlformats.org/officeDocument/2006/relationships/ctrlProp" Target="../ctrlProps/ctrlProp86.xml"/><Relationship Id="rId94" Type="http://schemas.openxmlformats.org/officeDocument/2006/relationships/ctrlProp" Target="../ctrlProps/ctrlProp102.xml"/><Relationship Id="rId99" Type="http://schemas.openxmlformats.org/officeDocument/2006/relationships/ctrlProp" Target="../ctrlProps/ctrlProp107.xml"/><Relationship Id="rId101" Type="http://schemas.openxmlformats.org/officeDocument/2006/relationships/ctrlProp" Target="../ctrlProps/ctrlProp10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2.xml"/><Relationship Id="rId5" Type="http://schemas.openxmlformats.org/officeDocument/2006/relationships/ctrlProp" Target="../ctrlProps/ctrlProp131.xml"/><Relationship Id="rId4" Type="http://schemas.openxmlformats.org/officeDocument/2006/relationships/ctrlProp" Target="../ctrlProps/ctrlProp13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>
      <selection activeCell="G19" sqref="G19"/>
    </sheetView>
  </sheetViews>
  <sheetFormatPr defaultRowHeight="12.75" x14ac:dyDescent="0.2"/>
  <cols>
    <col min="1" max="2" width="9.140625" style="818"/>
    <col min="3" max="3" width="9.140625" style="632"/>
    <col min="4" max="4" width="9.140625" style="818"/>
    <col min="5" max="5" width="10.140625" style="818" customWidth="1"/>
    <col min="6" max="6" width="9.85546875" style="818" customWidth="1"/>
    <col min="7" max="9" width="9.140625" style="818"/>
    <col min="10" max="10" width="10.28515625" style="818" customWidth="1"/>
    <col min="11" max="11" width="9.140625" style="818"/>
    <col min="12" max="12" width="9.140625" style="886"/>
    <col min="13" max="16384" width="9.140625" style="818"/>
  </cols>
  <sheetData>
    <row r="6" spans="2:45" s="564" customFormat="1" x14ac:dyDescent="0.2">
      <c r="C6" s="632"/>
      <c r="L6" s="565"/>
    </row>
    <row r="7" spans="2:45" s="564" customFormat="1" x14ac:dyDescent="0.2">
      <c r="C7" s="632"/>
      <c r="M7" s="565"/>
    </row>
    <row r="8" spans="2:45" s="564" customFormat="1" x14ac:dyDescent="0.2">
      <c r="C8" s="632"/>
      <c r="E8" s="564" t="s">
        <v>360</v>
      </c>
      <c r="F8" s="564" t="s">
        <v>345</v>
      </c>
      <c r="I8" s="564" t="s">
        <v>360</v>
      </c>
      <c r="J8" s="852"/>
      <c r="K8" s="888" t="s">
        <v>381</v>
      </c>
      <c r="M8" s="565"/>
      <c r="P8" s="564" t="s">
        <v>372</v>
      </c>
      <c r="R8" s="888" t="s">
        <v>382</v>
      </c>
      <c r="T8" s="565"/>
      <c r="W8" s="564" t="s">
        <v>372</v>
      </c>
    </row>
    <row r="9" spans="2:45" s="564" customFormat="1" x14ac:dyDescent="0.2">
      <c r="B9" s="647"/>
      <c r="C9" s="853"/>
      <c r="D9" s="647" t="s">
        <v>334</v>
      </c>
      <c r="E9" s="647" t="s">
        <v>53</v>
      </c>
      <c r="F9" s="647" t="s">
        <v>346</v>
      </c>
      <c r="G9" s="647" t="s">
        <v>359</v>
      </c>
      <c r="H9" s="647" t="s">
        <v>323</v>
      </c>
      <c r="I9" s="647" t="s">
        <v>53</v>
      </c>
      <c r="J9" s="646" t="s">
        <v>43</v>
      </c>
      <c r="K9" s="705"/>
      <c r="M9" s="565" t="s">
        <v>68</v>
      </c>
      <c r="N9" s="564" t="s">
        <v>54</v>
      </c>
      <c r="O9" s="564" t="s">
        <v>205</v>
      </c>
      <c r="P9" s="564" t="s">
        <v>84</v>
      </c>
      <c r="R9" s="705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">
      <c r="C10" s="632" t="s">
        <v>358</v>
      </c>
      <c r="D10" s="856"/>
      <c r="E10" s="856"/>
      <c r="F10" s="857">
        <v>12.837999999999999</v>
      </c>
      <c r="G10" s="856">
        <f ca="1">+Master!H21</f>
        <v>-415.13850679957039</v>
      </c>
      <c r="H10" s="856">
        <f>SUM(Master!D60:I60)</f>
        <v>2197.8590163934523</v>
      </c>
      <c r="I10" s="856"/>
      <c r="J10" s="858">
        <f ca="1">+I10+H10+G10</f>
        <v>1782.7205095938818</v>
      </c>
      <c r="K10" s="887"/>
      <c r="L10" s="856"/>
      <c r="M10" s="585"/>
      <c r="N10" s="861"/>
      <c r="O10" s="861"/>
      <c r="R10" s="887"/>
      <c r="S10" s="856"/>
      <c r="T10" s="585"/>
      <c r="U10" s="861"/>
      <c r="V10" s="861"/>
      <c r="AE10" s="890">
        <v>37074</v>
      </c>
      <c r="AF10" s="886">
        <f>+Master!B64</f>
        <v>0</v>
      </c>
      <c r="AG10" s="886"/>
      <c r="AH10" s="886"/>
      <c r="AI10" s="886"/>
      <c r="AJ10" s="886"/>
    </row>
    <row r="11" spans="2:45" x14ac:dyDescent="0.2">
      <c r="C11" s="632" t="s">
        <v>265</v>
      </c>
      <c r="D11" s="856"/>
      <c r="E11" s="856"/>
      <c r="F11" s="857">
        <v>10.37</v>
      </c>
      <c r="G11" s="856">
        <f ca="1">+Master!H34</f>
        <v>-208.82382234932797</v>
      </c>
      <c r="H11" s="856">
        <f>+Total!U61</f>
        <v>-965.70023419203449</v>
      </c>
      <c r="I11" s="856"/>
      <c r="J11" s="858">
        <f t="shared" ref="J11:J19" ca="1" si="0">+I11+H11+G11</f>
        <v>-1174.5240565413624</v>
      </c>
      <c r="K11" s="632" t="s">
        <v>265</v>
      </c>
      <c r="L11" s="856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2" t="s">
        <v>265</v>
      </c>
      <c r="S11" s="856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90">
        <v>37075</v>
      </c>
      <c r="AF11" s="886">
        <f>+AF10</f>
        <v>0</v>
      </c>
      <c r="AG11" s="886"/>
      <c r="AH11" s="886" t="s">
        <v>390</v>
      </c>
      <c r="AI11" s="886">
        <v>24</v>
      </c>
      <c r="AJ11" s="886"/>
    </row>
    <row r="12" spans="2:45" x14ac:dyDescent="0.2">
      <c r="C12" s="632" t="s">
        <v>272</v>
      </c>
      <c r="D12" s="856"/>
      <c r="E12" s="856"/>
      <c r="F12" s="857">
        <v>10.028</v>
      </c>
      <c r="G12" s="856">
        <f ca="1">+Master!H47</f>
        <v>-2266.5630183702347</v>
      </c>
      <c r="H12" s="856">
        <f>+Total!U73</f>
        <v>723</v>
      </c>
      <c r="I12" s="856"/>
      <c r="J12" s="858">
        <f t="shared" ca="1" si="0"/>
        <v>-1543.5630183702347</v>
      </c>
      <c r="K12" s="632" t="s">
        <v>272</v>
      </c>
      <c r="L12" s="857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2" t="s">
        <v>272</v>
      </c>
      <c r="S12" s="857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90">
        <v>37077</v>
      </c>
      <c r="AF12" s="886">
        <f>+AF11</f>
        <v>0</v>
      </c>
      <c r="AG12" s="886"/>
      <c r="AH12" s="886" t="s">
        <v>391</v>
      </c>
      <c r="AI12" s="886">
        <f>+AI11</f>
        <v>24</v>
      </c>
      <c r="AJ12" s="886"/>
      <c r="AM12" s="959"/>
      <c r="AN12" s="959"/>
      <c r="AO12" s="959">
        <v>41275</v>
      </c>
      <c r="AP12" s="960">
        <f>VLOOKUP(AO12,Interest!$X$8:$AC$367,6)</f>
        <v>0.51722103885045057</v>
      </c>
      <c r="AQ12" s="818">
        <v>36.282386779785156</v>
      </c>
      <c r="AR12" s="822">
        <f>+TradeSum!CD61*AP12</f>
        <v>173.7862690537514</v>
      </c>
      <c r="AS12" s="822">
        <f>+AR12*AQ12</f>
        <v>6305.3806308240155</v>
      </c>
    </row>
    <row r="13" spans="2:45" x14ac:dyDescent="0.2">
      <c r="C13" s="632" t="s">
        <v>278</v>
      </c>
      <c r="D13" s="856"/>
      <c r="E13" s="856"/>
      <c r="F13" s="857">
        <v>9.7720000000000002</v>
      </c>
      <c r="G13" s="856">
        <v>243</v>
      </c>
      <c r="H13" s="856">
        <f>+Total!U85</f>
        <v>0</v>
      </c>
      <c r="I13" s="856"/>
      <c r="J13" s="858">
        <f t="shared" si="0"/>
        <v>243</v>
      </c>
      <c r="K13" s="632" t="s">
        <v>278</v>
      </c>
      <c r="L13" s="857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2" t="s">
        <v>278</v>
      </c>
      <c r="S13" s="857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91"/>
      <c r="AE13" s="892">
        <v>37078</v>
      </c>
      <c r="AF13" s="886">
        <f>+AF12</f>
        <v>0</v>
      </c>
      <c r="AG13" s="893">
        <f>AVERAGE(AF10:AF13)</f>
        <v>0</v>
      </c>
      <c r="AH13" s="893" t="s">
        <v>392</v>
      </c>
      <c r="AI13" s="886">
        <f>+AI12</f>
        <v>24</v>
      </c>
      <c r="AJ13" s="893"/>
      <c r="AM13" s="959"/>
      <c r="AO13" s="959">
        <v>41306</v>
      </c>
      <c r="AP13" s="960">
        <f>VLOOKUP(AO13,Interest!$X$8:$AC$367,6)</f>
        <v>0.51471749712003556</v>
      </c>
      <c r="AQ13" s="818">
        <v>35.682384490966797</v>
      </c>
      <c r="AR13" s="822">
        <f>+TradeSum!CD62*AP13</f>
        <v>181.18055898625252</v>
      </c>
      <c r="AS13" s="822">
        <f t="shared" ref="AS13:AS23" si="5">+AR13*AQ13</f>
        <v>6464.9543680357519</v>
      </c>
    </row>
    <row r="14" spans="2:45" x14ac:dyDescent="0.2">
      <c r="C14" s="632" t="s">
        <v>314</v>
      </c>
      <c r="D14" s="856"/>
      <c r="E14" s="856"/>
      <c r="F14" s="857">
        <v>9.6300000000000008</v>
      </c>
      <c r="G14" s="856">
        <v>1407</v>
      </c>
      <c r="H14" s="856">
        <f>+Total!U97</f>
        <v>0</v>
      </c>
      <c r="I14" s="856"/>
      <c r="J14" s="858">
        <f t="shared" si="0"/>
        <v>1407</v>
      </c>
      <c r="K14" s="632" t="s">
        <v>314</v>
      </c>
      <c r="L14" s="857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2" t="s">
        <v>314</v>
      </c>
      <c r="S14" s="857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90">
        <v>37081</v>
      </c>
      <c r="AF14" s="886" t="e">
        <f>+Master!#REF!</f>
        <v>#REF!</v>
      </c>
      <c r="AG14" s="894">
        <v>27</v>
      </c>
      <c r="AH14" s="886" t="s">
        <v>393</v>
      </c>
      <c r="AI14" s="886">
        <f>+AI13+5</f>
        <v>29</v>
      </c>
      <c r="AJ14" s="886"/>
      <c r="AM14" s="959"/>
      <c r="AO14" s="959">
        <v>41334</v>
      </c>
      <c r="AP14" s="960">
        <f>VLOOKUP(AO14,Interest!$X$8:$AC$367,6)</f>
        <v>0.51200274778082089</v>
      </c>
      <c r="AQ14" s="818">
        <v>34.897285461425781</v>
      </c>
      <c r="AR14" s="822">
        <f>+TradeSum!CD63*AP14</f>
        <v>180.22496721884895</v>
      </c>
      <c r="AS14" s="822">
        <f t="shared" si="5"/>
        <v>6289.3621283122757</v>
      </c>
    </row>
    <row r="15" spans="2:45" x14ac:dyDescent="0.2">
      <c r="C15" s="632" t="s">
        <v>315</v>
      </c>
      <c r="D15" s="856"/>
      <c r="E15" s="856"/>
      <c r="F15" s="857">
        <v>9.3989999999999991</v>
      </c>
      <c r="G15" s="856">
        <v>-759</v>
      </c>
      <c r="H15" s="856">
        <f>+Total!U109</f>
        <v>0</v>
      </c>
      <c r="I15" s="856"/>
      <c r="J15" s="858">
        <f t="shared" si="0"/>
        <v>-759</v>
      </c>
      <c r="K15" s="632" t="s">
        <v>315</v>
      </c>
      <c r="L15" s="857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2" t="s">
        <v>315</v>
      </c>
      <c r="S15" s="857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90">
        <v>37082</v>
      </c>
      <c r="AF15" s="886" t="e">
        <f t="shared" ref="AF15:AF30" si="7">+AF14</f>
        <v>#REF!</v>
      </c>
      <c r="AG15" s="886"/>
      <c r="AH15" s="886" t="s">
        <v>394</v>
      </c>
      <c r="AI15" s="886">
        <f>+AI14</f>
        <v>29</v>
      </c>
      <c r="AJ15" s="886"/>
      <c r="AM15" s="959"/>
      <c r="AO15" s="959">
        <v>41365</v>
      </c>
      <c r="AP15" s="960">
        <f>VLOOKUP(AO15,Interest!$X$8:$AC$367,6)</f>
        <v>0.50935766338488342</v>
      </c>
      <c r="AQ15" s="818">
        <v>35.097286224365234</v>
      </c>
      <c r="AR15" s="822">
        <f>+TradeSum!CD64*AP15</f>
        <v>162.9944522831627</v>
      </c>
      <c r="AS15" s="822">
        <f t="shared" si="5"/>
        <v>5720.6629447658024</v>
      </c>
    </row>
    <row r="16" spans="2:45" x14ac:dyDescent="0.2">
      <c r="C16" s="632" t="s">
        <v>316</v>
      </c>
      <c r="D16" s="856"/>
      <c r="E16" s="856"/>
      <c r="F16" s="857">
        <v>9.3859999999999992</v>
      </c>
      <c r="G16" s="856">
        <v>-427</v>
      </c>
      <c r="H16" s="856">
        <f>+Total!U121</f>
        <v>0</v>
      </c>
      <c r="I16" s="856"/>
      <c r="J16" s="858">
        <f t="shared" si="0"/>
        <v>-427</v>
      </c>
      <c r="K16" s="632" t="s">
        <v>316</v>
      </c>
      <c r="L16" s="857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2" t="s">
        <v>316</v>
      </c>
      <c r="S16" s="857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90">
        <v>37083</v>
      </c>
      <c r="AF16" s="886" t="e">
        <f t="shared" si="7"/>
        <v>#REF!</v>
      </c>
      <c r="AG16" s="886"/>
      <c r="AH16" s="886" t="s">
        <v>395</v>
      </c>
      <c r="AI16" s="886">
        <f>+AI15+10</f>
        <v>39</v>
      </c>
      <c r="AJ16" s="886"/>
      <c r="AM16" s="959"/>
      <c r="AO16" s="959">
        <v>41395</v>
      </c>
      <c r="AP16" s="960">
        <f>VLOOKUP(AO16,Interest!$X$8:$AC$367,6)</f>
        <v>0.50665040402569772</v>
      </c>
      <c r="AQ16" s="818">
        <v>41.003570556640625</v>
      </c>
      <c r="AR16" s="822">
        <f>+TradeSum!CD65*AP16</f>
        <v>178.34094221704561</v>
      </c>
      <c r="AS16" s="822">
        <f t="shared" si="5"/>
        <v>7312.6154073343987</v>
      </c>
    </row>
    <row r="17" spans="3:45" x14ac:dyDescent="0.2">
      <c r="C17" s="632" t="s">
        <v>317</v>
      </c>
      <c r="D17" s="856"/>
      <c r="E17" s="856"/>
      <c r="F17" s="857">
        <v>9.3230000000000004</v>
      </c>
      <c r="G17" s="856">
        <v>-168</v>
      </c>
      <c r="H17" s="856">
        <f>+Total!U133</f>
        <v>0</v>
      </c>
      <c r="I17" s="856"/>
      <c r="J17" s="858">
        <f t="shared" si="0"/>
        <v>-168</v>
      </c>
      <c r="K17" s="632" t="s">
        <v>317</v>
      </c>
      <c r="L17" s="857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2" t="s">
        <v>317</v>
      </c>
      <c r="S17" s="857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90">
        <v>37084</v>
      </c>
      <c r="AF17" s="886" t="e">
        <f t="shared" si="7"/>
        <v>#REF!</v>
      </c>
      <c r="AG17" s="886"/>
      <c r="AH17" s="886" t="s">
        <v>396</v>
      </c>
      <c r="AI17" s="886">
        <f>+AI16+5</f>
        <v>44</v>
      </c>
      <c r="AJ17" s="886"/>
      <c r="AM17" s="959"/>
      <c r="AO17" s="959">
        <v>41426</v>
      </c>
      <c r="AP17" s="960">
        <f>VLOOKUP(AO17,Interest!$X$8:$AC$367,6)</f>
        <v>0.50402664466767721</v>
      </c>
      <c r="AQ17" s="818">
        <v>55.002857208251953</v>
      </c>
      <c r="AR17" s="822">
        <f>+TradeSum!CD66*AP17</f>
        <v>177.41737892302237</v>
      </c>
      <c r="AS17" s="822">
        <f t="shared" si="5"/>
        <v>9758.4627591653298</v>
      </c>
    </row>
    <row r="18" spans="3:45" x14ac:dyDescent="0.2">
      <c r="C18" s="632" t="s">
        <v>318</v>
      </c>
      <c r="D18" s="856"/>
      <c r="E18" s="856"/>
      <c r="F18" s="857">
        <v>9.2889999999999997</v>
      </c>
      <c r="G18" s="856">
        <v>-738</v>
      </c>
      <c r="H18" s="856">
        <f>+Total!U145</f>
        <v>0</v>
      </c>
      <c r="I18" s="856"/>
      <c r="J18" s="858">
        <f t="shared" si="0"/>
        <v>-738</v>
      </c>
      <c r="K18" s="632" t="s">
        <v>318</v>
      </c>
      <c r="L18" s="857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2" t="s">
        <v>318</v>
      </c>
      <c r="S18" s="857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91"/>
      <c r="AE18" s="892">
        <v>37085</v>
      </c>
      <c r="AF18" s="886" t="e">
        <f t="shared" si="7"/>
        <v>#REF!</v>
      </c>
      <c r="AG18" s="893" t="e">
        <f>AVERAGE(AF14:AF18)</f>
        <v>#REF!</v>
      </c>
      <c r="AH18" s="893" t="s">
        <v>397</v>
      </c>
      <c r="AI18" s="886">
        <f>+AI17+10</f>
        <v>54</v>
      </c>
      <c r="AJ18" s="893"/>
      <c r="AM18" s="959"/>
      <c r="AO18" s="959">
        <v>41456</v>
      </c>
      <c r="AP18" s="960">
        <f>VLOOKUP(AO18,Interest!$X$8:$AC$367,6)</f>
        <v>0.50134142753541822</v>
      </c>
      <c r="AQ18" s="818">
        <v>61.747146606445313</v>
      </c>
      <c r="AR18" s="822">
        <f>+TradeSum!CD67*AP18</f>
        <v>160.42925681133383</v>
      </c>
      <c r="AS18" s="822">
        <f t="shared" si="5"/>
        <v>9906.0488402924948</v>
      </c>
    </row>
    <row r="19" spans="3:45" x14ac:dyDescent="0.2">
      <c r="C19" s="632" t="s">
        <v>319</v>
      </c>
      <c r="D19" s="856"/>
      <c r="E19" s="856"/>
      <c r="F19" s="857">
        <v>9.2319999999999993</v>
      </c>
      <c r="G19" s="856">
        <v>-278</v>
      </c>
      <c r="H19" s="856">
        <f>+Total!U157</f>
        <v>0</v>
      </c>
      <c r="I19" s="856"/>
      <c r="J19" s="858">
        <f t="shared" si="0"/>
        <v>-278</v>
      </c>
      <c r="K19" s="632" t="s">
        <v>319</v>
      </c>
      <c r="L19" s="857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2" t="s">
        <v>319</v>
      </c>
      <c r="S19" s="857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90">
        <v>37088</v>
      </c>
      <c r="AF19" s="886" t="e">
        <f>+Master!#REF!</f>
        <v>#REF!</v>
      </c>
      <c r="AG19" s="894">
        <v>25</v>
      </c>
      <c r="AH19" s="886" t="s">
        <v>398</v>
      </c>
      <c r="AI19" s="886">
        <f>+AI18+25</f>
        <v>79</v>
      </c>
      <c r="AJ19" s="886"/>
      <c r="AM19" s="959"/>
      <c r="AO19" s="959">
        <v>41487</v>
      </c>
      <c r="AP19" s="960">
        <f>VLOOKUP(AO19,Interest!$X$8:$AC$367,6)</f>
        <v>0.49865998236389864</v>
      </c>
      <c r="AQ19" s="818">
        <v>61.747146606445313</v>
      </c>
      <c r="AR19" s="822">
        <f>+TradeSum!CD68*AP19</f>
        <v>183.5068735099147</v>
      </c>
      <c r="AS19" s="822">
        <f t="shared" si="5"/>
        <v>11331.025821907118</v>
      </c>
    </row>
    <row r="20" spans="3:45" x14ac:dyDescent="0.2">
      <c r="D20" s="856"/>
      <c r="E20" s="856"/>
      <c r="F20" s="857"/>
      <c r="G20" s="856"/>
      <c r="H20" s="856"/>
      <c r="I20" s="856"/>
      <c r="J20" s="856"/>
      <c r="K20" s="632" t="s">
        <v>367</v>
      </c>
      <c r="L20" s="857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2" t="s">
        <v>367</v>
      </c>
      <c r="S20" s="857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90">
        <v>37089</v>
      </c>
      <c r="AF20" s="886" t="e">
        <f t="shared" si="7"/>
        <v>#REF!</v>
      </c>
      <c r="AG20" s="886"/>
      <c r="AH20" s="886" t="s">
        <v>383</v>
      </c>
      <c r="AI20" s="886">
        <f>+AI19+25</f>
        <v>104</v>
      </c>
      <c r="AJ20" s="886"/>
      <c r="AM20" s="959"/>
      <c r="AO20" s="959">
        <v>41518</v>
      </c>
      <c r="AP20" s="960">
        <f>VLOOKUP(AO20,Interest!$X$8:$AC$367,6)</f>
        <v>0.49606821296321912</v>
      </c>
      <c r="AQ20" s="818">
        <v>31.252140045166016</v>
      </c>
      <c r="AR20" s="822">
        <f>+TradeSum!CD69*AP20</f>
        <v>158.74182814823013</v>
      </c>
      <c r="AS20" s="822">
        <f t="shared" si="5"/>
        <v>4961.0218443141648</v>
      </c>
    </row>
    <row r="21" spans="3:45" x14ac:dyDescent="0.2">
      <c r="D21" s="856"/>
      <c r="E21" s="856">
        <f>SUM(E11:E19)*4000</f>
        <v>0</v>
      </c>
      <c r="F21" s="857"/>
      <c r="G21" s="856">
        <f ca="1">SUM(G10:G19)</f>
        <v>-3610.525347519133</v>
      </c>
      <c r="H21" s="856">
        <f>SUM(H10:H19)</f>
        <v>1955.1587822014178</v>
      </c>
      <c r="I21" s="856">
        <f>SUM(I10:I19)</f>
        <v>0</v>
      </c>
      <c r="J21" s="856">
        <f ca="1">SUM(J10:J19)</f>
        <v>-1655.3665653177152</v>
      </c>
      <c r="K21" s="632" t="s">
        <v>368</v>
      </c>
      <c r="L21" s="857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2" t="s">
        <v>368</v>
      </c>
      <c r="S21" s="857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90">
        <v>37090</v>
      </c>
      <c r="AF21" s="886" t="e">
        <f t="shared" si="7"/>
        <v>#REF!</v>
      </c>
      <c r="AG21" s="886"/>
      <c r="AH21" s="886" t="s">
        <v>384</v>
      </c>
      <c r="AI21" s="886">
        <f>+AI20+50</f>
        <v>154</v>
      </c>
      <c r="AJ21" s="886"/>
      <c r="AM21" s="959"/>
      <c r="AO21" s="959">
        <v>41548</v>
      </c>
      <c r="AP21" s="960">
        <f>VLOOKUP(AO21,Interest!$X$8:$AC$367,6)</f>
        <v>0.49341605511570413</v>
      </c>
      <c r="AQ21" s="818">
        <v>33.905181884765625</v>
      </c>
      <c r="AR21" s="822">
        <f>+TradeSum!CD70*AP21</f>
        <v>165.78779451887658</v>
      </c>
      <c r="AS21" s="822">
        <f t="shared" si="5"/>
        <v>5621.0653274366596</v>
      </c>
    </row>
    <row r="22" spans="3:45" x14ac:dyDescent="0.2">
      <c r="D22" s="856"/>
      <c r="E22" s="856"/>
      <c r="F22" s="857"/>
      <c r="G22" s="856"/>
      <c r="H22" s="856"/>
      <c r="I22" s="856"/>
      <c r="J22" s="856"/>
      <c r="K22" s="632" t="s">
        <v>369</v>
      </c>
      <c r="L22" s="857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2" t="s">
        <v>369</v>
      </c>
      <c r="S22" s="857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90">
        <v>37091</v>
      </c>
      <c r="AF22" s="886" t="e">
        <f t="shared" si="7"/>
        <v>#REF!</v>
      </c>
      <c r="AG22" s="886"/>
      <c r="AH22" s="886" t="s">
        <v>385</v>
      </c>
      <c r="AI22" s="886">
        <f>+AI21</f>
        <v>154</v>
      </c>
      <c r="AJ22" s="886"/>
      <c r="AM22" s="959"/>
      <c r="AO22" s="959">
        <v>41579</v>
      </c>
      <c r="AP22" s="960">
        <f>VLOOKUP(AO22,Interest!$X$8:$AC$367,6)</f>
        <v>0.49084538118518795</v>
      </c>
      <c r="AQ22" s="818">
        <v>34.005180358886719</v>
      </c>
      <c r="AR22" s="822">
        <f>+TradeSum!CD71*AP22</f>
        <v>172.77757417718615</v>
      </c>
      <c r="AS22" s="822">
        <f t="shared" si="5"/>
        <v>5875.3325718661436</v>
      </c>
    </row>
    <row r="23" spans="3:45" x14ac:dyDescent="0.2">
      <c r="D23" s="856"/>
      <c r="E23" s="856"/>
      <c r="F23" s="857"/>
      <c r="G23" s="856"/>
      <c r="H23" s="856"/>
      <c r="I23" s="856"/>
      <c r="J23" s="856"/>
      <c r="K23" s="632" t="s">
        <v>370</v>
      </c>
      <c r="L23" s="857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2" t="s">
        <v>370</v>
      </c>
      <c r="S23" s="857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91"/>
      <c r="AE23" s="892">
        <v>37092</v>
      </c>
      <c r="AF23" s="886" t="e">
        <f t="shared" si="7"/>
        <v>#REF!</v>
      </c>
      <c r="AG23" s="893" t="e">
        <f>AVERAGE(AF19:AF23)</f>
        <v>#REF!</v>
      </c>
      <c r="AH23" s="893" t="s">
        <v>386</v>
      </c>
      <c r="AI23" s="886">
        <f>+AI22-50</f>
        <v>104</v>
      </c>
      <c r="AJ23" s="893"/>
      <c r="AM23" s="959"/>
      <c r="AO23" s="959">
        <v>41609</v>
      </c>
      <c r="AP23" s="960">
        <f>VLOOKUP(AO23,Interest!$X$8:$AC$367,6)</f>
        <v>0.48821501969190545</v>
      </c>
      <c r="AQ23" s="818">
        <v>34.105178833007813</v>
      </c>
      <c r="AR23" s="822">
        <f>+TradeSum!CD72*AP23</f>
        <v>156.22880630140975</v>
      </c>
      <c r="AS23" s="822">
        <f t="shared" si="5"/>
        <v>5328.2113777769173</v>
      </c>
    </row>
    <row r="24" spans="3:45" x14ac:dyDescent="0.2">
      <c r="D24" s="856"/>
      <c r="E24" s="856"/>
      <c r="F24" s="857"/>
      <c r="G24" s="856"/>
      <c r="H24" s="856"/>
      <c r="I24" s="856"/>
      <c r="J24" s="856"/>
      <c r="K24" s="632" t="s">
        <v>371</v>
      </c>
      <c r="L24" s="857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2" t="s">
        <v>371</v>
      </c>
      <c r="S24" s="857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90">
        <v>37095</v>
      </c>
      <c r="AF24" s="886" t="e">
        <f>+Master!#REF!</f>
        <v>#REF!</v>
      </c>
      <c r="AG24" s="894">
        <v>-10</v>
      </c>
      <c r="AH24" s="886" t="s">
        <v>387</v>
      </c>
      <c r="AI24" s="886">
        <f>+AI23-25</f>
        <v>79</v>
      </c>
      <c r="AJ24" s="886"/>
    </row>
    <row r="25" spans="3:45" x14ac:dyDescent="0.2">
      <c r="D25" s="856"/>
      <c r="E25" s="856"/>
      <c r="F25" s="857"/>
      <c r="G25" s="856"/>
      <c r="H25" s="856"/>
      <c r="I25" s="998"/>
      <c r="J25" s="856"/>
      <c r="K25" s="632"/>
      <c r="L25" s="856"/>
      <c r="M25" s="585"/>
      <c r="N25" s="585"/>
      <c r="O25" s="585"/>
      <c r="P25" s="585"/>
      <c r="Q25" s="585"/>
      <c r="R25" s="632"/>
      <c r="S25" s="856"/>
      <c r="T25" s="585"/>
      <c r="U25" s="585"/>
      <c r="V25" s="585"/>
      <c r="W25" s="585"/>
      <c r="AE25" s="890">
        <v>37096</v>
      </c>
      <c r="AF25" s="886" t="e">
        <f t="shared" si="7"/>
        <v>#REF!</v>
      </c>
      <c r="AG25" s="886"/>
      <c r="AH25" s="886" t="s">
        <v>388</v>
      </c>
      <c r="AI25" s="886">
        <f>+AI24-25</f>
        <v>54</v>
      </c>
      <c r="AJ25" s="886"/>
      <c r="AQ25" s="818">
        <f>+AS25/AR25</f>
        <v>41.373429363774882</v>
      </c>
      <c r="AR25" s="822">
        <f>SUM(AR12:AR24)</f>
        <v>2051.4167021490343</v>
      </c>
      <c r="AS25" s="822">
        <f>SUM(AS12:AS24)</f>
        <v>84874.144022031091</v>
      </c>
    </row>
    <row r="26" spans="3:45" x14ac:dyDescent="0.2">
      <c r="C26" s="647"/>
      <c r="D26" s="996" t="s">
        <v>275</v>
      </c>
      <c r="E26" s="996" t="s">
        <v>484</v>
      </c>
      <c r="F26" s="996" t="s">
        <v>485</v>
      </c>
      <c r="G26" s="996" t="s">
        <v>486</v>
      </c>
      <c r="H26" s="996" t="s">
        <v>487</v>
      </c>
      <c r="I26" s="999" t="s">
        <v>5</v>
      </c>
      <c r="J26" s="997"/>
      <c r="K26" s="632" t="s">
        <v>373</v>
      </c>
      <c r="L26" s="857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2" t="s">
        <v>373</v>
      </c>
      <c r="S26" s="857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90">
        <v>37097</v>
      </c>
      <c r="AF26" s="886" t="e">
        <f t="shared" si="7"/>
        <v>#REF!</v>
      </c>
      <c r="AG26" s="886"/>
      <c r="AH26" s="886" t="s">
        <v>389</v>
      </c>
      <c r="AI26" s="886">
        <f>+AI25-25</f>
        <v>29</v>
      </c>
      <c r="AJ26" s="886"/>
    </row>
    <row r="27" spans="3:45" x14ac:dyDescent="0.2">
      <c r="C27" s="632" t="s">
        <v>278</v>
      </c>
      <c r="D27" s="619">
        <v>125</v>
      </c>
      <c r="E27" s="619"/>
      <c r="F27" s="619">
        <v>50</v>
      </c>
      <c r="G27" s="619">
        <v>52</v>
      </c>
      <c r="H27" s="619"/>
      <c r="I27" s="1000">
        <f>SUM(D27:H27)</f>
        <v>227</v>
      </c>
      <c r="J27" s="887">
        <f>(I27*4080*Total!S13)</f>
        <v>-167885.43343831573</v>
      </c>
      <c r="K27" s="632" t="s">
        <v>374</v>
      </c>
      <c r="L27" s="857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2" t="s">
        <v>374</v>
      </c>
      <c r="S27" s="857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90">
        <v>37098</v>
      </c>
      <c r="AF27" s="886" t="e">
        <f t="shared" si="7"/>
        <v>#REF!</v>
      </c>
      <c r="AG27" s="886"/>
      <c r="AH27" s="886"/>
      <c r="AI27" s="886"/>
      <c r="AJ27" s="886"/>
    </row>
    <row r="28" spans="3:45" x14ac:dyDescent="0.2">
      <c r="C28" s="632" t="s">
        <v>314</v>
      </c>
      <c r="D28" s="619"/>
      <c r="E28" s="619"/>
      <c r="F28" s="619">
        <v>-75</v>
      </c>
      <c r="G28" s="619">
        <v>142</v>
      </c>
      <c r="H28" s="619"/>
      <c r="I28" s="1000">
        <f t="shared" ref="I28:I33" si="9">SUM(D28:H28)</f>
        <v>67</v>
      </c>
      <c r="J28" s="887">
        <f>(I28*4080*Total!S14)</f>
        <v>-68797.236399816291</v>
      </c>
      <c r="K28" s="632" t="s">
        <v>375</v>
      </c>
      <c r="L28" s="857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2" t="s">
        <v>375</v>
      </c>
      <c r="S28" s="857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91"/>
      <c r="AE28" s="892">
        <v>37099</v>
      </c>
      <c r="AF28" s="886" t="e">
        <f t="shared" si="7"/>
        <v>#REF!</v>
      </c>
      <c r="AG28" s="893" t="e">
        <f>AVERAGE(AF24:AF28)</f>
        <v>#REF!</v>
      </c>
      <c r="AH28" s="893"/>
      <c r="AI28" s="895">
        <f>AVERAGE(AI10:AI26)</f>
        <v>64</v>
      </c>
      <c r="AJ28" s="893"/>
    </row>
    <row r="29" spans="3:45" x14ac:dyDescent="0.2">
      <c r="C29" s="632" t="s">
        <v>315</v>
      </c>
      <c r="D29" s="619"/>
      <c r="E29" s="619"/>
      <c r="F29" s="619">
        <v>-25</v>
      </c>
      <c r="G29" s="619">
        <v>95</v>
      </c>
      <c r="H29" s="619"/>
      <c r="I29" s="1000">
        <f t="shared" si="9"/>
        <v>70</v>
      </c>
      <c r="J29" s="887">
        <f>(I29*4080*Total!S15)</f>
        <v>-75606.680272722428</v>
      </c>
      <c r="K29" s="632" t="s">
        <v>376</v>
      </c>
      <c r="L29" s="857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2" t="s">
        <v>376</v>
      </c>
      <c r="S29" s="857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90">
        <v>37102</v>
      </c>
      <c r="AF29" s="886">
        <f>+'EOL LINKS'!H19</f>
        <v>54</v>
      </c>
      <c r="AG29" s="894">
        <v>-15</v>
      </c>
      <c r="AH29" s="886"/>
      <c r="AI29" s="886"/>
      <c r="AJ29" s="886"/>
    </row>
    <row r="30" spans="3:45" x14ac:dyDescent="0.2">
      <c r="C30" s="632" t="s">
        <v>316</v>
      </c>
      <c r="D30" s="619"/>
      <c r="E30" s="619"/>
      <c r="F30" s="619">
        <v>-25</v>
      </c>
      <c r="G30" s="619">
        <v>16</v>
      </c>
      <c r="H30" s="619"/>
      <c r="I30" s="1000">
        <f t="shared" si="9"/>
        <v>-9</v>
      </c>
      <c r="J30" s="887">
        <f>(I30*4080*Total!S16)</f>
        <v>8967.1464189358248</v>
      </c>
      <c r="K30" s="632" t="s">
        <v>377</v>
      </c>
      <c r="L30" s="857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2" t="s">
        <v>377</v>
      </c>
      <c r="S30" s="857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90">
        <v>37103</v>
      </c>
      <c r="AF30" s="886">
        <f t="shared" si="7"/>
        <v>54</v>
      </c>
      <c r="AG30" s="886">
        <f>AVERAGE(AF29:AF30)</f>
        <v>54</v>
      </c>
      <c r="AH30" s="886"/>
      <c r="AI30" s="886"/>
      <c r="AJ30" s="886"/>
    </row>
    <row r="31" spans="3:45" x14ac:dyDescent="0.2">
      <c r="C31" s="632" t="s">
        <v>317</v>
      </c>
      <c r="D31" s="619"/>
      <c r="E31" s="619"/>
      <c r="F31" s="619">
        <v>-25</v>
      </c>
      <c r="G31" s="619">
        <v>15</v>
      </c>
      <c r="H31" s="619"/>
      <c r="I31" s="1000">
        <f t="shared" si="9"/>
        <v>-10</v>
      </c>
      <c r="J31" s="887">
        <f>(I31*4080*Total!S17)</f>
        <v>8240.0930671830502</v>
      </c>
      <c r="K31" s="632" t="s">
        <v>378</v>
      </c>
      <c r="L31" s="857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2" t="s">
        <v>378</v>
      </c>
      <c r="S31" s="857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5" t="e">
        <f>AVERAGE(AF10:AF30)</f>
        <v>#REF!</v>
      </c>
      <c r="AG31" s="886"/>
      <c r="AH31" s="886"/>
      <c r="AI31" s="886"/>
      <c r="AJ31" s="886"/>
    </row>
    <row r="32" spans="3:45" x14ac:dyDescent="0.2">
      <c r="C32" s="632" t="s">
        <v>318</v>
      </c>
      <c r="D32" s="619"/>
      <c r="E32" s="619"/>
      <c r="F32" s="619"/>
      <c r="G32" s="619"/>
      <c r="H32" s="619"/>
      <c r="I32" s="1000">
        <f t="shared" si="9"/>
        <v>0</v>
      </c>
      <c r="J32" s="887">
        <f>(I32*4080*Total!S18)</f>
        <v>0</v>
      </c>
      <c r="K32" s="632" t="s">
        <v>379</v>
      </c>
      <c r="L32" s="857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2" t="s">
        <v>379</v>
      </c>
      <c r="S32" s="857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6"/>
      <c r="AG32" s="886"/>
      <c r="AH32" s="886"/>
      <c r="AI32" s="886"/>
      <c r="AJ32" s="886"/>
    </row>
    <row r="33" spans="3:36" x14ac:dyDescent="0.2">
      <c r="C33" s="632" t="s">
        <v>319</v>
      </c>
      <c r="D33" s="619"/>
      <c r="E33" s="619"/>
      <c r="F33" s="619"/>
      <c r="G33" s="619"/>
      <c r="H33" s="619"/>
      <c r="I33" s="1000">
        <f t="shared" si="9"/>
        <v>0</v>
      </c>
      <c r="J33" s="887">
        <f>(I33*4080*Total!S19)</f>
        <v>0</v>
      </c>
      <c r="K33" s="632" t="s">
        <v>380</v>
      </c>
      <c r="L33" s="857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2" t="s">
        <v>380</v>
      </c>
      <c r="S33" s="857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8">
        <v>0</v>
      </c>
      <c r="AF33" s="886"/>
      <c r="AG33" s="886"/>
      <c r="AH33" s="886"/>
      <c r="AI33" s="886"/>
      <c r="AJ33" s="886"/>
    </row>
    <row r="34" spans="3:36" x14ac:dyDescent="0.2">
      <c r="I34" s="944"/>
      <c r="K34" s="632"/>
      <c r="L34" s="857"/>
      <c r="M34" s="585"/>
      <c r="N34" s="585"/>
      <c r="O34" s="585"/>
      <c r="P34" s="585"/>
      <c r="Q34" s="585"/>
      <c r="R34" s="886"/>
      <c r="AA34" s="818">
        <v>0</v>
      </c>
      <c r="AF34" s="886"/>
      <c r="AG34" s="886"/>
      <c r="AH34" s="886"/>
      <c r="AI34" s="886"/>
      <c r="AJ34" s="886"/>
    </row>
    <row r="35" spans="3:36" x14ac:dyDescent="0.2">
      <c r="I35" s="944"/>
      <c r="J35" s="887">
        <f>SUM(J27:J33)</f>
        <v>-295082.11062473553</v>
      </c>
      <c r="K35" s="632"/>
      <c r="L35" s="857"/>
      <c r="M35" s="585"/>
      <c r="N35" s="585"/>
      <c r="O35" s="585"/>
      <c r="P35" s="585"/>
      <c r="AA35" s="818">
        <v>0</v>
      </c>
      <c r="AF35" s="886"/>
      <c r="AG35" s="886"/>
      <c r="AH35" s="886"/>
      <c r="AI35" s="886"/>
      <c r="AJ35" s="886"/>
    </row>
    <row r="36" spans="3:36" x14ac:dyDescent="0.2">
      <c r="K36" s="632"/>
      <c r="L36" s="857"/>
      <c r="M36" s="585"/>
      <c r="N36" s="585"/>
      <c r="O36" s="585"/>
      <c r="P36" s="585"/>
      <c r="AA36" s="818">
        <v>0</v>
      </c>
      <c r="AH36" s="886"/>
      <c r="AI36" s="886"/>
      <c r="AJ36" s="886"/>
    </row>
    <row r="37" spans="3:36" x14ac:dyDescent="0.2">
      <c r="K37" s="632"/>
      <c r="L37" s="857"/>
      <c r="M37" s="585"/>
      <c r="N37" s="585"/>
      <c r="O37" s="585"/>
      <c r="P37" s="585"/>
      <c r="AA37" s="818">
        <v>0</v>
      </c>
      <c r="AH37" s="886"/>
      <c r="AI37" s="886"/>
      <c r="AJ37" s="886"/>
    </row>
    <row r="38" spans="3:36" x14ac:dyDescent="0.2">
      <c r="K38" s="632"/>
      <c r="L38" s="857"/>
      <c r="M38" s="585"/>
      <c r="N38" s="585"/>
      <c r="O38" s="585"/>
      <c r="P38" s="585"/>
      <c r="AA38" s="818">
        <v>0</v>
      </c>
      <c r="AH38" s="886"/>
      <c r="AI38" s="886"/>
      <c r="AJ38" s="886"/>
    </row>
    <row r="39" spans="3:36" x14ac:dyDescent="0.2">
      <c r="L39" s="585"/>
      <c r="M39" s="861"/>
      <c r="N39" s="861"/>
      <c r="AA39" s="818">
        <v>0</v>
      </c>
      <c r="AH39" s="886"/>
      <c r="AI39" s="886"/>
      <c r="AJ39" s="886"/>
    </row>
    <row r="40" spans="3:36" x14ac:dyDescent="0.2">
      <c r="L40" s="585"/>
      <c r="M40" s="861"/>
      <c r="N40" s="861"/>
      <c r="AA40" s="818">
        <v>0</v>
      </c>
      <c r="AH40" s="886"/>
      <c r="AI40" s="886"/>
      <c r="AJ40" s="886"/>
    </row>
    <row r="41" spans="3:36" x14ac:dyDescent="0.2">
      <c r="L41" s="585"/>
      <c r="M41" s="585"/>
      <c r="N41" s="585"/>
      <c r="O41" s="585"/>
      <c r="P41" s="585"/>
      <c r="Q41" s="886"/>
      <c r="AA41" s="818">
        <v>0</v>
      </c>
      <c r="AH41" s="886"/>
      <c r="AI41" s="886"/>
      <c r="AJ41" s="886"/>
    </row>
    <row r="42" spans="3:36" x14ac:dyDescent="0.2">
      <c r="L42" s="585"/>
      <c r="M42" s="585"/>
      <c r="N42" s="585"/>
      <c r="O42" s="585"/>
      <c r="P42" s="585"/>
      <c r="Q42" s="886"/>
      <c r="AA42" s="818">
        <v>0</v>
      </c>
      <c r="AH42" s="886"/>
      <c r="AI42" s="886"/>
      <c r="AJ42" s="886"/>
    </row>
    <row r="43" spans="3:36" x14ac:dyDescent="0.2">
      <c r="L43" s="585"/>
      <c r="M43" s="585"/>
      <c r="N43" s="585"/>
      <c r="O43" s="585"/>
      <c r="P43" s="585"/>
      <c r="Q43" s="886"/>
      <c r="AH43" s="886"/>
      <c r="AI43" s="886"/>
      <c r="AJ43" s="886"/>
    </row>
    <row r="44" spans="3:36" x14ac:dyDescent="0.2">
      <c r="L44" s="585"/>
      <c r="M44" s="585"/>
      <c r="N44" s="585"/>
      <c r="O44" s="585"/>
      <c r="P44" s="585"/>
      <c r="AH44" s="886"/>
      <c r="AI44" s="886"/>
      <c r="AJ44" s="886"/>
    </row>
    <row r="45" spans="3:36" x14ac:dyDescent="0.2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topLeftCell="P16" zoomScale="75" workbookViewId="0">
      <selection activeCell="AB37" sqref="AB37"/>
    </sheetView>
  </sheetViews>
  <sheetFormatPr defaultRowHeight="12.75" x14ac:dyDescent="0.2"/>
  <cols>
    <col min="1" max="1" width="9.85546875" customWidth="1"/>
    <col min="2" max="2" width="16.140625" customWidth="1"/>
    <col min="3" max="3" width="12.85546875" customWidth="1"/>
    <col min="4" max="4" width="11" customWidth="1"/>
    <col min="5" max="5" width="16.5703125" customWidth="1"/>
    <col min="6" max="6" width="13.28515625" customWidth="1"/>
    <col min="7" max="7" width="16.140625" customWidth="1"/>
    <col min="8" max="8" width="18.85546875" customWidth="1"/>
    <col min="9" max="9" width="15.85546875" customWidth="1"/>
    <col min="10" max="10" width="13.7109375" customWidth="1"/>
    <col min="11" max="11" width="14.28515625" customWidth="1"/>
    <col min="12" max="12" width="15" customWidth="1"/>
    <col min="13" max="13" width="11.85546875" style="702" customWidth="1"/>
    <col min="15" max="15" width="13.85546875" customWidth="1"/>
    <col min="16" max="23" width="12.7109375" customWidth="1"/>
    <col min="24" max="24" width="12.7109375" hidden="1" customWidth="1"/>
    <col min="25" max="25" width="12.7109375" customWidth="1"/>
    <col min="26" max="26" width="12.7109375" hidden="1" customWidth="1"/>
    <col min="27" max="28" width="12.7109375" customWidth="1"/>
    <col min="29" max="29" width="12.7109375" hidden="1" customWidth="1"/>
    <col min="30" max="30" width="12.7109375" customWidth="1"/>
    <col min="31" max="31" width="12.7109375" hidden="1" customWidth="1"/>
    <col min="32" max="33" width="12.7109375" customWidth="1"/>
    <col min="34" max="34" width="12.7109375" hidden="1" customWidth="1"/>
    <col min="35" max="35" width="12.7109375" customWidth="1"/>
    <col min="36" max="36" width="12.7109375" hidden="1" customWidth="1"/>
    <col min="37" max="37" width="13" customWidth="1"/>
    <col min="38" max="40" width="12.7109375" customWidth="1"/>
    <col min="41" max="41" width="12.7109375" hidden="1" customWidth="1"/>
    <col min="42" max="47" width="13.7109375" customWidth="1"/>
    <col min="48" max="55" width="12.7109375" customWidth="1"/>
  </cols>
  <sheetData>
    <row r="1" spans="1:69" ht="18" x14ac:dyDescent="0.25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10"/>
      <c r="X1" s="710"/>
      <c r="Y1" s="710"/>
      <c r="Z1" s="710"/>
      <c r="AA1" s="710"/>
      <c r="AB1" s="710"/>
      <c r="AC1" s="710"/>
      <c r="AD1" s="711"/>
      <c r="AE1" s="71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8" x14ac:dyDescent="0.25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13"/>
      <c r="X2" s="713"/>
      <c r="Y2" s="713"/>
      <c r="Z2" s="713"/>
      <c r="AA2" s="713"/>
      <c r="AB2" s="713"/>
      <c r="AC2" s="713"/>
      <c r="AD2" s="462"/>
      <c r="AE2" s="712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8" x14ac:dyDescent="0.25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4"/>
      <c r="X3" s="714"/>
      <c r="Y3" s="714"/>
      <c r="Z3" s="714"/>
      <c r="AA3" s="714"/>
      <c r="AB3" s="714"/>
      <c r="AC3" s="714"/>
      <c r="AD3" s="462"/>
      <c r="AE3" s="712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8" x14ac:dyDescent="0.25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4"/>
      <c r="X4" s="714"/>
      <c r="Y4" s="714"/>
      <c r="Z4" s="714"/>
      <c r="AA4" s="714"/>
      <c r="AB4" s="714"/>
      <c r="AC4" s="714"/>
      <c r="AD4" s="462"/>
      <c r="AE4" s="712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8" x14ac:dyDescent="0.25">
      <c r="N5" s="462"/>
      <c r="O5" s="462"/>
      <c r="P5" s="462"/>
      <c r="Q5" s="462"/>
      <c r="R5" s="462"/>
      <c r="S5" s="462"/>
      <c r="T5" s="462"/>
      <c r="U5" s="462"/>
      <c r="V5" s="715"/>
      <c r="W5" s="716"/>
      <c r="X5" s="716"/>
      <c r="Y5" s="716"/>
      <c r="Z5" s="716"/>
      <c r="AA5" s="716"/>
      <c r="AB5" s="716"/>
      <c r="AC5" s="716"/>
      <c r="AD5" s="462"/>
      <c r="AE5" s="712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" thickBot="1" x14ac:dyDescent="0.3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6"/>
      <c r="P7" s="737"/>
      <c r="Q7" s="737"/>
      <c r="R7" s="737"/>
      <c r="S7" s="737"/>
      <c r="T7" s="737"/>
      <c r="U7" s="737"/>
      <c r="V7" s="738"/>
      <c r="W7" s="738"/>
      <c r="X7" s="738"/>
      <c r="Y7" s="737"/>
      <c r="Z7" s="737"/>
      <c r="AA7" s="739"/>
      <c r="AB7" s="739"/>
      <c r="AC7" s="739"/>
      <c r="AD7" s="739"/>
      <c r="AE7" s="739"/>
      <c r="AF7" s="739"/>
      <c r="AG7" s="739"/>
      <c r="AH7" s="739"/>
      <c r="AI7" s="740"/>
      <c r="AJ7" s="740"/>
      <c r="AK7" s="741"/>
      <c r="AL7" s="742"/>
      <c r="AM7" s="718"/>
      <c r="AN7" s="718"/>
      <c r="AO7" s="718"/>
      <c r="AP7" s="718"/>
      <c r="AQ7" s="718"/>
      <c r="AR7" s="718"/>
      <c r="AS7" s="718"/>
      <c r="AT7" s="718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" thickBot="1" x14ac:dyDescent="0.3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43"/>
      <c r="P8" s="732"/>
      <c r="Q8" s="732"/>
      <c r="R8" s="732"/>
      <c r="S8" s="732"/>
      <c r="T8" s="732"/>
      <c r="U8" s="732"/>
      <c r="V8" s="732"/>
      <c r="W8" s="732"/>
      <c r="X8" s="732"/>
      <c r="Y8" s="732"/>
      <c r="Z8" s="732"/>
      <c r="AA8" s="733"/>
      <c r="AB8" s="733"/>
      <c r="AC8" s="733"/>
      <c r="AD8" s="733"/>
      <c r="AE8" s="733"/>
      <c r="AF8" s="733"/>
      <c r="AG8" s="733"/>
      <c r="AH8" s="733"/>
      <c r="AI8" s="732"/>
      <c r="AJ8" s="732"/>
      <c r="AK8" s="732"/>
      <c r="AL8" s="744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8" x14ac:dyDescent="0.25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5"/>
      <c r="P9" s="777" t="s">
        <v>333</v>
      </c>
      <c r="Q9" s="758" t="s">
        <v>320</v>
      </c>
      <c r="R9" s="757"/>
      <c r="S9" s="757"/>
      <c r="T9" s="757"/>
      <c r="U9" s="757"/>
      <c r="V9" s="757"/>
      <c r="W9" s="757" t="s">
        <v>320</v>
      </c>
      <c r="X9" s="757"/>
      <c r="Y9" s="757"/>
      <c r="Z9" s="757"/>
      <c r="AA9" s="756" t="s">
        <v>320</v>
      </c>
      <c r="AB9" s="757" t="s">
        <v>330</v>
      </c>
      <c r="AC9" s="757"/>
      <c r="AD9" s="757" t="s">
        <v>331</v>
      </c>
      <c r="AE9" s="757"/>
      <c r="AF9" s="758" t="s">
        <v>321</v>
      </c>
      <c r="AG9" s="757" t="s">
        <v>330</v>
      </c>
      <c r="AH9" s="757"/>
      <c r="AI9" s="759" t="s">
        <v>331</v>
      </c>
      <c r="AJ9" s="759"/>
      <c r="AK9" s="733"/>
      <c r="AL9" s="746"/>
      <c r="AM9" s="726"/>
      <c r="AN9" s="719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.75" thickBot="1" x14ac:dyDescent="0.3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7"/>
      <c r="P10" s="776">
        <f ca="1">NOW()</f>
        <v>37141.369434490742</v>
      </c>
      <c r="Q10" s="761" t="s">
        <v>452</v>
      </c>
      <c r="R10" s="761"/>
      <c r="S10" s="761"/>
      <c r="T10" s="761" t="s">
        <v>462</v>
      </c>
      <c r="U10" s="761" t="s">
        <v>463</v>
      </c>
      <c r="V10" s="761" t="s">
        <v>464</v>
      </c>
      <c r="W10" s="761" t="s">
        <v>271</v>
      </c>
      <c r="X10" s="761"/>
      <c r="Y10" s="761" t="s">
        <v>453</v>
      </c>
      <c r="Z10" s="761"/>
      <c r="AA10" s="760" t="s">
        <v>271</v>
      </c>
      <c r="AB10" s="761"/>
      <c r="AC10" s="761"/>
      <c r="AD10" s="761"/>
      <c r="AE10" s="761"/>
      <c r="AF10" s="761" t="s">
        <v>271</v>
      </c>
      <c r="AG10" s="761"/>
      <c r="AH10" s="761"/>
      <c r="AI10" s="762"/>
      <c r="AJ10" s="762"/>
      <c r="AK10" s="732"/>
      <c r="AL10" s="748"/>
      <c r="AM10" s="726"/>
      <c r="AN10" s="719"/>
      <c r="AO10" s="566"/>
      <c r="AP10" s="720"/>
      <c r="AQ10" s="720"/>
      <c r="AR10" s="720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25">
      <c r="A11" s="151">
        <f>TradeSum!A12</f>
        <v>37195</v>
      </c>
      <c r="B11" s="376">
        <f ca="1">TradeSum!B12+TradeSum!B56</f>
        <v>-619968.5107421875</v>
      </c>
      <c r="C11" s="377">
        <f ca="1">TradeSum!C12+TradeSum!C56</f>
        <v>-1697.3343795416581</v>
      </c>
      <c r="D11" s="382">
        <f>TradeSum!D12+TradeSum!D56+(NYMEX!D12*2)</f>
        <v>1450</v>
      </c>
      <c r="E11" s="377">
        <f ca="1">TradeSum!E12+TradeSum!E56</f>
        <v>-90341.378097338689</v>
      </c>
      <c r="F11" s="378">
        <f t="shared" ref="F11:F46" ca="1" si="0">C11+D11</f>
        <v>-247.33437954165811</v>
      </c>
      <c r="G11" s="379">
        <f>TradeSum!CE12*NYMEX!E12</f>
        <v>0</v>
      </c>
      <c r="H11" s="373">
        <f t="shared" ref="H11:H46" ca="1" si="1">G11+E11</f>
        <v>-90341.378097338689</v>
      </c>
      <c r="I11" s="373">
        <f ca="1">H11/TradeSum!CD12</f>
        <v>-245.49287526450732</v>
      </c>
      <c r="J11" s="344">
        <f ca="1">NYMEX!J12+TradeSum!J12+TradeSum!J56</f>
        <v>65014.076487939812</v>
      </c>
      <c r="K11" s="345">
        <f>TradeSum!K100+NYMEX!K12</f>
        <v>-52049.172895917138</v>
      </c>
      <c r="L11" s="345">
        <f t="shared" ref="L11:L46" ca="1" si="2">J11+K11</f>
        <v>12964.903592022674</v>
      </c>
      <c r="N11" s="815"/>
      <c r="P11" s="771" t="s">
        <v>265</v>
      </c>
      <c r="Q11" s="773">
        <f>+Master!K34</f>
        <v>34.371568627450984</v>
      </c>
      <c r="R11" s="965">
        <v>34.56</v>
      </c>
      <c r="S11" s="965">
        <f>+Q11-R11</f>
        <v>-0.18843137254901876</v>
      </c>
      <c r="T11" s="753"/>
      <c r="U11" s="753"/>
      <c r="V11" s="753"/>
      <c r="W11" s="773">
        <f>+Master!M34</f>
        <v>33.404817534957758</v>
      </c>
      <c r="X11" s="753"/>
      <c r="Y11" s="753">
        <f>+W11-Q11</f>
        <v>-0.96675109249322588</v>
      </c>
      <c r="Z11" s="753"/>
      <c r="AA11" s="774">
        <v>24.41</v>
      </c>
      <c r="AB11" s="753" t="s">
        <v>332</v>
      </c>
      <c r="AC11" s="753"/>
      <c r="AD11" s="753" t="s">
        <v>332</v>
      </c>
      <c r="AE11" s="753"/>
      <c r="AF11" s="774">
        <v>22.77</v>
      </c>
      <c r="AG11" s="753">
        <f>+W11</f>
        <v>33.404817534957758</v>
      </c>
      <c r="AH11" s="753"/>
      <c r="AI11" s="764">
        <f>+AG11+2</f>
        <v>35.404817534957758</v>
      </c>
      <c r="AJ11" s="764"/>
      <c r="AK11" s="732"/>
      <c r="AL11" s="748"/>
      <c r="AM11" s="726"/>
      <c r="AN11" s="719"/>
      <c r="AO11" s="566"/>
      <c r="AP11" s="720"/>
      <c r="AQ11" s="720"/>
      <c r="AR11" s="720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25">
      <c r="A12" s="151">
        <f>TradeSum!A13</f>
        <v>37196</v>
      </c>
      <c r="B12" s="376">
        <f ca="1">TradeSum!B13+TradeSum!B57</f>
        <v>-811119.625</v>
      </c>
      <c r="C12" s="377">
        <f ca="1">TradeSum!C13+TradeSum!C57</f>
        <v>-2439.1825331218633</v>
      </c>
      <c r="D12" s="378">
        <f>TradeSum!D13+TradeSum!D57+(NYMEX!D12*2)</f>
        <v>1400</v>
      </c>
      <c r="E12" s="377">
        <f ca="1">TradeSum!E13+TradeSum!E57</f>
        <v>-345567.14601163636</v>
      </c>
      <c r="F12" s="378">
        <f t="shared" ca="1" si="0"/>
        <v>-1039.1825331218633</v>
      </c>
      <c r="G12" s="379">
        <f>TradeSum!CE13*NYMEX!E12</f>
        <v>0</v>
      </c>
      <c r="H12" s="373">
        <f t="shared" ca="1" si="1"/>
        <v>-345567.14601163636</v>
      </c>
      <c r="I12" s="373">
        <f ca="1">H12/TradeSum!CD13</f>
        <v>-1028.4736488441558</v>
      </c>
      <c r="J12" s="364">
        <f ca="1">NYMEX!J12+TradeSum!J13+TradeSum!J57</f>
        <v>-40556.29066758386</v>
      </c>
      <c r="K12" s="140">
        <f>TradeSum!K101+NYMEX!K12</f>
        <v>23277.801543596368</v>
      </c>
      <c r="L12" s="140">
        <f t="shared" ca="1" si="2"/>
        <v>-17278.489123987492</v>
      </c>
      <c r="N12" s="805"/>
      <c r="O12" s="1001">
        <f>+Q$11-Q12</f>
        <v>0.79188256357230813</v>
      </c>
      <c r="P12" s="771" t="s">
        <v>272</v>
      </c>
      <c r="Q12" s="773">
        <f>+Master!K47</f>
        <v>33.579686063878675</v>
      </c>
      <c r="R12" s="965">
        <v>33.83</v>
      </c>
      <c r="S12" s="810">
        <f t="shared" ref="S12:S19" si="3">+Q12-R12</f>
        <v>-0.25031393612132291</v>
      </c>
      <c r="T12" s="763"/>
      <c r="U12" s="753"/>
      <c r="V12" s="753"/>
      <c r="W12" s="773">
        <f>+Master!M47</f>
        <v>32.852727145536029</v>
      </c>
      <c r="X12" s="763">
        <f>+W12+$V12</f>
        <v>32.852727145536029</v>
      </c>
      <c r="Y12" s="753">
        <f t="shared" ref="Y12:Y19" si="4">+W12-Q12</f>
        <v>-0.72695891834264614</v>
      </c>
      <c r="Z12" s="763">
        <f>+Y12+$V12</f>
        <v>-0.72695891834264614</v>
      </c>
      <c r="AA12" s="774">
        <v>25.45</v>
      </c>
      <c r="AB12" s="763">
        <f t="shared" ref="AB12:AB19" si="5">+R12</f>
        <v>33.83</v>
      </c>
      <c r="AC12" s="763">
        <f>+AB12+$AA12</f>
        <v>59.28</v>
      </c>
      <c r="AD12" s="763" t="s">
        <v>332</v>
      </c>
      <c r="AE12" s="763" t="e">
        <f>+AD12+$AA12</f>
        <v>#VALUE!</v>
      </c>
      <c r="AF12" s="774">
        <v>22.88</v>
      </c>
      <c r="AG12" s="753">
        <f t="shared" ref="AG12:AG19" si="6">+W12</f>
        <v>32.852727145536029</v>
      </c>
      <c r="AH12" s="753">
        <f>+AG12+$AF12</f>
        <v>55.732727145536032</v>
      </c>
      <c r="AI12" s="764">
        <f>+AG12+2</f>
        <v>34.852727145536029</v>
      </c>
      <c r="AJ12" s="753">
        <f>+AI12+$AF12</f>
        <v>57.732727145536032</v>
      </c>
      <c r="AK12" s="735"/>
      <c r="AL12" s="748"/>
      <c r="AM12" s="726"/>
      <c r="AN12" s="719"/>
      <c r="AO12" s="721"/>
      <c r="AP12" s="720"/>
      <c r="AQ12" s="720"/>
      <c r="AR12" s="720"/>
      <c r="AS12" s="462"/>
      <c r="AT12" s="721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25">
      <c r="A13" s="151">
        <f>TradeSum!A14</f>
        <v>37226</v>
      </c>
      <c r="B13" s="376">
        <f ca="1">TradeSum!B14+TradeSum!B58</f>
        <v>-688750.125</v>
      </c>
      <c r="C13" s="377">
        <f ca="1">TradeSum!C14+TradeSum!C58</f>
        <v>-2181.1444153162811</v>
      </c>
      <c r="D13" s="378">
        <f>TradeSum!D14+TradeSum!D58+(NYMEX!D13*2)</f>
        <v>2050</v>
      </c>
      <c r="E13" s="377">
        <f ca="1">TradeSum!E14+TradeSum!E58</f>
        <v>-41412.082486543106</v>
      </c>
      <c r="F13" s="378">
        <f t="shared" ca="1" si="0"/>
        <v>-131.14441531628108</v>
      </c>
      <c r="G13" s="379">
        <f>TradeSum!CE14*NYMEX!E13</f>
        <v>0</v>
      </c>
      <c r="H13" s="373">
        <f t="shared" ca="1" si="1"/>
        <v>-41412.082486543106</v>
      </c>
      <c r="I13" s="373">
        <f ca="1">H13/TradeSum!CD14</f>
        <v>-129.4127577704472</v>
      </c>
      <c r="J13" s="152">
        <f ca="1">NYMEX!J13+TradeSum!J14+TradeSum!J58</f>
        <v>103312.25601267815</v>
      </c>
      <c r="K13" s="144">
        <f>TradeSum!K102+NYMEX!K13</f>
        <v>-97100.459437152473</v>
      </c>
      <c r="L13" s="144">
        <f t="shared" ca="1" si="2"/>
        <v>6211.7965755256737</v>
      </c>
      <c r="N13" s="805"/>
      <c r="O13" s="1001">
        <f>+Q$11-Q13</f>
        <v>0.42283907039638535</v>
      </c>
      <c r="P13" s="771" t="s">
        <v>278</v>
      </c>
      <c r="Q13" s="773">
        <f>+M62</f>
        <v>33.948729557054598</v>
      </c>
      <c r="R13" s="965">
        <v>34.130000000000003</v>
      </c>
      <c r="S13" s="810">
        <f t="shared" si="3"/>
        <v>-0.1812704429454044</v>
      </c>
      <c r="T13" s="763">
        <v>0</v>
      </c>
      <c r="U13" s="763">
        <v>0</v>
      </c>
      <c r="V13" s="763">
        <v>0</v>
      </c>
      <c r="W13" s="773">
        <f>+J62</f>
        <v>32.958549500924356</v>
      </c>
      <c r="X13" s="763">
        <f t="shared" ref="X13:Z19" si="7">+W13+$V13</f>
        <v>32.958549500924356</v>
      </c>
      <c r="Y13" s="753">
        <f t="shared" si="4"/>
        <v>-0.99018005613024229</v>
      </c>
      <c r="Z13" s="763">
        <f t="shared" si="7"/>
        <v>-0.99018005613024229</v>
      </c>
      <c r="AA13" s="774">
        <v>25.26</v>
      </c>
      <c r="AB13" s="763">
        <f t="shared" si="5"/>
        <v>34.130000000000003</v>
      </c>
      <c r="AC13" s="763">
        <f t="shared" ref="AC13:AC19" si="8">+AB13+$AA13</f>
        <v>59.39</v>
      </c>
      <c r="AD13" s="763">
        <f>+AB13+2</f>
        <v>36.130000000000003</v>
      </c>
      <c r="AE13" s="763">
        <f t="shared" ref="AE13:AE19" si="9">+AD13+$AA13</f>
        <v>61.39</v>
      </c>
      <c r="AF13" s="774">
        <v>22.71</v>
      </c>
      <c r="AG13" s="753">
        <f t="shared" si="6"/>
        <v>32.958549500924356</v>
      </c>
      <c r="AH13" s="753">
        <f t="shared" ref="AH13:AJ19" si="10">+AG13+$AF13</f>
        <v>55.668549500924357</v>
      </c>
      <c r="AI13" s="764">
        <f>+AG13+2</f>
        <v>34.958549500924356</v>
      </c>
      <c r="AJ13" s="753">
        <f t="shared" si="10"/>
        <v>57.668549500924357</v>
      </c>
      <c r="AK13" s="735"/>
      <c r="AL13" s="748"/>
      <c r="AM13" s="726"/>
      <c r="AN13" s="719"/>
      <c r="AO13" s="721"/>
      <c r="AP13" s="720"/>
      <c r="AQ13" s="720"/>
      <c r="AR13" s="720"/>
      <c r="AS13" s="462"/>
      <c r="AT13" s="721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25">
      <c r="A14" s="151">
        <f>TradeSum!A15</f>
        <v>37257</v>
      </c>
      <c r="B14" s="376">
        <f ca="1">TradeSum!B15+TradeSum!B59</f>
        <v>-292578.7421875</v>
      </c>
      <c r="C14" s="377">
        <f ca="1">TradeSum!C15+TradeSum!C59</f>
        <v>-844.63863139945261</v>
      </c>
      <c r="D14" s="378">
        <f>TradeSum!D15+TradeSum!D59+(NYMEX!D14*2)</f>
        <v>600</v>
      </c>
      <c r="E14" s="377">
        <f ca="1">TradeSum!E15+TradeSum!E59</f>
        <v>-84741.640276068531</v>
      </c>
      <c r="F14" s="378">
        <f t="shared" ca="1" si="0"/>
        <v>-244.63863139945261</v>
      </c>
      <c r="G14" s="379">
        <f>TradeSum!CE15*NYMEX!E14</f>
        <v>0</v>
      </c>
      <c r="H14" s="373">
        <f t="shared" ca="1" si="1"/>
        <v>-84741.640276068531</v>
      </c>
      <c r="I14" s="373">
        <f ca="1">H14/TradeSum!CD15</f>
        <v>-240.74329623883105</v>
      </c>
      <c r="J14" s="364">
        <f ca="1">NYMEX!J14+TradeSum!J15+TradeSum!J59</f>
        <v>73144.738694461994</v>
      </c>
      <c r="K14" s="140">
        <f>TradeSum!K103+NYMEX!K14</f>
        <v>-51959.313231935179</v>
      </c>
      <c r="L14" s="140">
        <f t="shared" ca="1" si="2"/>
        <v>21185.425462526815</v>
      </c>
      <c r="N14" s="805">
        <v>-0.83999999999999631</v>
      </c>
      <c r="O14" s="1001">
        <f>+Q$11-Q14</f>
        <v>-6.7587196377800751E-3</v>
      </c>
      <c r="P14" s="771" t="s">
        <v>314</v>
      </c>
      <c r="Q14" s="773">
        <f>+M74</f>
        <v>34.378327347088764</v>
      </c>
      <c r="R14" s="965">
        <v>34.630000000000003</v>
      </c>
      <c r="S14" s="810">
        <f t="shared" si="3"/>
        <v>-0.25167265291123897</v>
      </c>
      <c r="T14" s="763">
        <v>0</v>
      </c>
      <c r="U14" s="763">
        <v>0</v>
      </c>
      <c r="V14" s="763">
        <v>0</v>
      </c>
      <c r="W14" s="773">
        <f>+J74</f>
        <v>33.545713113324958</v>
      </c>
      <c r="X14" s="763">
        <f t="shared" si="7"/>
        <v>33.545713113324958</v>
      </c>
      <c r="Y14" s="753">
        <f t="shared" si="4"/>
        <v>-0.83261423376380606</v>
      </c>
      <c r="Z14" s="763">
        <f t="shared" si="7"/>
        <v>-0.83261423376380606</v>
      </c>
      <c r="AA14" s="774">
        <v>25.61</v>
      </c>
      <c r="AB14" s="763">
        <f t="shared" si="5"/>
        <v>34.630000000000003</v>
      </c>
      <c r="AC14" s="763">
        <f t="shared" si="8"/>
        <v>60.24</v>
      </c>
      <c r="AD14" s="763">
        <f>+AB14+2</f>
        <v>36.630000000000003</v>
      </c>
      <c r="AE14" s="763">
        <f t="shared" si="9"/>
        <v>62.24</v>
      </c>
      <c r="AF14" s="774">
        <v>23.05</v>
      </c>
      <c r="AG14" s="753">
        <f t="shared" si="6"/>
        <v>33.545713113324958</v>
      </c>
      <c r="AH14" s="753">
        <f t="shared" si="10"/>
        <v>56.595713113324962</v>
      </c>
      <c r="AI14" s="764">
        <f>+AG14+2</f>
        <v>35.545713113324958</v>
      </c>
      <c r="AJ14" s="753">
        <f t="shared" si="10"/>
        <v>58.595713113324962</v>
      </c>
      <c r="AK14" s="732"/>
      <c r="AL14" s="748"/>
      <c r="AM14" s="726"/>
      <c r="AN14" s="719"/>
      <c r="AO14" s="566"/>
      <c r="AP14" s="720"/>
      <c r="AQ14" s="720"/>
      <c r="AR14" s="720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25">
      <c r="A15" s="151">
        <f>TradeSum!A16</f>
        <v>37288</v>
      </c>
      <c r="B15" s="376">
        <f ca="1">TradeSum!B16+TradeSum!B60</f>
        <v>-266219.6953125</v>
      </c>
      <c r="C15" s="377">
        <f ca="1">TradeSum!C16+TradeSum!C60</f>
        <v>-847.65159422586703</v>
      </c>
      <c r="D15" s="378">
        <f>TradeSum!D16+TradeSum!D60+(NYMEX!D15*2)</f>
        <v>600</v>
      </c>
      <c r="E15" s="377">
        <f ca="1">TradeSum!E16+TradeSum!E60</f>
        <v>-77779.281496752985</v>
      </c>
      <c r="F15" s="378">
        <f t="shared" ca="1" si="0"/>
        <v>-247.65159422586703</v>
      </c>
      <c r="G15" s="379">
        <f>TradeSum!CE16*NYMEX!E15</f>
        <v>0</v>
      </c>
      <c r="H15" s="373">
        <f t="shared" ca="1" si="1"/>
        <v>-77779.281496752985</v>
      </c>
      <c r="I15" s="373">
        <f ca="1">H15/TradeSum!CD16</f>
        <v>-243.06025467735307</v>
      </c>
      <c r="J15" s="152">
        <f ca="1">NYMEX!J15+TradeSum!J16+TradeSum!J60</f>
        <v>66554.972187531792</v>
      </c>
      <c r="K15" s="144">
        <f>TradeSum!K104+NYMEX!K15</f>
        <v>-47110.137684562011</v>
      </c>
      <c r="L15" s="144">
        <f t="shared" ca="1" si="2"/>
        <v>19444.834502969781</v>
      </c>
      <c r="N15" s="805">
        <v>4.9999999999997158E-2</v>
      </c>
      <c r="O15" s="1001"/>
      <c r="P15" s="771" t="s">
        <v>315</v>
      </c>
      <c r="Q15" s="773">
        <f>+M86</f>
        <v>34.535270727336403</v>
      </c>
      <c r="R15" s="965">
        <v>34.799999999999997</v>
      </c>
      <c r="S15" s="810">
        <f t="shared" si="3"/>
        <v>-0.26472927266359392</v>
      </c>
      <c r="T15" s="763">
        <v>0</v>
      </c>
      <c r="U15" s="763">
        <v>0</v>
      </c>
      <c r="V15" s="763">
        <v>0</v>
      </c>
      <c r="W15" s="773">
        <f>+J86</f>
        <v>33.855150840533476</v>
      </c>
      <c r="X15" s="763">
        <f t="shared" si="7"/>
        <v>33.855150840533476</v>
      </c>
      <c r="Y15" s="753">
        <f t="shared" si="4"/>
        <v>-0.68011988680292745</v>
      </c>
      <c r="Z15" s="763">
        <f t="shared" si="7"/>
        <v>-0.68011988680292745</v>
      </c>
      <c r="AA15" s="774">
        <v>25.96</v>
      </c>
      <c r="AB15" s="763">
        <f t="shared" si="5"/>
        <v>34.799999999999997</v>
      </c>
      <c r="AC15" s="763">
        <f t="shared" si="8"/>
        <v>60.76</v>
      </c>
      <c r="AD15" s="763">
        <f>+AB15+3</f>
        <v>37.799999999999997</v>
      </c>
      <c r="AE15" s="763">
        <f t="shared" si="9"/>
        <v>63.76</v>
      </c>
      <c r="AF15" s="774">
        <v>23.38</v>
      </c>
      <c r="AG15" s="753">
        <f t="shared" si="6"/>
        <v>33.855150840533476</v>
      </c>
      <c r="AH15" s="753">
        <f t="shared" si="10"/>
        <v>57.235150840533478</v>
      </c>
      <c r="AI15" s="764">
        <f>+AG15+3</f>
        <v>36.855150840533476</v>
      </c>
      <c r="AJ15" s="753">
        <f t="shared" si="10"/>
        <v>60.235150840533478</v>
      </c>
      <c r="AK15" s="732"/>
      <c r="AL15" s="748"/>
      <c r="AM15" s="726"/>
      <c r="AN15" s="719"/>
      <c r="AO15" s="566"/>
      <c r="AP15" s="720"/>
      <c r="AQ15" s="720"/>
      <c r="AR15" s="720"/>
      <c r="AS15" s="712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25">
      <c r="A16" s="151">
        <f>TradeSum!A17</f>
        <v>37316</v>
      </c>
      <c r="B16" s="376">
        <f ca="1">TradeSum!B17+TradeSum!B61</f>
        <v>-31318.50390625</v>
      </c>
      <c r="C16" s="377">
        <f ca="1">TradeSum!C17+TradeSum!C61</f>
        <v>-95.250644191079203</v>
      </c>
      <c r="D16" s="378">
        <f>TradeSum!D17+TradeSum!D61+(NYMEX!D16*2)</f>
        <v>-50</v>
      </c>
      <c r="E16" s="377">
        <f ca="1">TradeSum!E17+TradeSum!E61</f>
        <v>-47758.552250397144</v>
      </c>
      <c r="F16" s="378">
        <f t="shared" ca="1" si="0"/>
        <v>-145.2506441910792</v>
      </c>
      <c r="G16" s="379">
        <f>TradeSum!CE17*NYMEX!E16</f>
        <v>0</v>
      </c>
      <c r="H16" s="373">
        <f t="shared" ca="1" si="1"/>
        <v>-47758.552250397144</v>
      </c>
      <c r="I16" s="373">
        <f ca="1">H16/TradeSum!CD17</f>
        <v>-142.13854836427723</v>
      </c>
      <c r="J16" s="364">
        <f ca="1">NYMEX!J16+TradeSum!J17+TradeSum!J61</f>
        <v>7829.6482036529878</v>
      </c>
      <c r="K16" s="140">
        <f>TradeSum!K105+NYMEX!K16</f>
        <v>4110.02375372191</v>
      </c>
      <c r="L16" s="140">
        <f t="shared" ca="1" si="2"/>
        <v>11939.671957374898</v>
      </c>
      <c r="N16" s="805">
        <v>0.59000000000000341</v>
      </c>
      <c r="O16" s="749"/>
      <c r="P16" s="771" t="s">
        <v>316</v>
      </c>
      <c r="Q16" s="773">
        <f>+M98</f>
        <v>34.695796666150983</v>
      </c>
      <c r="R16" s="965">
        <v>34.94</v>
      </c>
      <c r="S16" s="810">
        <f t="shared" si="3"/>
        <v>-0.24420333384901483</v>
      </c>
      <c r="T16" s="763">
        <v>0</v>
      </c>
      <c r="U16" s="763">
        <v>0</v>
      </c>
      <c r="V16" s="763">
        <v>0</v>
      </c>
      <c r="W16" s="773">
        <f>+J98</f>
        <v>34.208851770767232</v>
      </c>
      <c r="X16" s="763">
        <f t="shared" si="7"/>
        <v>34.208851770767232</v>
      </c>
      <c r="Y16" s="753">
        <f t="shared" si="4"/>
        <v>-0.48694489538375052</v>
      </c>
      <c r="Z16" s="763">
        <f t="shared" si="7"/>
        <v>-0.48694489538375052</v>
      </c>
      <c r="AA16" s="774">
        <v>26.26</v>
      </c>
      <c r="AB16" s="763">
        <f t="shared" si="5"/>
        <v>34.94</v>
      </c>
      <c r="AC16" s="763">
        <f t="shared" si="8"/>
        <v>61.2</v>
      </c>
      <c r="AD16" s="763">
        <f>+AB16+3</f>
        <v>37.94</v>
      </c>
      <c r="AE16" s="763">
        <f t="shared" si="9"/>
        <v>64.2</v>
      </c>
      <c r="AF16" s="774">
        <v>23.71</v>
      </c>
      <c r="AG16" s="753">
        <f t="shared" si="6"/>
        <v>34.208851770767232</v>
      </c>
      <c r="AH16" s="753">
        <f t="shared" si="10"/>
        <v>57.918851770767233</v>
      </c>
      <c r="AI16" s="764">
        <f>+AG16+3</f>
        <v>37.208851770767232</v>
      </c>
      <c r="AJ16" s="753">
        <f t="shared" si="10"/>
        <v>60.918851770767233</v>
      </c>
      <c r="AK16" s="732"/>
      <c r="AL16" s="748"/>
      <c r="AM16" s="726"/>
      <c r="AN16" s="719"/>
      <c r="AO16" s="566"/>
      <c r="AP16" s="720"/>
      <c r="AQ16" s="720"/>
      <c r="AR16" s="720"/>
      <c r="AS16" s="712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25">
      <c r="A17" s="151">
        <f>TradeSum!A18</f>
        <v>37347</v>
      </c>
      <c r="B17" s="376">
        <f ca="1">TradeSum!B18+TradeSum!B62</f>
        <v>-34027.072265625</v>
      </c>
      <c r="C17" s="377">
        <f ca="1">TradeSum!C18+TradeSum!C62</f>
        <v>-99.068921488800413</v>
      </c>
      <c r="D17" s="378">
        <f>TradeSum!D18+TradeSum!D62+(NYMEX!D17*2)</f>
        <v>-50</v>
      </c>
      <c r="E17" s="377">
        <f ca="1">TradeSum!E18+TradeSum!E62</f>
        <v>-51200.506554738415</v>
      </c>
      <c r="F17" s="378">
        <f t="shared" ca="1" si="0"/>
        <v>-149.06892148880041</v>
      </c>
      <c r="G17" s="379">
        <f>TradeSum!CE18*NYMEX!E17</f>
        <v>0</v>
      </c>
      <c r="H17" s="373">
        <f t="shared" ca="1" si="1"/>
        <v>-51200.506554738415</v>
      </c>
      <c r="I17" s="373">
        <f ca="1">H17/TradeSum!CD18</f>
        <v>-145.45598453050687</v>
      </c>
      <c r="J17" s="152">
        <f ca="1">NYMEX!J17+TradeSum!J18+TradeSum!J62</f>
        <v>8506.792215797821</v>
      </c>
      <c r="K17" s="144">
        <f>TradeSum!K106+NYMEX!K17</f>
        <v>4293.3707604556403</v>
      </c>
      <c r="L17" s="144">
        <f t="shared" ca="1" si="2"/>
        <v>12800.162976253461</v>
      </c>
      <c r="N17" s="805">
        <v>0.40999999999999659</v>
      </c>
      <c r="O17" s="749"/>
      <c r="P17" s="771" t="s">
        <v>317</v>
      </c>
      <c r="Q17" s="773">
        <f>+M110</f>
        <v>34.928036934627869</v>
      </c>
      <c r="R17" s="965">
        <v>35.130000000000003</v>
      </c>
      <c r="S17" s="810">
        <f t="shared" si="3"/>
        <v>-0.2019630653721336</v>
      </c>
      <c r="T17" s="763">
        <v>0</v>
      </c>
      <c r="U17" s="763">
        <v>0</v>
      </c>
      <c r="V17" s="763">
        <v>0</v>
      </c>
      <c r="W17" s="773">
        <f>+J110</f>
        <v>34.581051924829751</v>
      </c>
      <c r="X17" s="763">
        <f t="shared" si="7"/>
        <v>34.581051924829751</v>
      </c>
      <c r="Y17" s="753">
        <f t="shared" si="4"/>
        <v>-0.34698500979811797</v>
      </c>
      <c r="Z17" s="763">
        <f t="shared" si="7"/>
        <v>-0.34698500979811797</v>
      </c>
      <c r="AA17" s="774">
        <v>26.53</v>
      </c>
      <c r="AB17" s="763">
        <f t="shared" si="5"/>
        <v>35.130000000000003</v>
      </c>
      <c r="AC17" s="763">
        <f t="shared" si="8"/>
        <v>61.660000000000004</v>
      </c>
      <c r="AD17" s="763">
        <f>+AB17+4</f>
        <v>39.130000000000003</v>
      </c>
      <c r="AE17" s="763">
        <f t="shared" si="9"/>
        <v>65.66</v>
      </c>
      <c r="AF17" s="774">
        <v>23.97</v>
      </c>
      <c r="AG17" s="753">
        <f t="shared" si="6"/>
        <v>34.581051924829751</v>
      </c>
      <c r="AH17" s="753">
        <f t="shared" si="10"/>
        <v>58.55105192482975</v>
      </c>
      <c r="AI17" s="764">
        <f>+AG17+4</f>
        <v>38.581051924829751</v>
      </c>
      <c r="AJ17" s="753">
        <f t="shared" si="10"/>
        <v>62.55105192482975</v>
      </c>
      <c r="AK17" s="732"/>
      <c r="AL17" s="748"/>
      <c r="AM17" s="726"/>
      <c r="AN17" s="719"/>
      <c r="AO17" s="566"/>
      <c r="AP17" s="720"/>
      <c r="AQ17" s="720"/>
      <c r="AR17" s="720"/>
      <c r="AS17" s="712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25">
      <c r="A18" s="151">
        <f>TradeSum!A19</f>
        <v>37377</v>
      </c>
      <c r="B18" s="376">
        <f ca="1">TradeSum!B19+TradeSum!B63</f>
        <v>-310618.09375</v>
      </c>
      <c r="C18" s="377">
        <f ca="1">TradeSum!C19+TradeSum!C63</f>
        <v>-907.09905891315498</v>
      </c>
      <c r="D18" s="378">
        <f>TradeSum!D19+TradeSum!D63+(NYMEX!D18*2)</f>
        <v>0</v>
      </c>
      <c r="E18" s="377">
        <f ca="1">TradeSum!E19+TradeSum!E63</f>
        <v>-310618.09375</v>
      </c>
      <c r="F18" s="378">
        <f t="shared" ca="1" si="0"/>
        <v>-907.09905891315498</v>
      </c>
      <c r="G18" s="379">
        <f>TradeSum!CE19*NYMEX!E18</f>
        <v>0</v>
      </c>
      <c r="H18" s="373">
        <f t="shared" ca="1" si="1"/>
        <v>-310618.09375</v>
      </c>
      <c r="I18" s="373">
        <f ca="1">H18/TradeSum!CD19</f>
        <v>-882.43776633522725</v>
      </c>
      <c r="J18" s="364">
        <f ca="1">NYMEX!J18+TradeSum!J19+TradeSum!J63</f>
        <v>0</v>
      </c>
      <c r="K18" s="140">
        <f>TradeSum!K107+NYMEX!K18</f>
        <v>4280.3772462591969</v>
      </c>
      <c r="L18" s="140">
        <f t="shared" ca="1" si="2"/>
        <v>4280.3772462591969</v>
      </c>
      <c r="N18" s="805">
        <v>0.94000000000000483</v>
      </c>
      <c r="O18" s="749"/>
      <c r="P18" s="771" t="s">
        <v>318</v>
      </c>
      <c r="Q18" s="773">
        <f>+M122</f>
        <v>35.639625731177041</v>
      </c>
      <c r="R18" s="965">
        <v>35.85</v>
      </c>
      <c r="S18" s="810">
        <f t="shared" si="3"/>
        <v>-0.21037426882296018</v>
      </c>
      <c r="T18" s="763">
        <v>0</v>
      </c>
      <c r="U18" s="763">
        <v>0</v>
      </c>
      <c r="V18" s="763">
        <v>0</v>
      </c>
      <c r="W18" s="773">
        <f>+J122</f>
        <v>35.296961182979864</v>
      </c>
      <c r="X18" s="763">
        <f t="shared" si="7"/>
        <v>35.296961182979864</v>
      </c>
      <c r="Y18" s="753">
        <f t="shared" si="4"/>
        <v>-0.34266454819717751</v>
      </c>
      <c r="Z18" s="763">
        <f t="shared" si="7"/>
        <v>-0.34266454819717751</v>
      </c>
      <c r="AA18" s="774">
        <v>26.79</v>
      </c>
      <c r="AB18" s="763">
        <f t="shared" si="5"/>
        <v>35.85</v>
      </c>
      <c r="AC18" s="763">
        <f t="shared" si="8"/>
        <v>62.64</v>
      </c>
      <c r="AD18" s="763">
        <f>+AB18+4</f>
        <v>39.85</v>
      </c>
      <c r="AE18" s="763">
        <f t="shared" si="9"/>
        <v>66.64</v>
      </c>
      <c r="AF18" s="774">
        <v>24.26</v>
      </c>
      <c r="AG18" s="753">
        <f t="shared" si="6"/>
        <v>35.296961182979864</v>
      </c>
      <c r="AH18" s="753">
        <f t="shared" si="10"/>
        <v>59.556961182979862</v>
      </c>
      <c r="AI18" s="764">
        <f>+AG18+4</f>
        <v>39.296961182979864</v>
      </c>
      <c r="AJ18" s="753">
        <f t="shared" si="10"/>
        <v>63.556961182979862</v>
      </c>
      <c r="AK18" s="732"/>
      <c r="AL18" s="748"/>
      <c r="AM18" s="726"/>
      <c r="AN18" s="719"/>
      <c r="AO18" s="566"/>
      <c r="AP18" s="566"/>
      <c r="AQ18" s="566"/>
      <c r="AR18" s="566"/>
      <c r="AS18" s="712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25">
      <c r="A19" s="151">
        <f>TradeSum!A20</f>
        <v>37408</v>
      </c>
      <c r="B19" s="376">
        <f ca="1">TradeSum!B20+TradeSum!B64</f>
        <v>-480969.16015625</v>
      </c>
      <c r="C19" s="377">
        <f ca="1">TradeSum!C20+TradeSum!C64</f>
        <v>-1549.5923703410822</v>
      </c>
      <c r="D19" s="378">
        <f>TradeSum!D20+TradeSum!D64+(NYMEX!D19*2)</f>
        <v>-300</v>
      </c>
      <c r="E19" s="377">
        <f ca="1">TradeSum!E20+TradeSum!E64</f>
        <v>-574084.45344794006</v>
      </c>
      <c r="F19" s="378">
        <f t="shared" ca="1" si="0"/>
        <v>-1849.5923703410822</v>
      </c>
      <c r="G19" s="379">
        <f>TradeSum!CE20*NYMEX!E19</f>
        <v>0</v>
      </c>
      <c r="H19" s="373">
        <f t="shared" ca="1" si="1"/>
        <v>-574084.45344794006</v>
      </c>
      <c r="I19" s="373">
        <f ca="1">H19/TradeSum!CD20</f>
        <v>-1794.0139170248126</v>
      </c>
      <c r="J19" s="152">
        <f ca="1">NYMEX!J19+TradeSum!J20+TradeSum!J64</f>
        <v>180363.43505859375</v>
      </c>
      <c r="K19" s="144">
        <f>TradeSum!K108+NYMEX!K19</f>
        <v>34918.234984383758</v>
      </c>
      <c r="L19" s="144">
        <f t="shared" ca="1" si="2"/>
        <v>215281.67004297749</v>
      </c>
      <c r="N19" s="805">
        <v>0.59999999999999432</v>
      </c>
      <c r="O19" s="749"/>
      <c r="P19" s="772" t="s">
        <v>319</v>
      </c>
      <c r="Q19" s="773">
        <f>+M134</f>
        <v>36.40450805631361</v>
      </c>
      <c r="R19" s="965">
        <v>36.54</v>
      </c>
      <c r="S19" s="810">
        <f t="shared" si="3"/>
        <v>-0.1354919436863895</v>
      </c>
      <c r="T19" s="763">
        <v>0</v>
      </c>
      <c r="U19" s="763">
        <v>0</v>
      </c>
      <c r="V19" s="763">
        <v>0</v>
      </c>
      <c r="W19" s="773">
        <f>+J134</f>
        <v>36.139797643621208</v>
      </c>
      <c r="X19" s="763">
        <f t="shared" si="7"/>
        <v>36.139797643621208</v>
      </c>
      <c r="Y19" s="753">
        <f t="shared" si="4"/>
        <v>-0.26471041269240203</v>
      </c>
      <c r="Z19" s="763">
        <f t="shared" si="7"/>
        <v>-0.26471041269240203</v>
      </c>
      <c r="AA19" s="775">
        <v>27.15</v>
      </c>
      <c r="AB19" s="753">
        <f t="shared" si="5"/>
        <v>36.54</v>
      </c>
      <c r="AC19" s="763">
        <f t="shared" si="8"/>
        <v>63.69</v>
      </c>
      <c r="AD19" s="753">
        <f>+AB19+4</f>
        <v>40.54</v>
      </c>
      <c r="AE19" s="763">
        <f t="shared" si="9"/>
        <v>67.69</v>
      </c>
      <c r="AF19" s="775">
        <v>24.59</v>
      </c>
      <c r="AG19" s="753">
        <f t="shared" si="6"/>
        <v>36.139797643621208</v>
      </c>
      <c r="AH19" s="753">
        <f t="shared" si="10"/>
        <v>60.729797643621211</v>
      </c>
      <c r="AI19" s="764">
        <f>+AG19+4</f>
        <v>40.139797643621208</v>
      </c>
      <c r="AJ19" s="753">
        <f t="shared" si="10"/>
        <v>64.729797643621211</v>
      </c>
      <c r="AK19" s="732"/>
      <c r="AL19" s="750"/>
      <c r="AM19" s="727"/>
      <c r="AN19" s="566"/>
      <c r="AO19" s="566"/>
      <c r="AP19" s="566"/>
      <c r="AQ19" s="566"/>
      <c r="AR19" s="562"/>
      <c r="AS19" s="712"/>
      <c r="AT19" s="566"/>
      <c r="AU19" s="552"/>
      <c r="AV19" s="566"/>
      <c r="AW19" s="566"/>
      <c r="AX19" s="722"/>
      <c r="AY19" s="722"/>
      <c r="AZ19" s="722"/>
      <c r="BA19" s="722"/>
      <c r="BB19" s="722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25">
      <c r="A20" s="151">
        <f>TradeSum!A21</f>
        <v>37438</v>
      </c>
      <c r="B20" s="376">
        <f ca="1">TradeSum!B21+TradeSum!B65</f>
        <v>-453843.109375</v>
      </c>
      <c r="C20" s="377">
        <f ca="1">TradeSum!C21+TradeSum!C65</f>
        <v>-1333.423646774135</v>
      </c>
      <c r="D20" s="378">
        <f>TradeSum!D21+TradeSum!D65+(NYMEX!D20*2)</f>
        <v>-650</v>
      </c>
      <c r="E20" s="377">
        <f ca="1">TradeSum!E21+TradeSum!E65</f>
        <v>-675076.63992428908</v>
      </c>
      <c r="F20" s="378">
        <f t="shared" ca="1" si="0"/>
        <v>-1983.423646774135</v>
      </c>
      <c r="G20" s="379">
        <f>TradeSum!CE21*NYMEX!E20</f>
        <v>0</v>
      </c>
      <c r="H20" s="373">
        <f t="shared" ca="1" si="1"/>
        <v>-675076.63992428908</v>
      </c>
      <c r="I20" s="373">
        <f ca="1">H20/TradeSum!CD21</f>
        <v>-1917.8313634212757</v>
      </c>
      <c r="J20" s="364">
        <f ca="1">NYMEX!J20+TradeSum!J21+TradeSum!J65</f>
        <v>226921.5546875</v>
      </c>
      <c r="K20" s="140">
        <f>TradeSum!K109+NYMEX!K20</f>
        <v>116998.5017327971</v>
      </c>
      <c r="L20" s="140">
        <f t="shared" ca="1" si="2"/>
        <v>343920.05642029713</v>
      </c>
      <c r="N20" s="815"/>
      <c r="O20" s="749"/>
      <c r="P20" s="733"/>
      <c r="Q20" s="734"/>
      <c r="R20" s="734">
        <f>+R$11-R12</f>
        <v>0.73000000000000398</v>
      </c>
      <c r="S20" s="734"/>
      <c r="T20" s="734"/>
      <c r="U20" s="734"/>
      <c r="V20" s="734"/>
      <c r="W20" s="734"/>
      <c r="X20" s="734"/>
      <c r="Y20" s="734"/>
      <c r="Z20" s="734"/>
      <c r="AA20" s="734"/>
      <c r="AB20" s="734"/>
      <c r="AC20" s="734"/>
      <c r="AD20" s="734"/>
      <c r="AE20" s="734"/>
      <c r="AF20" s="734"/>
      <c r="AG20" s="734"/>
      <c r="AH20" s="734"/>
      <c r="AI20" s="734"/>
      <c r="AJ20" s="734"/>
      <c r="AK20" s="733"/>
      <c r="AL20" s="744"/>
      <c r="AM20" s="717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22"/>
      <c r="AY20" s="722"/>
      <c r="AZ20" s="722"/>
      <c r="BA20" s="722"/>
      <c r="BB20" s="722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25">
      <c r="A21" s="151">
        <f>TradeSum!A22</f>
        <v>37469</v>
      </c>
      <c r="B21" s="376">
        <f ca="1">TradeSum!B22+TradeSum!B66</f>
        <v>-463027.203125</v>
      </c>
      <c r="C21" s="377">
        <f ca="1">TradeSum!C22+TradeSum!C66</f>
        <v>-1364.8589813955473</v>
      </c>
      <c r="D21" s="378">
        <f>TradeSum!D22+TradeSum!D66+(NYMEX!D21*2)</f>
        <v>-650</v>
      </c>
      <c r="E21" s="377">
        <f ca="1">TradeSum!E22+TradeSum!E66</f>
        <v>-683539.1286306777</v>
      </c>
      <c r="F21" s="378">
        <f t="shared" ca="1" si="0"/>
        <v>-2014.8589813955473</v>
      </c>
      <c r="G21" s="379">
        <f>TradeSum!CE22*NYMEX!E21</f>
        <v>0</v>
      </c>
      <c r="H21" s="373">
        <f t="shared" ca="1" si="1"/>
        <v>-683539.1286306777</v>
      </c>
      <c r="I21" s="373">
        <f ca="1">H21/TradeSum!CD22</f>
        <v>-1941.8725245189707</v>
      </c>
      <c r="J21" s="152">
        <f ca="1">NYMEX!J21+TradeSum!J22+TradeSum!J66</f>
        <v>231513.6015625</v>
      </c>
      <c r="K21" s="144">
        <f>TradeSum!K110+NYMEX!K21</f>
        <v>116616.88368088723</v>
      </c>
      <c r="L21" s="144">
        <f t="shared" ca="1" si="2"/>
        <v>348130.48524338723</v>
      </c>
      <c r="N21" s="815"/>
      <c r="O21" s="749"/>
      <c r="P21" s="733"/>
      <c r="Q21" s="734"/>
      <c r="R21" s="734">
        <f>+R$11-R13</f>
        <v>0.42999999999999972</v>
      </c>
      <c r="S21" s="734"/>
      <c r="T21" s="734"/>
      <c r="U21" s="734"/>
      <c r="V21" s="734"/>
      <c r="W21" s="734"/>
      <c r="X21" s="734"/>
      <c r="Y21" s="734"/>
      <c r="Z21" s="734"/>
      <c r="AA21" s="734"/>
      <c r="AB21" s="734"/>
      <c r="AC21" s="734"/>
      <c r="AD21" s="734"/>
      <c r="AE21" s="734"/>
      <c r="AF21" s="734"/>
      <c r="AG21" s="734"/>
      <c r="AH21" s="734"/>
      <c r="AI21" s="734"/>
      <c r="AJ21" s="734"/>
      <c r="AK21" s="732"/>
      <c r="AL21" s="750"/>
      <c r="AM21" s="726"/>
      <c r="AN21" s="719"/>
      <c r="AO21" s="719"/>
      <c r="AP21" s="719"/>
      <c r="AQ21" s="566"/>
      <c r="AR21" s="566"/>
      <c r="AS21" s="462"/>
      <c r="AT21" s="719"/>
      <c r="AU21" s="552"/>
      <c r="AV21" s="566"/>
      <c r="AW21" s="566"/>
      <c r="AX21" s="718"/>
      <c r="AY21" s="718"/>
      <c r="AZ21" s="718"/>
      <c r="BA21" s="718"/>
      <c r="BB21" s="718"/>
      <c r="BC21" s="718"/>
      <c r="BD21" s="718"/>
      <c r="BE21" s="718"/>
      <c r="BF21" s="718"/>
      <c r="BG21" s="718"/>
      <c r="BH21" s="718"/>
      <c r="BI21" s="718"/>
      <c r="BJ21" s="718"/>
      <c r="BK21" s="553"/>
      <c r="BL21" s="553"/>
    </row>
    <row r="22" spans="1:68" ht="20.100000000000001" customHeight="1" x14ac:dyDescent="0.25">
      <c r="A22" s="151">
        <f>TradeSum!A23</f>
        <v>37500</v>
      </c>
      <c r="B22" s="376">
        <f ca="1">TradeSum!B23+TradeSum!B67</f>
        <v>-153614.6484375</v>
      </c>
      <c r="C22" s="377">
        <f ca="1">TradeSum!C23+TradeSum!C67</f>
        <v>-499.69169411587802</v>
      </c>
      <c r="D22" s="378">
        <f>TradeSum!D23+TradeSum!D67+(NYMEX!D22*2)</f>
        <v>-50</v>
      </c>
      <c r="E22" s="377">
        <f ca="1">TradeSum!E23+TradeSum!E67</f>
        <v>-168985.59118543737</v>
      </c>
      <c r="F22" s="378">
        <f t="shared" ca="1" si="0"/>
        <v>-549.69169411587802</v>
      </c>
      <c r="G22" s="379">
        <f>TradeSum!CE23*NYMEX!E22</f>
        <v>0</v>
      </c>
      <c r="H22" s="373">
        <f t="shared" ca="1" si="1"/>
        <v>-168985.59118543737</v>
      </c>
      <c r="I22" s="373">
        <f ca="1">H22/TradeSum!CD23</f>
        <v>-528.07997245449178</v>
      </c>
      <c r="J22" s="364">
        <f ca="1">NYMEX!J22+TradeSum!J23+TradeSum!J67</f>
        <v>0</v>
      </c>
      <c r="K22" s="140">
        <f>TradeSum!K111+NYMEX!K22</f>
        <v>0</v>
      </c>
      <c r="L22" s="140">
        <f t="shared" ca="1" si="2"/>
        <v>0</v>
      </c>
      <c r="N22" s="815"/>
      <c r="O22" s="749"/>
      <c r="P22" s="733"/>
      <c r="Q22" s="734"/>
      <c r="R22" s="734">
        <f>+R$11-R14</f>
        <v>-7.0000000000000284E-2</v>
      </c>
      <c r="S22" s="734"/>
      <c r="T22" s="734"/>
      <c r="U22" s="734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  <c r="AF22" s="734"/>
      <c r="AG22" s="734"/>
      <c r="AH22" s="734"/>
      <c r="AI22" s="734"/>
      <c r="AJ22" s="734"/>
      <c r="AK22" s="732"/>
      <c r="AL22" s="750"/>
      <c r="AM22" s="726"/>
      <c r="AN22" s="719"/>
      <c r="AO22" s="719"/>
      <c r="AP22" s="719"/>
      <c r="AQ22" s="566"/>
      <c r="AR22" s="566"/>
      <c r="AS22" s="462"/>
      <c r="AT22" s="719"/>
      <c r="AU22" s="552"/>
      <c r="AV22" s="566"/>
      <c r="AW22" s="566"/>
      <c r="AX22" s="718"/>
      <c r="AY22" s="718"/>
      <c r="AZ22" s="718"/>
      <c r="BA22" s="718"/>
      <c r="BB22" s="718"/>
      <c r="BC22" s="718"/>
      <c r="BD22" s="718"/>
      <c r="BE22" s="718"/>
      <c r="BF22" s="718"/>
      <c r="BG22" s="718"/>
      <c r="BH22" s="566"/>
      <c r="BI22" s="718"/>
      <c r="BJ22" s="718"/>
      <c r="BK22" s="553"/>
      <c r="BL22" s="553"/>
    </row>
    <row r="23" spans="1:68" ht="20.100000000000001" customHeight="1" x14ac:dyDescent="0.25">
      <c r="A23" s="151">
        <f>TradeSum!A24</f>
        <v>37530</v>
      </c>
      <c r="B23" s="376">
        <f ca="1">TradeSum!B24+TradeSum!B68</f>
        <v>51708.328125</v>
      </c>
      <c r="C23" s="377">
        <f ca="1">TradeSum!C24+TradeSum!C68</f>
        <v>146.76197666912589</v>
      </c>
      <c r="D23" s="378">
        <f>TradeSum!D24+TradeSum!D68+(NYMEX!D23*2)</f>
        <v>-50</v>
      </c>
      <c r="E23" s="377">
        <f ca="1">TradeSum!E24+TradeSum!E68</f>
        <v>34091.936843497941</v>
      </c>
      <c r="F23" s="378">
        <f t="shared" ca="1" si="0"/>
        <v>96.761976669125886</v>
      </c>
      <c r="G23" s="379">
        <f>TradeSum!CE24*NYMEX!E23</f>
        <v>0</v>
      </c>
      <c r="H23" s="373">
        <f t="shared" ca="1" si="1"/>
        <v>34091.936843497941</v>
      </c>
      <c r="I23" s="373">
        <f ca="1">H23/TradeSum!CD24</f>
        <v>92.641132726896572</v>
      </c>
      <c r="J23" s="152">
        <f ca="1">NYMEX!J23+TradeSum!J24+TradeSum!J68</f>
        <v>-1.6951310914009809E-2</v>
      </c>
      <c r="K23" s="144">
        <f>TradeSum!K112+NYMEX!K23</f>
        <v>5.7751030950702071E-3</v>
      </c>
      <c r="L23" s="144">
        <f t="shared" ca="1" si="2"/>
        <v>-1.1176207818939602E-2</v>
      </c>
      <c r="N23" s="815"/>
      <c r="O23" s="751"/>
      <c r="P23" s="752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  <c r="AF23" s="753"/>
      <c r="AG23" s="753"/>
      <c r="AH23" s="753"/>
      <c r="AI23" s="753"/>
      <c r="AJ23" s="753"/>
      <c r="AK23" s="754"/>
      <c r="AL23" s="755"/>
      <c r="AM23" s="726"/>
      <c r="AN23" s="719"/>
      <c r="AO23" s="719"/>
      <c r="AP23" s="719"/>
      <c r="AQ23" s="566"/>
      <c r="AR23" s="566"/>
      <c r="AS23" s="462"/>
      <c r="AT23" s="719"/>
      <c r="AU23" s="552"/>
      <c r="AV23" s="566"/>
      <c r="AW23" s="566"/>
      <c r="AX23" s="718"/>
      <c r="AY23" s="718"/>
      <c r="AZ23" s="718"/>
      <c r="BA23" s="718"/>
      <c r="BB23" s="718"/>
      <c r="BC23" s="718"/>
      <c r="BD23" s="718"/>
      <c r="BE23" s="718"/>
      <c r="BF23" s="718"/>
      <c r="BG23" s="718"/>
      <c r="BH23" s="566"/>
      <c r="BI23" s="718"/>
      <c r="BJ23" s="718"/>
      <c r="BK23" s="553"/>
      <c r="BL23" s="553"/>
    </row>
    <row r="24" spans="1:68" ht="20.100000000000001" customHeight="1" x14ac:dyDescent="0.25">
      <c r="A24" s="151">
        <f>TradeSum!A25</f>
        <v>37561</v>
      </c>
      <c r="B24" s="376">
        <f ca="1">TradeSum!B25+TradeSum!B69</f>
        <v>44804.59375</v>
      </c>
      <c r="C24" s="377">
        <f ca="1">TradeSum!C25+TradeSum!C69</f>
        <v>146.75185367916583</v>
      </c>
      <c r="D24" s="378">
        <f>TradeSum!D25+TradeSum!D69+(NYMEX!D24*2)</f>
        <v>-50</v>
      </c>
      <c r="E24" s="377">
        <f ca="1">TradeSum!E25+TradeSum!E69</f>
        <v>29539.166899599368</v>
      </c>
      <c r="F24" s="378">
        <f t="shared" ca="1" si="0"/>
        <v>96.751853679165833</v>
      </c>
      <c r="G24" s="379">
        <f>TradeSum!CE25*NYMEX!E24</f>
        <v>0</v>
      </c>
      <c r="H24" s="373">
        <f t="shared" ca="1" si="1"/>
        <v>29539.166899599368</v>
      </c>
      <c r="I24" s="373">
        <f ca="1">H24/TradeSum!CD25</f>
        <v>92.309896561248024</v>
      </c>
      <c r="J24" s="364">
        <f ca="1">NYMEX!J24+TradeSum!J25+TradeSum!J69</f>
        <v>-1.4688090421259403E-2</v>
      </c>
      <c r="K24" s="140">
        <f>TradeSum!K113+NYMEX!K24</f>
        <v>5.0043968961956146E-3</v>
      </c>
      <c r="L24" s="140">
        <f t="shared" ca="1" si="2"/>
        <v>-9.6836935250637877E-3</v>
      </c>
      <c r="N24" s="815"/>
      <c r="O24" s="727"/>
      <c r="P24" s="729"/>
      <c r="Q24" s="730"/>
      <c r="R24" s="730"/>
      <c r="S24" s="730"/>
      <c r="T24" s="730"/>
      <c r="U24" s="730"/>
      <c r="V24" s="730"/>
      <c r="W24" s="730"/>
      <c r="X24" s="730"/>
      <c r="Y24" s="718"/>
      <c r="Z24" s="718"/>
      <c r="AA24" s="726"/>
      <c r="AB24" s="719"/>
      <c r="AC24" s="719"/>
      <c r="AD24" s="719"/>
      <c r="AE24" s="566"/>
      <c r="AF24" s="566"/>
      <c r="AG24" s="462"/>
      <c r="AH24" s="719"/>
      <c r="AI24" s="552"/>
      <c r="AJ24" s="566"/>
      <c r="AK24" s="566"/>
      <c r="AL24" s="718"/>
      <c r="AM24" s="718"/>
      <c r="AN24" s="718"/>
      <c r="AO24" s="718"/>
      <c r="AP24" s="718"/>
      <c r="AQ24" s="718"/>
      <c r="AR24" s="718"/>
      <c r="AS24" s="718"/>
      <c r="AT24" s="718"/>
      <c r="AU24" s="718"/>
      <c r="AV24" s="566"/>
      <c r="AW24" s="718"/>
      <c r="AX24" s="718"/>
      <c r="AY24" s="553"/>
      <c r="AZ24" s="553"/>
    </row>
    <row r="25" spans="1:68" ht="20.100000000000001" customHeight="1" x14ac:dyDescent="0.25">
      <c r="A25" s="151">
        <f>TradeSum!A26</f>
        <v>37591</v>
      </c>
      <c r="B25" s="376">
        <f ca="1">TradeSum!B26+TradeSum!B70</f>
        <v>46866.4375</v>
      </c>
      <c r="C25" s="377">
        <f ca="1">TradeSum!C26+TradeSum!C70</f>
        <v>146.72643341697369</v>
      </c>
      <c r="D25" s="378">
        <f>TradeSum!D26+TradeSum!D70+(NYMEX!D25*2)</f>
        <v>-50</v>
      </c>
      <c r="E25" s="377">
        <f ca="1">TradeSum!E26+TradeSum!E70</f>
        <v>30895.750961599348</v>
      </c>
      <c r="F25" s="378">
        <f t="shared" ca="1" si="0"/>
        <v>96.726433416973691</v>
      </c>
      <c r="G25" s="379">
        <f>TradeSum!CE26*NYMEX!E25</f>
        <v>0</v>
      </c>
      <c r="H25" s="373">
        <f t="shared" ca="1" si="1"/>
        <v>30895.750961599348</v>
      </c>
      <c r="I25" s="373">
        <f ca="1">H25/TradeSum!CD26</f>
        <v>91.951639766664726</v>
      </c>
      <c r="J25" s="152">
        <f ca="1">NYMEX!J25+TradeSum!J26+TradeSum!J70</f>
        <v>-1.5364015474915504E-2</v>
      </c>
      <c r="K25" s="144">
        <f>TradeSum!K114+NYMEX!K25</f>
        <v>5.2355990386726567E-3</v>
      </c>
      <c r="L25" s="144">
        <f t="shared" ca="1" si="2"/>
        <v>-1.0128416436242849E-2</v>
      </c>
      <c r="N25" s="552"/>
      <c r="O25" s="727"/>
      <c r="P25" s="729"/>
      <c r="Q25" s="730"/>
      <c r="R25" s="730"/>
      <c r="S25" s="730"/>
      <c r="T25" s="730"/>
      <c r="U25" s="730"/>
      <c r="V25" s="730"/>
      <c r="W25" s="730"/>
      <c r="X25" s="730"/>
      <c r="Y25" s="718"/>
      <c r="Z25" s="731"/>
      <c r="AA25" s="726"/>
      <c r="AB25" s="719"/>
      <c r="AC25" s="719"/>
      <c r="AD25" s="719"/>
      <c r="AE25" s="721"/>
      <c r="AF25" s="566"/>
      <c r="AG25" s="462"/>
      <c r="AH25" s="719"/>
      <c r="AI25" s="552"/>
      <c r="AJ25" s="566"/>
      <c r="AK25" s="566"/>
      <c r="AL25" s="718"/>
      <c r="AM25" s="718"/>
      <c r="AN25" s="718"/>
      <c r="AO25" s="718"/>
      <c r="AP25" s="718"/>
      <c r="AQ25" s="718"/>
      <c r="AR25" s="718"/>
      <c r="AS25" s="718"/>
      <c r="AT25" s="718"/>
      <c r="AU25" s="718"/>
      <c r="AV25" s="566"/>
      <c r="AW25" s="718"/>
      <c r="AX25" s="718"/>
      <c r="AY25" s="553"/>
      <c r="AZ25" s="553"/>
    </row>
    <row r="26" spans="1:68" ht="20.100000000000001" customHeight="1" thickBot="1" x14ac:dyDescent="0.3">
      <c r="A26" s="403">
        <f>TradeSum!A27</f>
        <v>37622</v>
      </c>
      <c r="B26" s="376">
        <f ca="1">TradeSum!B27+TradeSum!B71</f>
        <v>-649314.859375</v>
      </c>
      <c r="C26" s="377">
        <f ca="1">TradeSum!C27+TradeSum!C71</f>
        <v>-1947.7619214219565</v>
      </c>
      <c r="D26" s="386">
        <f>TradeSum!D27+TradeSum!D71+(NYMEX!D26*2)</f>
        <v>0</v>
      </c>
      <c r="E26" s="377">
        <f ca="1">TradeSum!E27+TradeSum!E71</f>
        <v>-649314.859375</v>
      </c>
      <c r="F26" s="378">
        <f t="shared" ca="1" si="0"/>
        <v>-1947.7619214219565</v>
      </c>
      <c r="G26" s="379">
        <f>TradeSum!CE27*NYMEX!E26</f>
        <v>0</v>
      </c>
      <c r="H26" s="373">
        <f t="shared" ca="1" si="1"/>
        <v>-649314.859375</v>
      </c>
      <c r="I26" s="375">
        <f ca="1">H26/TradeSum!CD27</f>
        <v>-1844.6444868607955</v>
      </c>
      <c r="J26" s="389">
        <f ca="1">NYMEX!J26+TradeSum!J27+TradeSum!J71</f>
        <v>-0.11794950553717448</v>
      </c>
      <c r="K26" s="353">
        <f>TradeSum!K115+NYMEX!K26</f>
        <v>0</v>
      </c>
      <c r="L26" s="353">
        <f t="shared" ca="1" si="2"/>
        <v>-0.11794950553717448</v>
      </c>
      <c r="N26" s="552"/>
      <c r="O26" s="727"/>
      <c r="P26" s="727"/>
      <c r="Q26" s="727"/>
      <c r="R26" s="727"/>
      <c r="S26" s="727"/>
      <c r="T26" s="728"/>
      <c r="U26" s="728"/>
      <c r="V26" s="728"/>
      <c r="W26" s="727"/>
      <c r="X26" s="727"/>
      <c r="Y26" s="727"/>
      <c r="Z26" s="725"/>
      <c r="AA26" s="726"/>
      <c r="AB26" s="719"/>
      <c r="AC26" s="719"/>
      <c r="AD26" s="719"/>
      <c r="AE26" s="721"/>
      <c r="AF26" s="566"/>
      <c r="AG26" s="462"/>
      <c r="AH26" s="719"/>
      <c r="AI26" s="552"/>
      <c r="AJ26" s="566"/>
      <c r="AK26" s="566"/>
      <c r="AL26" s="718"/>
      <c r="AM26" s="718"/>
      <c r="AN26" s="718"/>
      <c r="AO26" s="718"/>
      <c r="AP26" s="718"/>
      <c r="AQ26" s="718"/>
      <c r="AR26" s="718"/>
      <c r="AS26" s="718"/>
      <c r="AT26" s="718"/>
      <c r="AU26" s="718"/>
      <c r="AV26" s="566"/>
      <c r="AW26" s="718"/>
      <c r="AX26" s="718"/>
      <c r="AY26" s="553"/>
      <c r="AZ26" s="553"/>
    </row>
    <row r="27" spans="1:68" ht="18" x14ac:dyDescent="0.25">
      <c r="A27" s="151">
        <f>TradeSum!A28</f>
        <v>37653</v>
      </c>
      <c r="B27" s="380">
        <f ca="1">TradeSum!B28+TradeSum!B72</f>
        <v>-588170.171875</v>
      </c>
      <c r="C27" s="381">
        <f ca="1">TradeSum!C28+TradeSum!C72</f>
        <v>-1947.8031486393447</v>
      </c>
      <c r="D27" s="378">
        <f>TradeSum!D28+TradeSum!D72+(NYMEX!D27*2)</f>
        <v>0</v>
      </c>
      <c r="E27" s="381">
        <f ca="1">TradeSum!E28+TradeSum!E72</f>
        <v>-588170.171875</v>
      </c>
      <c r="F27" s="382">
        <f t="shared" ca="1" si="0"/>
        <v>-1947.8031486393447</v>
      </c>
      <c r="G27" s="383">
        <f>TradeSum!CE28*NYMEX!E27</f>
        <v>0</v>
      </c>
      <c r="H27" s="374">
        <f t="shared" ca="1" si="1"/>
        <v>-588170.171875</v>
      </c>
      <c r="I27" s="373">
        <f ca="1">H27/TradeSum!CD28</f>
        <v>-1838.031787109375</v>
      </c>
      <c r="J27" s="344">
        <f ca="1">NYMEX!J27+TradeSum!J28+TradeSum!J72</f>
        <v>-0.10684243544210231</v>
      </c>
      <c r="K27" s="345">
        <f>TradeSum!K116+NYMEX!K27</f>
        <v>0</v>
      </c>
      <c r="L27" s="343">
        <f t="shared" ca="1" si="2"/>
        <v>-0.10684243544210231</v>
      </c>
      <c r="N27" s="552"/>
      <c r="O27" s="803"/>
      <c r="P27" s="801"/>
      <c r="Q27" s="801"/>
      <c r="R27" s="800"/>
      <c r="S27" s="800"/>
      <c r="T27" s="800"/>
      <c r="U27" s="800"/>
      <c r="V27" s="797"/>
      <c r="W27" s="797"/>
      <c r="X27" s="797"/>
      <c r="Y27" s="800"/>
      <c r="Z27" s="800"/>
      <c r="AA27" s="798"/>
      <c r="AB27" s="798"/>
      <c r="AC27" s="798"/>
      <c r="AD27" s="798"/>
      <c r="AE27" s="798"/>
      <c r="AF27" s="798"/>
      <c r="AG27" s="798"/>
      <c r="AH27" s="798"/>
      <c r="AI27" s="866"/>
      <c r="AJ27" s="799"/>
      <c r="AK27" s="798"/>
      <c r="AL27" s="799"/>
      <c r="AM27" s="742"/>
      <c r="AN27" s="866"/>
      <c r="AO27" s="799"/>
      <c r="AP27" s="798"/>
      <c r="AQ27" s="799"/>
      <c r="AR27" s="742"/>
      <c r="AS27" s="718"/>
      <c r="AT27" s="718"/>
      <c r="AU27" s="718"/>
      <c r="AV27" s="566"/>
      <c r="AW27" s="718"/>
      <c r="AX27" s="718"/>
      <c r="AY27" s="553"/>
      <c r="AZ27" s="553"/>
    </row>
    <row r="28" spans="1:68" ht="18" x14ac:dyDescent="0.25">
      <c r="A28" s="151">
        <f>TradeSum!A29</f>
        <v>37681</v>
      </c>
      <c r="B28" s="376">
        <f ca="1">TradeSum!B29+TradeSum!B73</f>
        <v>-599322.609375</v>
      </c>
      <c r="C28" s="377">
        <f ca="1">TradeSum!C29+TradeSum!C73</f>
        <v>-1897.6591904830166</v>
      </c>
      <c r="D28" s="378">
        <f>TradeSum!D29+TradeSum!D73+(NYMEX!D28*2)</f>
        <v>0</v>
      </c>
      <c r="E28" s="377">
        <f ca="1">TradeSum!E29+TradeSum!E73</f>
        <v>-599322.609375</v>
      </c>
      <c r="F28" s="378">
        <f t="shared" ca="1" si="0"/>
        <v>-1897.6591904830166</v>
      </c>
      <c r="G28" s="379">
        <f>TradeSum!CE29*NYMEX!E28</f>
        <v>0</v>
      </c>
      <c r="H28" s="373">
        <f t="shared" ca="1" si="1"/>
        <v>-599322.609375</v>
      </c>
      <c r="I28" s="373">
        <f ca="1">H28/TradeSum!CD29</f>
        <v>-1783.6982421875</v>
      </c>
      <c r="J28" s="364">
        <f ca="1">NYMEX!J28+TradeSum!J29+TradeSum!J73</f>
        <v>149830.91818494891</v>
      </c>
      <c r="K28" s="140">
        <f>TradeSum!K117+NYMEX!K28</f>
        <v>0</v>
      </c>
      <c r="L28" s="137">
        <f t="shared" ca="1" si="2"/>
        <v>149830.91818494891</v>
      </c>
      <c r="N28" s="552"/>
      <c r="O28" s="804"/>
      <c r="P28" s="802"/>
      <c r="Q28" s="802"/>
      <c r="R28" s="732"/>
      <c r="S28" s="732"/>
      <c r="T28" s="732"/>
      <c r="U28" s="732"/>
      <c r="V28" s="732"/>
      <c r="W28" s="732"/>
      <c r="X28" s="732"/>
      <c r="Y28" s="732"/>
      <c r="Z28" s="732"/>
      <c r="AA28" s="733"/>
      <c r="AB28" s="733"/>
      <c r="AC28" s="733"/>
      <c r="AD28" s="733"/>
      <c r="AE28" s="733"/>
      <c r="AF28" s="733"/>
      <c r="AG28" s="733"/>
      <c r="AH28" s="733"/>
      <c r="AI28" s="743"/>
      <c r="AJ28" s="732"/>
      <c r="AK28" s="732"/>
      <c r="AL28" s="733"/>
      <c r="AM28" s="750"/>
      <c r="AN28" s="743"/>
      <c r="AO28" s="732"/>
      <c r="AP28" s="732"/>
      <c r="AQ28" s="733"/>
      <c r="AR28" s="750"/>
      <c r="AS28" s="718"/>
      <c r="AT28" s="718"/>
      <c r="AU28" s="718"/>
      <c r="AV28" s="566"/>
      <c r="AW28" s="718"/>
      <c r="AX28" s="718"/>
      <c r="AY28" s="553"/>
      <c r="AZ28" s="553"/>
    </row>
    <row r="29" spans="1:68" ht="18" x14ac:dyDescent="0.25">
      <c r="A29" s="151">
        <f>TradeSum!A30</f>
        <v>37712</v>
      </c>
      <c r="B29" s="376">
        <f ca="1">TradeSum!B30+TradeSum!B74</f>
        <v>-625377.28125</v>
      </c>
      <c r="C29" s="377">
        <f ca="1">TradeSum!C30+TradeSum!C74</f>
        <v>-1897.6471101500522</v>
      </c>
      <c r="D29" s="378">
        <f>TradeSum!D30+TradeSum!D74</f>
        <v>0</v>
      </c>
      <c r="E29" s="377">
        <f ca="1">TradeSum!E30+TradeSum!E74</f>
        <v>-625377.28125</v>
      </c>
      <c r="F29" s="378">
        <f t="shared" ca="1" si="0"/>
        <v>-1897.6471101500522</v>
      </c>
      <c r="G29" s="379">
        <f>TradeSum!CE30*NYMEX!E29</f>
        <v>0</v>
      </c>
      <c r="H29" s="373">
        <f t="shared" ca="1" si="1"/>
        <v>-625377.28125</v>
      </c>
      <c r="I29" s="373">
        <f ca="1">H29/TradeSum!CD30</f>
        <v>-1776.6400035511363</v>
      </c>
      <c r="J29" s="152">
        <f ca="1">NYMEX!J29+TradeSum!J30+TradeSum!J74</f>
        <v>156344.59771075533</v>
      </c>
      <c r="K29" s="144">
        <f>TradeSum!K118+NYMEX!K29</f>
        <v>0</v>
      </c>
      <c r="L29" s="142">
        <f t="shared" ca="1" si="2"/>
        <v>156344.59771075533</v>
      </c>
      <c r="N29" s="552"/>
      <c r="O29" s="808"/>
      <c r="P29" s="802"/>
      <c r="Q29" s="802"/>
      <c r="R29" s="795"/>
      <c r="S29" s="733"/>
      <c r="T29" s="1024" t="s">
        <v>7</v>
      </c>
      <c r="U29" s="1024" t="s">
        <v>7</v>
      </c>
      <c r="V29" s="1024" t="s">
        <v>7</v>
      </c>
      <c r="W29" s="796"/>
      <c r="X29" s="796"/>
      <c r="Y29" s="796"/>
      <c r="Z29" s="796"/>
      <c r="AA29" s="733"/>
      <c r="AB29" s="796"/>
      <c r="AC29" s="796"/>
      <c r="AD29" s="796"/>
      <c r="AE29" s="796"/>
      <c r="AF29" s="733"/>
      <c r="AG29" s="796"/>
      <c r="AH29" s="796"/>
      <c r="AI29" s="943"/>
      <c r="AJ29" s="759"/>
      <c r="AK29" s="733"/>
      <c r="AL29" s="941"/>
      <c r="AM29" s="944"/>
      <c r="AN29" s="943"/>
      <c r="AO29" s="759"/>
      <c r="AP29" s="733"/>
      <c r="AQ29" s="941"/>
      <c r="AR29" s="944"/>
      <c r="AS29" s="462"/>
      <c r="AT29" s="462"/>
      <c r="AU29" s="462"/>
      <c r="AV29" s="566"/>
      <c r="AW29" s="718"/>
      <c r="AX29" s="462"/>
    </row>
    <row r="30" spans="1:68" ht="18" x14ac:dyDescent="0.25">
      <c r="A30" s="151">
        <f>TradeSum!A31</f>
        <v>37742</v>
      </c>
      <c r="B30" s="376">
        <f ca="1">TradeSum!B31+TradeSum!B75</f>
        <v>-512334.921875</v>
      </c>
      <c r="C30" s="377">
        <f ca="1">TradeSum!C31+TradeSum!C75</f>
        <v>-1635.3290475804952</v>
      </c>
      <c r="D30" s="378">
        <f>TradeSum!D31+TradeSum!D75</f>
        <v>0</v>
      </c>
      <c r="E30" s="377">
        <f ca="1">TradeSum!E31+TradeSum!E75</f>
        <v>-512334.921875</v>
      </c>
      <c r="F30" s="378">
        <f t="shared" ca="1" si="0"/>
        <v>-1635.3290475804952</v>
      </c>
      <c r="G30" s="379">
        <f>TradeSum!CE31*NYMEX!E30</f>
        <v>0</v>
      </c>
      <c r="H30" s="373">
        <f t="shared" ca="1" si="1"/>
        <v>-512334.921875</v>
      </c>
      <c r="I30" s="373">
        <f ca="1">H30/TradeSum!CD31</f>
        <v>-1524.8063151041667</v>
      </c>
      <c r="J30" s="364">
        <f ca="1">NYMEX!J30+TradeSum!J31+TradeSum!J75</f>
        <v>0</v>
      </c>
      <c r="K30" s="140">
        <f>TradeSum!K119+NYMEX!K30</f>
        <v>0</v>
      </c>
      <c r="L30" s="137">
        <f t="shared" ca="1" si="2"/>
        <v>0</v>
      </c>
      <c r="N30" s="552"/>
      <c r="O30" s="1013" t="s">
        <v>507</v>
      </c>
      <c r="P30" s="1018" t="s">
        <v>504</v>
      </c>
      <c r="Q30" s="1023" t="s">
        <v>505</v>
      </c>
      <c r="R30" s="1023" t="s">
        <v>506</v>
      </c>
      <c r="S30" s="1008" t="s">
        <v>93</v>
      </c>
      <c r="T30" s="1018" t="s">
        <v>504</v>
      </c>
      <c r="U30" s="1023" t="s">
        <v>505</v>
      </c>
      <c r="V30" s="1023" t="s">
        <v>506</v>
      </c>
      <c r="W30" s="796"/>
      <c r="X30" s="796"/>
      <c r="Y30" s="796"/>
      <c r="Z30" s="796"/>
      <c r="AA30" s="796"/>
      <c r="AB30" s="796"/>
      <c r="AC30" s="796"/>
      <c r="AD30" s="796"/>
      <c r="AE30" s="796"/>
      <c r="AF30" s="796"/>
      <c r="AG30" s="796"/>
      <c r="AH30" s="796"/>
      <c r="AI30" s="943"/>
      <c r="AJ30" s="762"/>
      <c r="AK30" s="732"/>
      <c r="AL30" s="942"/>
      <c r="AM30" s="944"/>
      <c r="AN30" s="943"/>
      <c r="AO30" s="762"/>
      <c r="AP30" s="732"/>
      <c r="AQ30" s="947" t="s">
        <v>428</v>
      </c>
      <c r="AR30" s="944"/>
      <c r="AS30" s="851">
        <v>48</v>
      </c>
      <c r="AT30" s="851"/>
      <c r="AU30" s="851"/>
      <c r="AV30" s="566"/>
      <c r="AW30" s="718"/>
      <c r="AX30" s="462"/>
    </row>
    <row r="31" spans="1:68" ht="18" x14ac:dyDescent="0.25">
      <c r="A31" s="151">
        <f>TradeSum!A32</f>
        <v>37773</v>
      </c>
      <c r="B31" s="376">
        <f ca="1">TradeSum!B32+TradeSum!B76</f>
        <v>-249273.98046875</v>
      </c>
      <c r="C31" s="377">
        <f ca="1">TradeSum!C32+TradeSum!C76</f>
        <v>-798.91454152503206</v>
      </c>
      <c r="D31" s="378">
        <f>TradeSum!D32+TradeSum!D76</f>
        <v>0</v>
      </c>
      <c r="E31" s="377">
        <f ca="1">TradeSum!E32+TradeSum!E76</f>
        <v>-249273.98046875</v>
      </c>
      <c r="F31" s="378">
        <f t="shared" ca="1" si="0"/>
        <v>-798.91454152503206</v>
      </c>
      <c r="G31" s="379">
        <f>TradeSum!CE32*NYMEX!E31</f>
        <v>0</v>
      </c>
      <c r="H31" s="373">
        <f t="shared" ca="1" si="1"/>
        <v>-249273.98046875</v>
      </c>
      <c r="I31" s="373">
        <f ca="1">H31/TradeSum!CD32</f>
        <v>-741.88684663318452</v>
      </c>
      <c r="J31" s="152">
        <f ca="1">NYMEX!J31+TradeSum!J32+TradeSum!J76</f>
        <v>124636.990234375</v>
      </c>
      <c r="K31" s="144">
        <f>TradeSum!K120+NYMEX!K31</f>
        <v>0</v>
      </c>
      <c r="L31" s="142">
        <f t="shared" ca="1" si="2"/>
        <v>124636.990234375</v>
      </c>
      <c r="N31" s="807"/>
      <c r="O31" s="1014" t="s">
        <v>501</v>
      </c>
      <c r="P31" s="1019">
        <v>0</v>
      </c>
      <c r="Q31" s="1019">
        <f>30.6+U31</f>
        <v>30.6</v>
      </c>
      <c r="R31" s="1019">
        <f>7.4+V31</f>
        <v>7.4</v>
      </c>
      <c r="S31" s="1009">
        <f>SUM(P31:R31)</f>
        <v>38</v>
      </c>
      <c r="T31" s="1019"/>
      <c r="U31" s="1019"/>
      <c r="V31" s="1019"/>
      <c r="W31" s="796"/>
      <c r="X31" s="796"/>
      <c r="Y31" s="796"/>
      <c r="Z31" s="796"/>
      <c r="AA31" s="796"/>
      <c r="AB31" s="796"/>
      <c r="AC31" s="796"/>
      <c r="AD31" s="796"/>
      <c r="AE31" s="796"/>
      <c r="AF31" s="796"/>
      <c r="AG31" s="796"/>
      <c r="AH31" s="796"/>
      <c r="AI31" s="943"/>
      <c r="AJ31" s="762"/>
      <c r="AK31" s="732"/>
      <c r="AL31" s="942"/>
      <c r="AM31" s="944"/>
      <c r="AN31" s="943"/>
      <c r="AO31" s="762"/>
      <c r="AP31" s="732"/>
      <c r="AQ31" s="942"/>
      <c r="AR31" s="944"/>
      <c r="AS31" s="851">
        <f>+AS30+AT$31</f>
        <v>48.1</v>
      </c>
      <c r="AT31" s="851">
        <v>0.1</v>
      </c>
      <c r="AU31" s="851"/>
      <c r="AV31" s="566"/>
      <c r="AW31" s="462"/>
      <c r="AX31" s="462"/>
    </row>
    <row r="32" spans="1:68" ht="18" x14ac:dyDescent="0.25">
      <c r="A32" s="151">
        <f>TradeSum!A33</f>
        <v>37803</v>
      </c>
      <c r="B32" s="376">
        <f ca="1">TradeSum!B33+TradeSum!B77</f>
        <v>-295234.9296875</v>
      </c>
      <c r="C32" s="377">
        <f ca="1">TradeSum!C33+TradeSum!C77</f>
        <v>-907.04193586331496</v>
      </c>
      <c r="D32" s="378">
        <f>TradeSum!D33+TradeSum!D77</f>
        <v>0</v>
      </c>
      <c r="E32" s="377">
        <f ca="1">TradeSum!E33+TradeSum!E77</f>
        <v>-295234.9296875</v>
      </c>
      <c r="F32" s="378">
        <f t="shared" ca="1" si="0"/>
        <v>-907.04193586331496</v>
      </c>
      <c r="G32" s="379">
        <f>TradeSum!CE33*NYMEX!E32</f>
        <v>0</v>
      </c>
      <c r="H32" s="373">
        <f t="shared" ca="1" si="1"/>
        <v>-295234.9296875</v>
      </c>
      <c r="I32" s="373">
        <f ca="1">H32/TradeSum!CD33</f>
        <v>-838.735595703125</v>
      </c>
      <c r="J32" s="364">
        <f ca="1">NYMEX!J32+TradeSum!J33+TradeSum!J77</f>
        <v>147617.46484375</v>
      </c>
      <c r="K32" s="154">
        <f>TradeSum!K121+NYMEX!K32</f>
        <v>0</v>
      </c>
      <c r="L32" s="137">
        <f t="shared" ca="1" si="2"/>
        <v>147617.46484375</v>
      </c>
      <c r="N32" s="805"/>
      <c r="O32" s="1015" t="s">
        <v>502</v>
      </c>
      <c r="P32" s="1020">
        <v>0</v>
      </c>
      <c r="Q32" s="1020">
        <f>30.5+U32</f>
        <v>30.5</v>
      </c>
      <c r="R32" s="1020">
        <f>7.3+V32</f>
        <v>7.3</v>
      </c>
      <c r="S32" s="1010">
        <f t="shared" ref="S32:S45" si="11">SUM(P32:R32)</f>
        <v>37.799999999999997</v>
      </c>
      <c r="T32" s="1020"/>
      <c r="U32" s="1020"/>
      <c r="V32" s="1020"/>
      <c r="W32" s="734"/>
      <c r="X32" s="734"/>
      <c r="Y32" s="734"/>
      <c r="Z32" s="734"/>
      <c r="AA32" s="734"/>
      <c r="AB32" s="734"/>
      <c r="AC32" s="734"/>
      <c r="AD32" s="734"/>
      <c r="AE32" s="734"/>
      <c r="AF32" s="734"/>
      <c r="AG32" s="734"/>
      <c r="AH32" s="734"/>
      <c r="AI32" s="811"/>
      <c r="AJ32" s="764"/>
      <c r="AK32" s="939" t="s">
        <v>276</v>
      </c>
      <c r="AL32" s="946" t="s">
        <v>271</v>
      </c>
      <c r="AM32" s="940" t="s">
        <v>426</v>
      </c>
      <c r="AN32" s="811"/>
      <c r="AO32" s="764"/>
      <c r="AP32" s="939" t="s">
        <v>276</v>
      </c>
      <c r="AQ32" s="946" t="s">
        <v>271</v>
      </c>
      <c r="AR32" s="940" t="s">
        <v>426</v>
      </c>
      <c r="AS32" s="851">
        <f t="shared" ref="AS32:AS40" si="12">+AS31+AT$31</f>
        <v>48.2</v>
      </c>
      <c r="AT32" s="851"/>
      <c r="AU32" s="851"/>
      <c r="AV32" s="566"/>
      <c r="AW32" s="462"/>
      <c r="AX32" s="725" t="s">
        <v>482</v>
      </c>
    </row>
    <row r="33" spans="1:62" ht="18" x14ac:dyDescent="0.25">
      <c r="A33" s="151">
        <f>TradeSum!A34</f>
        <v>37834</v>
      </c>
      <c r="B33" s="376">
        <f ca="1">TradeSum!B34+TradeSum!B78</f>
        <v>-288535.107421875</v>
      </c>
      <c r="C33" s="377">
        <f ca="1">TradeSum!C34+TradeSum!C78</f>
        <v>-932.70978552613417</v>
      </c>
      <c r="D33" s="378">
        <f>TradeSum!D34+TradeSum!D78</f>
        <v>0</v>
      </c>
      <c r="E33" s="377">
        <f ca="1">TradeSum!E34+TradeSum!E78</f>
        <v>-288535.107421875</v>
      </c>
      <c r="F33" s="378">
        <f t="shared" ca="1" si="0"/>
        <v>-932.70978552613417</v>
      </c>
      <c r="G33" s="379">
        <f>TradeSum!CE34*NYMEX!E33</f>
        <v>0</v>
      </c>
      <c r="H33" s="373">
        <f t="shared" ca="1" si="1"/>
        <v>-288535.107421875</v>
      </c>
      <c r="I33" s="373">
        <f ca="1">H33/TradeSum!CD34</f>
        <v>-858.73543875558039</v>
      </c>
      <c r="J33" s="390">
        <f ca="1">NYMEX!J33+TradeSum!J34+TradeSum!J78</f>
        <v>144267.5537109375</v>
      </c>
      <c r="K33" s="148">
        <f>TradeSum!K122+NYMEX!K33</f>
        <v>0</v>
      </c>
      <c r="L33" s="148">
        <f t="shared" ca="1" si="2"/>
        <v>144267.5537109375</v>
      </c>
      <c r="N33" s="805"/>
      <c r="O33" s="1016" t="s">
        <v>308</v>
      </c>
      <c r="P33" s="1025">
        <v>0</v>
      </c>
      <c r="Q33" s="1025">
        <f>30.5+U33</f>
        <v>30.5</v>
      </c>
      <c r="R33" s="1025">
        <f>7.3+V33</f>
        <v>7.3</v>
      </c>
      <c r="S33" s="1011">
        <f t="shared" si="11"/>
        <v>37.799999999999997</v>
      </c>
      <c r="T33" s="1025"/>
      <c r="U33" s="1025"/>
      <c r="V33" s="1025"/>
      <c r="W33" s="734"/>
      <c r="X33" s="734"/>
      <c r="Y33" s="734" t="s">
        <v>265</v>
      </c>
      <c r="Z33" s="734"/>
      <c r="AA33" s="733">
        <v>180</v>
      </c>
      <c r="AB33" s="845">
        <v>3.15</v>
      </c>
      <c r="AC33" s="734"/>
      <c r="AD33" s="845">
        <f>+AD37</f>
        <v>3.16</v>
      </c>
      <c r="AE33" s="734"/>
      <c r="AF33" s="733">
        <f t="shared" ref="AF33:AF42" si="13">(AD33-AB33)*AA33*10000</f>
        <v>18000.000000000415</v>
      </c>
      <c r="AG33" s="954">
        <v>900</v>
      </c>
      <c r="AH33" s="734"/>
      <c r="AI33" s="811" t="s">
        <v>417</v>
      </c>
      <c r="AJ33" s="753"/>
      <c r="AK33" s="732">
        <f>AG33+AP33</f>
        <v>900</v>
      </c>
      <c r="AL33" s="732">
        <f>-700+AQ33</f>
        <v>-700</v>
      </c>
      <c r="AM33" s="750">
        <f>200-250+100+AR33</f>
        <v>50</v>
      </c>
      <c r="AN33" s="953" t="s">
        <v>429</v>
      </c>
      <c r="AO33" s="753"/>
      <c r="AP33" s="732"/>
      <c r="AQ33" s="732"/>
      <c r="AR33" s="750"/>
      <c r="AS33" s="851">
        <f t="shared" si="12"/>
        <v>48.300000000000004</v>
      </c>
      <c r="AT33" s="851"/>
      <c r="AU33" s="851"/>
      <c r="AV33" s="462"/>
      <c r="AW33" s="462"/>
      <c r="AX33" s="725"/>
    </row>
    <row r="34" spans="1:62" ht="18" x14ac:dyDescent="0.25">
      <c r="A34" s="151">
        <f>TradeSum!A35</f>
        <v>37865</v>
      </c>
      <c r="B34" s="376">
        <f ca="1">TradeSum!B35+TradeSum!B79</f>
        <v>-276807.1796875</v>
      </c>
      <c r="C34" s="377">
        <f ca="1">TradeSum!C35+TradeSum!C79</f>
        <v>-898.65929659120593</v>
      </c>
      <c r="D34" s="378">
        <f>TradeSum!D35+TradeSum!D79</f>
        <v>0</v>
      </c>
      <c r="E34" s="377">
        <f ca="1">TradeSum!E35+TradeSum!E79</f>
        <v>-276807.1796875</v>
      </c>
      <c r="F34" s="378">
        <f t="shared" ca="1" si="0"/>
        <v>-898.65929659120593</v>
      </c>
      <c r="G34" s="379">
        <f>TradeSum!CE35*NYMEX!E34</f>
        <v>0</v>
      </c>
      <c r="H34" s="373">
        <f t="shared" ca="1" si="1"/>
        <v>-276807.1796875</v>
      </c>
      <c r="I34" s="373">
        <f ca="1">H34/TradeSum!CD35</f>
        <v>-823.83089192708337</v>
      </c>
      <c r="J34" s="390">
        <f ca="1">NYMEX!J34+TradeSum!J35+TradeSum!J79</f>
        <v>0</v>
      </c>
      <c r="K34" s="148">
        <f>TradeSum!K123+NYMEX!K34</f>
        <v>0</v>
      </c>
      <c r="L34" s="148">
        <f t="shared" ca="1" si="2"/>
        <v>0</v>
      </c>
      <c r="N34" s="805"/>
      <c r="O34" s="1015" t="s">
        <v>322</v>
      </c>
      <c r="P34" s="1020">
        <v>0</v>
      </c>
      <c r="Q34" s="1020">
        <f>-30.4+U34</f>
        <v>-30.4</v>
      </c>
      <c r="R34" s="1020">
        <f>7.3+V34</f>
        <v>7.3</v>
      </c>
      <c r="S34" s="1010">
        <f t="shared" si="11"/>
        <v>-23.099999999999998</v>
      </c>
      <c r="T34" s="1020"/>
      <c r="U34" s="1020"/>
      <c r="V34" s="1020"/>
      <c r="W34" s="734"/>
      <c r="X34" s="734"/>
      <c r="Y34" s="734" t="s">
        <v>335</v>
      </c>
      <c r="Z34" s="734"/>
      <c r="AA34" s="733"/>
      <c r="AB34" s="845">
        <v>5.22</v>
      </c>
      <c r="AC34" s="734"/>
      <c r="AD34" s="845"/>
      <c r="AE34" s="734"/>
      <c r="AF34" s="733">
        <f t="shared" si="13"/>
        <v>0</v>
      </c>
      <c r="AG34" s="955">
        <v>1000</v>
      </c>
      <c r="AH34" s="734"/>
      <c r="AI34" s="811" t="s">
        <v>418</v>
      </c>
      <c r="AJ34" s="753"/>
      <c r="AK34" s="732">
        <f>AG34+AP34</f>
        <v>1000</v>
      </c>
      <c r="AL34" s="732">
        <f>-650+AQ34</f>
        <v>-650</v>
      </c>
      <c r="AM34" s="750">
        <f>100+50-250-50+100+AR34</f>
        <v>-50</v>
      </c>
      <c r="AN34" s="953" t="s">
        <v>430</v>
      </c>
      <c r="AO34" s="753"/>
      <c r="AP34" s="732"/>
      <c r="AQ34" s="732"/>
      <c r="AR34" s="750"/>
      <c r="AS34" s="851">
        <f t="shared" si="12"/>
        <v>48.400000000000006</v>
      </c>
      <c r="AT34" s="851"/>
      <c r="AU34" s="851"/>
      <c r="AV34" s="462"/>
      <c r="AW34" s="462"/>
      <c r="AX34" s="725" t="s">
        <v>414</v>
      </c>
      <c r="AY34" s="992">
        <v>-1.25</v>
      </c>
      <c r="AZ34" s="992">
        <f>+'EOL LINKS'!H36</f>
        <v>-1.2000000000000002</v>
      </c>
      <c r="BA34" s="560">
        <f>+AZ34-AY34</f>
        <v>4.9999999999999822E-2</v>
      </c>
    </row>
    <row r="35" spans="1:62" ht="18" x14ac:dyDescent="0.25">
      <c r="A35" s="151">
        <f>TradeSum!A36</f>
        <v>37895</v>
      </c>
      <c r="B35" s="376">
        <f ca="1">TradeSum!B36+TradeSum!B80</f>
        <v>-486243.953125</v>
      </c>
      <c r="C35" s="377">
        <f ca="1">TradeSum!C36+TradeSum!C80</f>
        <v>-1447.745140823843</v>
      </c>
      <c r="D35" s="378">
        <f>TradeSum!D36+TradeSum!D80</f>
        <v>0</v>
      </c>
      <c r="E35" s="377">
        <f ca="1">TradeSum!E36+TradeSum!E80</f>
        <v>-486243.953125</v>
      </c>
      <c r="F35" s="378">
        <f t="shared" ca="1" si="0"/>
        <v>-1447.745140823843</v>
      </c>
      <c r="G35" s="379">
        <f>TradeSum!CE36*NYMEX!E35</f>
        <v>0</v>
      </c>
      <c r="H35" s="373">
        <f t="shared" ca="1" si="1"/>
        <v>-486243.953125</v>
      </c>
      <c r="I35" s="373">
        <f ca="1">H35/TradeSum!CD36</f>
        <v>-1321.315090013587</v>
      </c>
      <c r="J35" s="390">
        <f ca="1">NYMEX!J35+TradeSum!J36+TradeSum!J80</f>
        <v>177479.6851405669</v>
      </c>
      <c r="K35" s="148">
        <f>TradeSum!K124+NYMEX!K35</f>
        <v>0</v>
      </c>
      <c r="L35" s="148">
        <f t="shared" ca="1" si="2"/>
        <v>177479.6851405669</v>
      </c>
      <c r="N35" s="805"/>
      <c r="O35" s="1015" t="s">
        <v>324</v>
      </c>
      <c r="P35" s="1020">
        <v>0</v>
      </c>
      <c r="Q35" s="1020">
        <f>-30.3+U35</f>
        <v>-30.3</v>
      </c>
      <c r="R35" s="1020">
        <f>7.3+V35</f>
        <v>7.3</v>
      </c>
      <c r="S35" s="1010">
        <f t="shared" si="11"/>
        <v>-23</v>
      </c>
      <c r="T35" s="1020"/>
      <c r="U35" s="1020"/>
      <c r="V35" s="1020"/>
      <c r="W35" s="734"/>
      <c r="X35" s="734"/>
      <c r="Y35" s="734" t="s">
        <v>168</v>
      </c>
      <c r="Z35" s="734"/>
      <c r="AA35" s="733"/>
      <c r="AB35" s="845">
        <v>3.3220000000000001</v>
      </c>
      <c r="AC35" s="734"/>
      <c r="AD35" s="845">
        <f>+Master!U58</f>
        <v>2.7349999999999999</v>
      </c>
      <c r="AE35" s="734"/>
      <c r="AF35" s="733">
        <f t="shared" si="13"/>
        <v>0</v>
      </c>
      <c r="AG35" s="955">
        <v>200</v>
      </c>
      <c r="AH35" s="734"/>
      <c r="AI35" s="811" t="s">
        <v>419</v>
      </c>
      <c r="AJ35" s="753"/>
      <c r="AK35" s="732">
        <f>AG35+AP35</f>
        <v>200</v>
      </c>
      <c r="AL35" s="732">
        <f>-800+AQ35</f>
        <v>-800</v>
      </c>
      <c r="AM35" s="750">
        <f>100+50-250-50+100+AR35</f>
        <v>-50</v>
      </c>
      <c r="AN35" s="953" t="s">
        <v>431</v>
      </c>
      <c r="AO35" s="753"/>
      <c r="AP35" s="732"/>
      <c r="AQ35" s="732"/>
      <c r="AR35" s="750"/>
      <c r="AS35" s="851">
        <f t="shared" si="12"/>
        <v>48.500000000000007</v>
      </c>
      <c r="AT35" s="851"/>
      <c r="AU35" s="851"/>
      <c r="AV35" s="462"/>
      <c r="AW35" s="462"/>
      <c r="AX35" s="725" t="s">
        <v>415</v>
      </c>
      <c r="AY35" s="992">
        <v>-0.6</v>
      </c>
      <c r="AZ35" s="992">
        <f>+'EOL LINKS'!H37</f>
        <v>-1.1000000000000001</v>
      </c>
      <c r="BA35" s="560">
        <f t="shared" ref="BA35:BA47" si="14">+AZ35-AY35</f>
        <v>-0.50000000000000011</v>
      </c>
    </row>
    <row r="36" spans="1:62" ht="18" x14ac:dyDescent="0.25">
      <c r="A36" s="151">
        <f>TradeSum!A37</f>
        <v>37926</v>
      </c>
      <c r="B36" s="376">
        <f ca="1">TradeSum!B37+TradeSum!B81</f>
        <v>-399907.3125</v>
      </c>
      <c r="C36" s="377">
        <f ca="1">TradeSum!C37+TradeSum!C81</f>
        <v>-1447.7218970599563</v>
      </c>
      <c r="D36" s="378">
        <f>TradeSum!D37+TradeSum!D81</f>
        <v>0</v>
      </c>
      <c r="E36" s="377">
        <f ca="1">TradeSum!E37+TradeSum!E81</f>
        <v>-399907.3125</v>
      </c>
      <c r="F36" s="378">
        <f t="shared" ca="1" si="0"/>
        <v>-1447.7218970599563</v>
      </c>
      <c r="G36" s="379">
        <f>TradeSum!CE37*NYMEX!E36</f>
        <v>0</v>
      </c>
      <c r="H36" s="373">
        <f t="shared" ca="1" si="1"/>
        <v>-399907.3125</v>
      </c>
      <c r="I36" s="373">
        <f ca="1">H36/TradeSum!CD37</f>
        <v>-1315.4845805921052</v>
      </c>
      <c r="J36" s="390">
        <f ca="1">NYMEX!J36+TradeSum!J37+TradeSum!J81</f>
        <v>145966.69727564603</v>
      </c>
      <c r="K36" s="148">
        <f>TradeSum!K125+NYMEX!K36</f>
        <v>0</v>
      </c>
      <c r="L36" s="148">
        <f t="shared" ca="1" si="2"/>
        <v>145966.69727564603</v>
      </c>
      <c r="N36" s="805"/>
      <c r="O36" s="1016" t="s">
        <v>503</v>
      </c>
      <c r="P36" s="1025">
        <v>0</v>
      </c>
      <c r="Q36" s="1025">
        <f>-30.2+U36</f>
        <v>-30.2</v>
      </c>
      <c r="R36" s="1025">
        <f>7.2+V36</f>
        <v>7.2</v>
      </c>
      <c r="S36" s="1011">
        <f t="shared" si="11"/>
        <v>-23</v>
      </c>
      <c r="T36" s="1025"/>
      <c r="U36" s="1025"/>
      <c r="V36" s="1025"/>
      <c r="W36" s="734"/>
      <c r="X36" s="734"/>
      <c r="Y36" s="734" t="s">
        <v>281</v>
      </c>
      <c r="Z36" s="734"/>
      <c r="AA36" s="733"/>
      <c r="AB36" s="845">
        <v>3.22</v>
      </c>
      <c r="AC36" s="734"/>
      <c r="AD36" s="845">
        <f>+Master!U60</f>
        <v>3.2</v>
      </c>
      <c r="AE36" s="734"/>
      <c r="AF36" s="733">
        <f t="shared" si="13"/>
        <v>0</v>
      </c>
      <c r="AG36" s="955">
        <v>650</v>
      </c>
      <c r="AH36" s="734"/>
      <c r="AI36" s="811" t="s">
        <v>420</v>
      </c>
      <c r="AJ36" s="753"/>
      <c r="AK36" s="732">
        <f>AG36+AP36</f>
        <v>650</v>
      </c>
      <c r="AL36" s="732">
        <f>-800+AQ36</f>
        <v>-800</v>
      </c>
      <c r="AM36" s="750">
        <f>100+50-250-50+100+AR36</f>
        <v>-50</v>
      </c>
      <c r="AN36" s="953" t="s">
        <v>432</v>
      </c>
      <c r="AO36" s="753"/>
      <c r="AP36" s="732"/>
      <c r="AQ36" s="732"/>
      <c r="AR36" s="750"/>
      <c r="AS36" s="851">
        <f t="shared" si="12"/>
        <v>48.600000000000009</v>
      </c>
      <c r="AT36" s="851"/>
      <c r="AU36" s="851"/>
      <c r="AV36" s="462"/>
      <c r="AW36" s="462"/>
      <c r="AX36" s="725" t="s">
        <v>268</v>
      </c>
      <c r="AY36" s="992">
        <v>-1.25</v>
      </c>
      <c r="AZ36" s="992">
        <f>+'EOL LINKS'!H38</f>
        <v>-0.65</v>
      </c>
      <c r="BA36" s="560">
        <f t="shared" si="14"/>
        <v>0.6</v>
      </c>
    </row>
    <row r="37" spans="1:62" ht="18" x14ac:dyDescent="0.25">
      <c r="A37" s="151">
        <f>TradeSum!A38</f>
        <v>37956</v>
      </c>
      <c r="B37" s="376">
        <f ca="1">TradeSum!B38+TradeSum!B82</f>
        <v>-460913.40625</v>
      </c>
      <c r="C37" s="377">
        <f ca="1">TradeSum!C38+TradeSum!C82</f>
        <v>-1447.6269415604315</v>
      </c>
      <c r="D37" s="378">
        <f>TradeSum!D38+TradeSum!D82</f>
        <v>0</v>
      </c>
      <c r="E37" s="377">
        <f ca="1">TradeSum!E38+TradeSum!E82</f>
        <v>-460913.40625</v>
      </c>
      <c r="F37" s="378">
        <f t="shared" ca="1" si="0"/>
        <v>-1447.6269415604315</v>
      </c>
      <c r="G37" s="379">
        <f>TradeSum!CE38*NYMEX!E37</f>
        <v>0</v>
      </c>
      <c r="H37" s="373">
        <f t="shared" ca="1" si="1"/>
        <v>-460913.40625</v>
      </c>
      <c r="I37" s="373">
        <f ca="1">H37/TradeSum!CD38</f>
        <v>-1309.4130859375</v>
      </c>
      <c r="J37" s="390">
        <f ca="1">NYMEX!J37+TradeSum!J38+TradeSum!J82</f>
        <v>168234.00207361951</v>
      </c>
      <c r="K37" s="148">
        <f>TradeSum!K126+NYMEX!K37</f>
        <v>0</v>
      </c>
      <c r="L37" s="148">
        <f t="shared" ca="1" si="2"/>
        <v>168234.00207361951</v>
      </c>
      <c r="N37" s="806"/>
      <c r="O37" s="1015" t="s">
        <v>326</v>
      </c>
      <c r="P37" s="1020">
        <v>0</v>
      </c>
      <c r="Q37" s="1020">
        <f>-15+U37</f>
        <v>-15</v>
      </c>
      <c r="R37" s="1020">
        <f>7.2+V37</f>
        <v>7.2</v>
      </c>
      <c r="S37" s="1010">
        <f t="shared" si="11"/>
        <v>-7.8</v>
      </c>
      <c r="T37" s="1020"/>
      <c r="U37" s="1020"/>
      <c r="V37" s="1020"/>
      <c r="W37" s="734"/>
      <c r="X37" s="734"/>
      <c r="Y37" s="734" t="s">
        <v>265</v>
      </c>
      <c r="Z37" s="734"/>
      <c r="AA37" s="733">
        <f>-3*360</f>
        <v>-1080</v>
      </c>
      <c r="AB37" s="845">
        <v>3.15</v>
      </c>
      <c r="AC37" s="734"/>
      <c r="AD37" s="845">
        <f>+Master!L2</f>
        <v>3.16</v>
      </c>
      <c r="AE37" s="734"/>
      <c r="AF37" s="733">
        <f t="shared" si="13"/>
        <v>-108000.00000000249</v>
      </c>
      <c r="AG37" s="956">
        <v>300</v>
      </c>
      <c r="AH37" s="734"/>
      <c r="AI37" s="811" t="s">
        <v>425</v>
      </c>
      <c r="AJ37" s="753"/>
      <c r="AK37" s="732">
        <f>AG37+AP37</f>
        <v>300</v>
      </c>
      <c r="AL37" s="732">
        <f>-800+AQ37</f>
        <v>-800</v>
      </c>
      <c r="AM37" s="750">
        <f>100+50-250-50+100+AR37</f>
        <v>-50</v>
      </c>
      <c r="AN37" s="953" t="s">
        <v>433</v>
      </c>
      <c r="AO37" s="753"/>
      <c r="AP37" s="732"/>
      <c r="AQ37" s="732"/>
      <c r="AR37" s="750"/>
      <c r="AS37" s="851">
        <f t="shared" si="12"/>
        <v>48.70000000000001</v>
      </c>
      <c r="AT37" s="851"/>
      <c r="AU37" s="851"/>
      <c r="AV37" s="462"/>
      <c r="AW37" s="462"/>
      <c r="AX37" s="725" t="s">
        <v>269</v>
      </c>
      <c r="AY37" s="992">
        <v>-1.5</v>
      </c>
      <c r="AZ37" s="992">
        <f>+'EOL LINKS'!H39</f>
        <v>-1</v>
      </c>
      <c r="BA37" s="560">
        <f t="shared" si="14"/>
        <v>0.5</v>
      </c>
    </row>
    <row r="38" spans="1:62" ht="18" x14ac:dyDescent="0.25">
      <c r="A38" s="151">
        <f>TradeSum!A39</f>
        <v>37987</v>
      </c>
      <c r="B38" s="376">
        <f ca="1">TradeSum!B39+TradeSum!B83</f>
        <v>-45300.3671875</v>
      </c>
      <c r="C38" s="377">
        <f ca="1">TradeSum!C39+TradeSum!C83</f>
        <v>-149.74838623291825</v>
      </c>
      <c r="D38" s="378">
        <f>TradeSum!D39+TradeSum!D83</f>
        <v>0</v>
      </c>
      <c r="E38" s="377">
        <f ca="1">TradeSum!E39+TradeSum!E83</f>
        <v>-45300.3671875</v>
      </c>
      <c r="F38" s="378">
        <f t="shared" ca="1" si="0"/>
        <v>-149.74838623291825</v>
      </c>
      <c r="G38" s="379">
        <f>TradeSum!CE39*NYMEX!E38</f>
        <v>0</v>
      </c>
      <c r="H38" s="373">
        <f t="shared" ca="1" si="1"/>
        <v>-45300.3671875</v>
      </c>
      <c r="I38" s="373">
        <f ca="1">H38/TradeSum!CD39</f>
        <v>-134.82252139136904</v>
      </c>
      <c r="J38" s="390">
        <f ca="1">NYMEX!J38+TradeSum!J39+TradeSum!J83</f>
        <v>-8.2289136514774042E-3</v>
      </c>
      <c r="K38" s="148">
        <f>TradeSum!K127+NYMEX!K38</f>
        <v>0</v>
      </c>
      <c r="L38" s="148">
        <f t="shared" ca="1" si="2"/>
        <v>-8.2289136514774042E-3</v>
      </c>
      <c r="N38" s="806"/>
      <c r="O38" s="1015" t="s">
        <v>327</v>
      </c>
      <c r="P38" s="1020">
        <v>0</v>
      </c>
      <c r="Q38" s="1020">
        <f>-15+U38</f>
        <v>-15</v>
      </c>
      <c r="R38" s="1020">
        <f>7.2+V38</f>
        <v>7.2</v>
      </c>
      <c r="S38" s="1010">
        <f t="shared" si="11"/>
        <v>-7.8</v>
      </c>
      <c r="T38" s="1020"/>
      <c r="U38" s="1020"/>
      <c r="V38" s="1020"/>
      <c r="W38" s="734"/>
      <c r="X38" s="734"/>
      <c r="Y38" s="734" t="s">
        <v>272</v>
      </c>
      <c r="Z38" s="734"/>
      <c r="AA38" s="733"/>
      <c r="AB38" s="845">
        <v>3.3</v>
      </c>
      <c r="AC38" s="734"/>
      <c r="AD38" s="845">
        <f>+Master!L3</f>
        <v>3.29</v>
      </c>
      <c r="AE38" s="734"/>
      <c r="AF38" s="733">
        <f t="shared" si="13"/>
        <v>0</v>
      </c>
      <c r="AG38" s="734"/>
      <c r="AH38" s="734"/>
      <c r="AI38" s="811"/>
      <c r="AJ38" s="753"/>
      <c r="AK38" s="732"/>
      <c r="AL38" s="732"/>
      <c r="AM38" s="750"/>
      <c r="AN38" s="811"/>
      <c r="AO38" s="753"/>
      <c r="AP38" s="732"/>
      <c r="AQ38" s="732"/>
      <c r="AR38" s="750"/>
      <c r="AS38" s="851">
        <f t="shared" si="12"/>
        <v>48.800000000000011</v>
      </c>
      <c r="AT38" s="851"/>
      <c r="AU38" s="851"/>
      <c r="AV38" s="462"/>
      <c r="AW38" s="462"/>
      <c r="AX38" s="725" t="s">
        <v>416</v>
      </c>
      <c r="AY38" s="992">
        <v>-1.5</v>
      </c>
      <c r="AZ38" s="992">
        <f>+'EOL LINKS'!H40</f>
        <v>-1.25</v>
      </c>
      <c r="BA38" s="560">
        <f t="shared" si="14"/>
        <v>0.25</v>
      </c>
      <c r="BH38" s="928">
        <v>3.1549999999999998</v>
      </c>
    </row>
    <row r="39" spans="1:62" ht="18" x14ac:dyDescent="0.25">
      <c r="A39" s="151">
        <f>TradeSum!A40</f>
        <v>38018</v>
      </c>
      <c r="B39" s="376">
        <f ca="1">TradeSum!B40+TradeSum!B84</f>
        <v>-42953.421875</v>
      </c>
      <c r="C39" s="377">
        <f ca="1">TradeSum!C40+TradeSum!C84</f>
        <v>-149.75744525229183</v>
      </c>
      <c r="D39" s="378">
        <f>TradeSum!D40+TradeSum!D84</f>
        <v>0</v>
      </c>
      <c r="E39" s="377">
        <f ca="1">TradeSum!E40+TradeSum!E84</f>
        <v>-42953.421875</v>
      </c>
      <c r="F39" s="378">
        <f t="shared" ca="1" si="0"/>
        <v>-149.75744525229183</v>
      </c>
      <c r="G39" s="379">
        <f>TradeSum!CE40*NYMEX!E39</f>
        <v>0</v>
      </c>
      <c r="H39" s="373">
        <f t="shared" ca="1" si="1"/>
        <v>-42953.421875</v>
      </c>
      <c r="I39" s="373">
        <f ca="1">H39/TradeSum!CD40</f>
        <v>-134.22944335937501</v>
      </c>
      <c r="J39" s="390">
        <f ca="1">NYMEX!J39+TradeSum!J40+TradeSum!J84</f>
        <v>-7.8025857534856358E-3</v>
      </c>
      <c r="K39" s="148">
        <f>TradeSum!K128+NYMEX!K39</f>
        <v>0</v>
      </c>
      <c r="L39" s="148">
        <f t="shared" ca="1" si="2"/>
        <v>-7.8025857534856358E-3</v>
      </c>
      <c r="N39" s="806"/>
      <c r="O39" s="1016" t="s">
        <v>87</v>
      </c>
      <c r="P39" s="1025">
        <v>0</v>
      </c>
      <c r="Q39" s="1025">
        <f>-14.9+U39</f>
        <v>-14.9</v>
      </c>
      <c r="R39" s="1025">
        <f>7.1+V39</f>
        <v>7.1</v>
      </c>
      <c r="S39" s="1011">
        <f t="shared" si="11"/>
        <v>-7.8000000000000007</v>
      </c>
      <c r="T39" s="1025"/>
      <c r="U39" s="1025"/>
      <c r="V39" s="1025"/>
      <c r="W39" s="734"/>
      <c r="X39" s="734"/>
      <c r="Y39" s="734" t="s">
        <v>281</v>
      </c>
      <c r="Z39" s="734"/>
      <c r="AA39" s="733">
        <f>3.5*31</f>
        <v>108.5</v>
      </c>
      <c r="AB39" s="845">
        <v>3.22</v>
      </c>
      <c r="AC39" s="734"/>
      <c r="AD39" s="845">
        <f>+Master!U60</f>
        <v>3.2</v>
      </c>
      <c r="AE39" s="734"/>
      <c r="AF39" s="733">
        <f t="shared" si="13"/>
        <v>-21700.000000000018</v>
      </c>
      <c r="AG39" s="734"/>
      <c r="AH39" s="734"/>
      <c r="AI39" s="811" t="s">
        <v>427</v>
      </c>
      <c r="AJ39" s="753"/>
      <c r="AK39" s="732">
        <f>+AK53</f>
        <v>640.47619047619048</v>
      </c>
      <c r="AL39" s="732">
        <f>+AL53</f>
        <v>-745.23809523809518</v>
      </c>
      <c r="AM39" s="732">
        <f>+AM53</f>
        <v>-30.952380952380953</v>
      </c>
      <c r="AN39" s="811" t="s">
        <v>427</v>
      </c>
      <c r="AO39" s="753"/>
      <c r="AP39" s="732">
        <f>+AP53</f>
        <v>0</v>
      </c>
      <c r="AQ39" s="732">
        <f>+AQ53</f>
        <v>0</v>
      </c>
      <c r="AR39" s="750">
        <f>+AR53</f>
        <v>0</v>
      </c>
      <c r="AS39" s="851">
        <f t="shared" si="12"/>
        <v>48.900000000000013</v>
      </c>
      <c r="AT39" s="851"/>
      <c r="AU39" s="851"/>
      <c r="AV39" s="462"/>
      <c r="AW39" s="462"/>
      <c r="AX39" s="725" t="s">
        <v>257</v>
      </c>
      <c r="AY39" s="992">
        <v>-1.25</v>
      </c>
      <c r="AZ39" s="992">
        <f>+'EOL LINKS'!H41</f>
        <v>-1</v>
      </c>
      <c r="BA39" s="560">
        <f t="shared" si="14"/>
        <v>0.25</v>
      </c>
      <c r="BH39" s="928">
        <v>3.036</v>
      </c>
    </row>
    <row r="40" spans="1:62" ht="18" x14ac:dyDescent="0.25">
      <c r="A40" s="151">
        <f>TradeSum!A41</f>
        <v>38047</v>
      </c>
      <c r="B40" s="376">
        <f ca="1">TradeSum!B41+TradeSum!B85</f>
        <v>-49164.66015625</v>
      </c>
      <c r="C40" s="377">
        <f ca="1">TradeSum!C41+TradeSum!C85</f>
        <v>-149.75746949740127</v>
      </c>
      <c r="D40" s="378">
        <f>TradeSum!D41+TradeSum!D85</f>
        <v>0</v>
      </c>
      <c r="E40" s="377">
        <f ca="1">TradeSum!E41+TradeSum!E85</f>
        <v>-49164.66015625</v>
      </c>
      <c r="F40" s="378">
        <f t="shared" ca="1" si="0"/>
        <v>-149.75746949740127</v>
      </c>
      <c r="G40" s="379">
        <f>TradeSum!CE41*NYMEX!E40</f>
        <v>0</v>
      </c>
      <c r="H40" s="373">
        <f t="shared" ca="1" si="1"/>
        <v>-49164.66015625</v>
      </c>
      <c r="I40" s="373">
        <f ca="1">H40/TradeSum!CD41</f>
        <v>-133.59961998980978</v>
      </c>
      <c r="J40" s="390">
        <f ca="1">NYMEX!J40+TradeSum!J41+TradeSum!J85</f>
        <v>12291.186847003659</v>
      </c>
      <c r="K40" s="148">
        <f>TradeSum!K129+NYMEX!K40</f>
        <v>0</v>
      </c>
      <c r="L40" s="148">
        <f t="shared" ca="1" si="2"/>
        <v>12291.186847003659</v>
      </c>
      <c r="N40" s="806"/>
      <c r="O40" s="1015" t="s">
        <v>256</v>
      </c>
      <c r="P40" s="1020">
        <f>-61.8+T40</f>
        <v>-61.8</v>
      </c>
      <c r="Q40" s="1020">
        <f>44.7+U40</f>
        <v>44.7</v>
      </c>
      <c r="R40" s="1020">
        <f>7.1+V40</f>
        <v>7.1</v>
      </c>
      <c r="S40" s="1010">
        <f t="shared" si="11"/>
        <v>-9.9999999999999947</v>
      </c>
      <c r="T40" s="1020"/>
      <c r="U40" s="1020"/>
      <c r="V40" s="1020"/>
      <c r="W40" s="734"/>
      <c r="X40" s="734"/>
      <c r="Y40" s="734" t="s">
        <v>314</v>
      </c>
      <c r="Z40" s="734"/>
      <c r="AA40" s="733"/>
      <c r="AB40" s="845">
        <f>+AD40</f>
        <v>3.0350000000000001</v>
      </c>
      <c r="AC40" s="734"/>
      <c r="AD40" s="845">
        <f>+AD33-0.125</f>
        <v>3.0350000000000001</v>
      </c>
      <c r="AE40" s="734"/>
      <c r="AF40" s="733">
        <f t="shared" si="13"/>
        <v>0</v>
      </c>
      <c r="AG40" s="734"/>
      <c r="AH40" s="734"/>
      <c r="AI40" s="811"/>
      <c r="AJ40" s="753"/>
      <c r="AK40" s="732"/>
      <c r="AL40" s="732"/>
      <c r="AM40" s="750"/>
      <c r="AN40" s="811"/>
      <c r="AO40" s="753"/>
      <c r="AP40" s="732"/>
      <c r="AQ40" s="732"/>
      <c r="AR40" s="750"/>
      <c r="AS40" s="851">
        <f t="shared" si="12"/>
        <v>49.000000000000014</v>
      </c>
      <c r="AT40" s="851"/>
      <c r="AU40" s="851">
        <f>AVERAGE(AS30:AS38)</f>
        <v>48.400000000000006</v>
      </c>
      <c r="AV40" s="462"/>
      <c r="AW40" s="462"/>
      <c r="AX40" s="725" t="s">
        <v>98</v>
      </c>
      <c r="AY40" s="992">
        <v>-0.75</v>
      </c>
      <c r="AZ40" s="992">
        <f>+'EOL LINKS'!H42</f>
        <v>-0.55000000000000004</v>
      </c>
      <c r="BA40" s="560">
        <f t="shared" si="14"/>
        <v>0.19999999999999996</v>
      </c>
      <c r="BH40" s="928">
        <v>2.956</v>
      </c>
    </row>
    <row r="41" spans="1:62" ht="18" x14ac:dyDescent="0.25">
      <c r="A41" s="151">
        <f>TradeSum!A42</f>
        <v>38078</v>
      </c>
      <c r="B41" s="376">
        <f ca="1">TradeSum!B42+TradeSum!B86</f>
        <v>-46812.14453125</v>
      </c>
      <c r="C41" s="377">
        <f ca="1">TradeSum!C42+TradeSum!C86</f>
        <v>-149.7671858557384</v>
      </c>
      <c r="D41" s="378">
        <f>TradeSum!D42+TradeSum!D86</f>
        <v>0</v>
      </c>
      <c r="E41" s="377">
        <f ca="1">TradeSum!E42+TradeSum!E86</f>
        <v>-46812.14453125</v>
      </c>
      <c r="F41" s="378">
        <f t="shared" ca="1" si="0"/>
        <v>-149.7671858557384</v>
      </c>
      <c r="G41" s="379">
        <f>TradeSum!CE42*NYMEX!E41</f>
        <v>0</v>
      </c>
      <c r="H41" s="373">
        <f t="shared" ca="1" si="1"/>
        <v>-46812.14453125</v>
      </c>
      <c r="I41" s="373">
        <f ca="1">H41/TradeSum!CD42</f>
        <v>-132.98904696377841</v>
      </c>
      <c r="J41" s="390">
        <f ca="1">NYMEX!J41+TradeSum!J42+TradeSum!J86</f>
        <v>11703.056897249602</v>
      </c>
      <c r="K41" s="148">
        <f>TradeSum!K130+NYMEX!K41</f>
        <v>0</v>
      </c>
      <c r="L41" s="148">
        <f t="shared" ca="1" si="2"/>
        <v>11703.056897249602</v>
      </c>
      <c r="N41" s="806"/>
      <c r="O41" s="1015" t="s">
        <v>328</v>
      </c>
      <c r="P41" s="1020">
        <f>-61.6+T41</f>
        <v>-61.6</v>
      </c>
      <c r="Q41" s="1020">
        <f>44.5+U41</f>
        <v>44.5</v>
      </c>
      <c r="R41" s="1020">
        <f>7.1+V41</f>
        <v>7.1</v>
      </c>
      <c r="S41" s="1010">
        <f t="shared" si="11"/>
        <v>-10.000000000000002</v>
      </c>
      <c r="T41" s="1020"/>
      <c r="U41" s="1020"/>
      <c r="V41" s="1020"/>
      <c r="W41" s="734"/>
      <c r="X41" s="734"/>
      <c r="Y41" s="734" t="s">
        <v>500</v>
      </c>
      <c r="Z41" s="734"/>
      <c r="AA41" s="733"/>
      <c r="AB41" s="845">
        <v>3.4</v>
      </c>
      <c r="AC41" s="734"/>
      <c r="AD41" s="845">
        <f>AVERAGE(Master!U60:U63)</f>
        <v>3.12</v>
      </c>
      <c r="AE41" s="734"/>
      <c r="AF41" s="733">
        <f t="shared" si="13"/>
        <v>0</v>
      </c>
      <c r="AG41" s="734"/>
      <c r="AH41" s="734"/>
      <c r="AI41" s="811" t="s">
        <v>434</v>
      </c>
      <c r="AJ41" s="734"/>
      <c r="AK41" s="733"/>
      <c r="AL41" s="733"/>
      <c r="AM41" s="744"/>
      <c r="AN41" s="811" t="s">
        <v>434</v>
      </c>
      <c r="AO41" s="734"/>
      <c r="AP41" s="733">
        <f>SUM(AP39:AR39)</f>
        <v>0</v>
      </c>
      <c r="AQ41" s="733"/>
      <c r="AR41" s="744"/>
      <c r="AS41" s="851">
        <f>+AS40+AT$41</f>
        <v>50.250000000000014</v>
      </c>
      <c r="AT41" s="851">
        <v>1.25</v>
      </c>
      <c r="AU41" s="851">
        <f>AVERAGE(AS39:AS51)</f>
        <v>51.06666666666667</v>
      </c>
      <c r="AV41" s="462"/>
      <c r="AW41" s="462"/>
      <c r="AX41" s="725" t="s">
        <v>414</v>
      </c>
      <c r="AY41" s="992">
        <v>-1</v>
      </c>
      <c r="AZ41" s="992">
        <f>+'EOL LINKS'!H43</f>
        <v>-0.85</v>
      </c>
      <c r="BA41" s="560">
        <f t="shared" si="14"/>
        <v>0.15000000000000002</v>
      </c>
      <c r="BH41" s="928">
        <v>3.04</v>
      </c>
    </row>
    <row r="42" spans="1:62" ht="18" x14ac:dyDescent="0.25">
      <c r="A42" s="151">
        <f>TradeSum!A43</f>
        <v>38108</v>
      </c>
      <c r="B42" s="376">
        <f ca="1">TradeSum!B43+TradeSum!B87</f>
        <v>-42353.9609375</v>
      </c>
      <c r="C42" s="377">
        <f ca="1">TradeSum!C43+TradeSum!C87</f>
        <v>-149.75852302654746</v>
      </c>
      <c r="D42" s="378">
        <f>TradeSum!D43+TradeSum!D87</f>
        <v>0</v>
      </c>
      <c r="E42" s="377">
        <f ca="1">TradeSum!E43+TradeSum!E87</f>
        <v>-42353.9609375</v>
      </c>
      <c r="F42" s="378">
        <f t="shared" ca="1" si="0"/>
        <v>-149.75852302654746</v>
      </c>
      <c r="G42" s="379">
        <f>TradeSum!CE43*NYMEX!E42</f>
        <v>0</v>
      </c>
      <c r="H42" s="373">
        <f t="shared" ca="1" si="1"/>
        <v>-42353.9609375</v>
      </c>
      <c r="I42" s="373">
        <f ca="1">H42/TradeSum!CD43</f>
        <v>-132.35612792968749</v>
      </c>
      <c r="J42" s="390">
        <f ca="1">NYMEX!J42+TradeSum!J43+TradeSum!J87</f>
        <v>0</v>
      </c>
      <c r="K42" s="148">
        <f>TradeSum!K131+NYMEX!K42</f>
        <v>0</v>
      </c>
      <c r="L42" s="148">
        <f t="shared" ca="1" si="2"/>
        <v>0</v>
      </c>
      <c r="N42" s="806"/>
      <c r="O42" s="1015" t="s">
        <v>329</v>
      </c>
      <c r="P42" s="1020">
        <f>-61.4+T42</f>
        <v>-61.4</v>
      </c>
      <c r="Q42" s="1020">
        <f>44.4+U42</f>
        <v>44.4</v>
      </c>
      <c r="R42" s="1020">
        <f>7+V42</f>
        <v>7</v>
      </c>
      <c r="S42" s="1010">
        <f t="shared" si="11"/>
        <v>-10</v>
      </c>
      <c r="T42" s="1020"/>
      <c r="U42" s="1020"/>
      <c r="V42" s="1020"/>
      <c r="W42" s="734"/>
      <c r="X42" s="734"/>
      <c r="Y42" s="734" t="s">
        <v>499</v>
      </c>
      <c r="Z42" s="734"/>
      <c r="AA42" s="733"/>
      <c r="AB42" s="845">
        <v>3.31</v>
      </c>
      <c r="AC42" s="734"/>
      <c r="AD42" s="845">
        <f>AVERAGE(Master!U63:U64)</f>
        <v>3.01</v>
      </c>
      <c r="AE42" s="734"/>
      <c r="AF42" s="733">
        <f t="shared" si="13"/>
        <v>0</v>
      </c>
      <c r="AG42" s="734"/>
      <c r="AH42" s="734"/>
      <c r="AI42" s="811"/>
      <c r="AJ42" s="734"/>
      <c r="AK42" s="732"/>
      <c r="AL42" s="732"/>
      <c r="AM42" s="750"/>
      <c r="AN42" s="811"/>
      <c r="AO42" s="734"/>
      <c r="AP42" s="732"/>
      <c r="AQ42" s="732"/>
      <c r="AR42" s="750"/>
      <c r="AS42" s="851">
        <f>+AS41+AT$41</f>
        <v>51.500000000000014</v>
      </c>
      <c r="AT42" s="851"/>
      <c r="AU42" s="851">
        <f>+AU41-AU40</f>
        <v>2.6666666666666643</v>
      </c>
      <c r="AV42" s="462"/>
      <c r="AW42" s="462"/>
      <c r="AX42" s="725" t="s">
        <v>415</v>
      </c>
      <c r="AY42" s="992">
        <v>-0.5</v>
      </c>
      <c r="AZ42" s="992">
        <f>+'EOL LINKS'!H44</f>
        <v>-0.8</v>
      </c>
      <c r="BA42" s="560">
        <f t="shared" si="14"/>
        <v>-0.30000000000000004</v>
      </c>
      <c r="BH42" s="928">
        <v>2.9990000000000001</v>
      </c>
    </row>
    <row r="43" spans="1:62" ht="18" x14ac:dyDescent="0.25">
      <c r="A43" s="151">
        <f>TradeSum!A44</f>
        <v>38139</v>
      </c>
      <c r="B43" s="376">
        <f ca="1">TradeSum!B44+TradeSum!B88</f>
        <v>-216411.84375</v>
      </c>
      <c r="C43" s="377">
        <f ca="1">TradeSum!C44+TradeSum!C88</f>
        <v>-698.90785445147446</v>
      </c>
      <c r="D43" s="378">
        <f>TradeSum!D44+TradeSum!D88</f>
        <v>0</v>
      </c>
      <c r="E43" s="377">
        <f ca="1">TradeSum!E44+TradeSum!E88</f>
        <v>-216411.84375</v>
      </c>
      <c r="F43" s="378">
        <f t="shared" ca="1" si="0"/>
        <v>-698.90785445147446</v>
      </c>
      <c r="G43" s="379">
        <f>TradeSum!CE44*NYMEX!E43</f>
        <v>0</v>
      </c>
      <c r="H43" s="373">
        <f t="shared" ca="1" si="1"/>
        <v>-216411.84375</v>
      </c>
      <c r="I43" s="373">
        <f ca="1">H43/TradeSum!CD44</f>
        <v>-614.80637428977275</v>
      </c>
      <c r="J43" s="390">
        <f ca="1">NYMEX!J43+TradeSum!J44+TradeSum!J88</f>
        <v>108205.921875</v>
      </c>
      <c r="K43" s="148">
        <f>TradeSum!K132+NYMEX!K43</f>
        <v>0</v>
      </c>
      <c r="L43" s="148">
        <f t="shared" ca="1" si="2"/>
        <v>108205.921875</v>
      </c>
      <c r="N43" s="806"/>
      <c r="O43" s="1014" t="s">
        <v>95</v>
      </c>
      <c r="P43" s="1019">
        <f>SUM(P31:P33)</f>
        <v>0</v>
      </c>
      <c r="Q43" s="1019">
        <f>SUM(Q31:Q33)</f>
        <v>91.6</v>
      </c>
      <c r="R43" s="1019">
        <f>SUM(R31:R33)</f>
        <v>22</v>
      </c>
      <c r="S43" s="1009">
        <f t="shared" si="11"/>
        <v>113.6</v>
      </c>
      <c r="T43" s="1019">
        <f>SUM(T31:T33)</f>
        <v>0</v>
      </c>
      <c r="U43" s="1019">
        <f>SUM(U31:U33)</f>
        <v>0</v>
      </c>
      <c r="V43" s="1019">
        <f>SUM(V31:V33)</f>
        <v>0</v>
      </c>
      <c r="W43" s="734"/>
      <c r="X43" s="734"/>
      <c r="Y43" s="734"/>
      <c r="Z43" s="734"/>
      <c r="AA43" s="733"/>
      <c r="AB43" s="845"/>
      <c r="AC43" s="734"/>
      <c r="AD43" s="845"/>
      <c r="AE43" s="734"/>
      <c r="AF43" s="733"/>
      <c r="AG43" s="734"/>
      <c r="AH43" s="734"/>
      <c r="AI43" s="811"/>
      <c r="AJ43" s="734"/>
      <c r="AK43" s="732"/>
      <c r="AL43" s="732"/>
      <c r="AM43" s="750"/>
      <c r="AN43" s="811"/>
      <c r="AO43" s="734"/>
      <c r="AP43" s="732"/>
      <c r="AQ43" s="732"/>
      <c r="AR43" s="750"/>
      <c r="AS43" s="851">
        <f>+AS42+AT$41</f>
        <v>52.750000000000014</v>
      </c>
      <c r="AT43" s="851"/>
      <c r="AU43" s="851"/>
      <c r="AV43" s="462"/>
      <c r="AW43" s="462"/>
      <c r="AX43" s="725" t="s">
        <v>268</v>
      </c>
      <c r="AY43" s="992">
        <v>-1.25</v>
      </c>
      <c r="AZ43" s="992">
        <f>+'EOL LINKS'!H45</f>
        <v>-0.75</v>
      </c>
      <c r="BA43" s="560">
        <f t="shared" si="14"/>
        <v>0.5</v>
      </c>
      <c r="BH43" s="928">
        <v>3.0939999999999999</v>
      </c>
    </row>
    <row r="44" spans="1:62" ht="18" x14ac:dyDescent="0.25">
      <c r="A44" s="151">
        <f>TradeSum!A45</f>
        <v>38169</v>
      </c>
      <c r="B44" s="376">
        <f ca="1">TradeSum!B45+TradeSum!B89</f>
        <v>-14684.265625</v>
      </c>
      <c r="C44" s="377">
        <f ca="1">TradeSum!C45+TradeSum!C89</f>
        <v>-47.651068476734281</v>
      </c>
      <c r="D44" s="378">
        <f>TradeSum!D45+TradeSum!D89</f>
        <v>0</v>
      </c>
      <c r="E44" s="377">
        <f ca="1">TradeSum!E45+TradeSum!E89</f>
        <v>-14684.265625</v>
      </c>
      <c r="F44" s="378">
        <f t="shared" ca="1" si="0"/>
        <v>-47.651068476734281</v>
      </c>
      <c r="G44" s="379">
        <f>TradeSum!CE45*NYMEX!E44</f>
        <v>0</v>
      </c>
      <c r="H44" s="373">
        <f t="shared" ca="1" si="1"/>
        <v>-14684.265625</v>
      </c>
      <c r="I44" s="373">
        <f ca="1">H44/TradeSum!CD45</f>
        <v>-41.716663707386367</v>
      </c>
      <c r="J44" s="390">
        <f ca="1">NYMEX!J44+TradeSum!J45+TradeSum!J89</f>
        <v>7342.1328125</v>
      </c>
      <c r="K44" s="148">
        <f>TradeSum!K133+NYMEX!K44</f>
        <v>0</v>
      </c>
      <c r="L44" s="148">
        <f t="shared" ca="1" si="2"/>
        <v>7342.1328125</v>
      </c>
      <c r="N44" s="462"/>
      <c r="O44" s="1015" t="s">
        <v>96</v>
      </c>
      <c r="P44" s="1020">
        <f>SUM(P34:P36)</f>
        <v>0</v>
      </c>
      <c r="Q44" s="1020">
        <f>SUM(Q34:Q36)</f>
        <v>-90.9</v>
      </c>
      <c r="R44" s="1020">
        <f>SUM(R34:R36)</f>
        <v>21.8</v>
      </c>
      <c r="S44" s="1010">
        <f t="shared" si="11"/>
        <v>-69.100000000000009</v>
      </c>
      <c r="T44" s="1020">
        <f>SUM(T34:T36)</f>
        <v>0</v>
      </c>
      <c r="U44" s="1020">
        <f>SUM(U34:U36)</f>
        <v>0</v>
      </c>
      <c r="V44" s="1020">
        <f>SUM(V34:V36)</f>
        <v>0</v>
      </c>
      <c r="W44" s="753"/>
      <c r="X44" s="753"/>
      <c r="Y44" s="753"/>
      <c r="Z44" s="753"/>
      <c r="AA44" s="847">
        <f>SUM(AA33:AA43)+Master!I95</f>
        <v>-1091.499999999998</v>
      </c>
      <c r="AB44" s="846"/>
      <c r="AC44" s="753"/>
      <c r="AD44" s="846"/>
      <c r="AE44" s="753"/>
      <c r="AF44" s="847">
        <f>SUM(AF33:AF43)</f>
        <v>-111700.00000000208</v>
      </c>
      <c r="AG44" s="753"/>
      <c r="AH44" s="753"/>
      <c r="AI44" s="938"/>
      <c r="AJ44" s="753"/>
      <c r="AK44" s="754"/>
      <c r="AL44" s="754"/>
      <c r="AM44" s="945"/>
      <c r="AN44" s="938"/>
      <c r="AO44" s="753"/>
      <c r="AP44" s="754"/>
      <c r="AQ44" s="754"/>
      <c r="AR44" s="945"/>
      <c r="AS44" s="851">
        <f>+AS43+AT$41</f>
        <v>54.000000000000014</v>
      </c>
      <c r="AT44" s="851"/>
      <c r="AU44" s="851"/>
      <c r="AV44" s="462"/>
      <c r="AW44" s="462"/>
      <c r="AX44" s="725" t="s">
        <v>269</v>
      </c>
      <c r="AY44" s="992">
        <v>-1.5</v>
      </c>
      <c r="AZ44" s="992">
        <f>+'EOL LINKS'!H46</f>
        <v>-1</v>
      </c>
      <c r="BA44" s="560">
        <f t="shared" si="14"/>
        <v>0.5</v>
      </c>
      <c r="BH44" s="928">
        <v>3.468</v>
      </c>
    </row>
    <row r="45" spans="1:62" ht="18" x14ac:dyDescent="0.25">
      <c r="A45" s="151">
        <f>TradeSum!A46</f>
        <v>38200</v>
      </c>
      <c r="B45" s="376">
        <f ca="1">TradeSum!B46+TradeSum!B90</f>
        <v>-15308.9306640625</v>
      </c>
      <c r="C45" s="377">
        <f ca="1">TradeSum!C46+TradeSum!C90</f>
        <v>-49.919181846540155</v>
      </c>
      <c r="D45" s="378">
        <f>TradeSum!D46+TradeSum!D90</f>
        <v>0</v>
      </c>
      <c r="E45" s="377">
        <f ca="1">TradeSum!E46+TradeSum!E90</f>
        <v>-15308.9306640625</v>
      </c>
      <c r="F45" s="378">
        <f t="shared" ca="1" si="0"/>
        <v>-49.919181846540155</v>
      </c>
      <c r="G45" s="379">
        <f>TradeSum!CE46*NYMEX!E45</f>
        <v>0</v>
      </c>
      <c r="H45" s="373">
        <f t="shared" ca="1" si="1"/>
        <v>-15308.9306640625</v>
      </c>
      <c r="I45" s="373">
        <f ca="1">H45/TradeSum!CD46</f>
        <v>-43.491280295632102</v>
      </c>
      <c r="J45" s="390">
        <f ca="1">NYMEX!J45+TradeSum!J46+TradeSum!J90</f>
        <v>7654.46533203125</v>
      </c>
      <c r="K45" s="148">
        <f>TradeSum!K134+NYMEX!K45</f>
        <v>0</v>
      </c>
      <c r="L45" s="148">
        <f t="shared" ca="1" si="2"/>
        <v>7654.46533203125</v>
      </c>
      <c r="N45" s="462"/>
      <c r="O45" s="1015" t="s">
        <v>97</v>
      </c>
      <c r="P45" s="1020">
        <f>SUM(P37:P39)</f>
        <v>0</v>
      </c>
      <c r="Q45" s="1020">
        <f>SUM(Q37:Q39)</f>
        <v>-44.9</v>
      </c>
      <c r="R45" s="1020">
        <f>SUM(R37:R39)</f>
        <v>21.5</v>
      </c>
      <c r="S45" s="1010">
        <f t="shared" si="11"/>
        <v>-23.4</v>
      </c>
      <c r="T45" s="1020">
        <f>SUM(T37:T39)</f>
        <v>0</v>
      </c>
      <c r="U45" s="1020">
        <f>SUM(U37:U39)</f>
        <v>0</v>
      </c>
      <c r="V45" s="1020">
        <f>SUM(V37:V39)</f>
        <v>0</v>
      </c>
      <c r="W45" s="462"/>
      <c r="X45" s="566"/>
      <c r="Y45" s="566"/>
      <c r="Z45" s="723"/>
      <c r="AA45" s="719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51"/>
      <c r="AQ45" s="851"/>
      <c r="AR45" s="718"/>
      <c r="AS45" s="851"/>
      <c r="AT45" s="851"/>
      <c r="AU45" s="851"/>
      <c r="AV45" s="462"/>
      <c r="AW45" s="462"/>
      <c r="AX45" s="725" t="s">
        <v>416</v>
      </c>
      <c r="AY45" s="992">
        <v>-1.25</v>
      </c>
      <c r="AZ45" s="992">
        <f>+'EOL LINKS'!H47</f>
        <v>-0.75</v>
      </c>
      <c r="BA45" s="560">
        <f t="shared" si="14"/>
        <v>0.5</v>
      </c>
      <c r="BH45" s="928">
        <v>3.367</v>
      </c>
    </row>
    <row r="46" spans="1:62" ht="18.75" thickBot="1" x14ac:dyDescent="0.3">
      <c r="A46" s="151">
        <f>TradeSum!A47</f>
        <v>38231</v>
      </c>
      <c r="B46" s="384">
        <f ca="1">TradeSum!B47+TradeSum!B91</f>
        <v>-43632.984375</v>
      </c>
      <c r="C46" s="385">
        <f ca="1">TradeSum!C47+TradeSum!C91</f>
        <v>-149.76606365084962</v>
      </c>
      <c r="D46" s="386">
        <f>TradeSum!D47+TradeSum!D91</f>
        <v>0</v>
      </c>
      <c r="E46" s="385">
        <f ca="1">TradeSum!E47+TradeSum!E91</f>
        <v>-43632.984375</v>
      </c>
      <c r="F46" s="386">
        <f t="shared" ca="1" si="0"/>
        <v>-149.76606365084962</v>
      </c>
      <c r="G46" s="387">
        <f>TradeSum!CE47*NYMEX!E46</f>
        <v>0</v>
      </c>
      <c r="H46" s="375">
        <f t="shared" ca="1" si="1"/>
        <v>-43632.984375</v>
      </c>
      <c r="I46" s="373">
        <f ca="1">H46/TradeSum!CD47</f>
        <v>-129.86007254464286</v>
      </c>
      <c r="J46" s="391">
        <f ca="1">NYMEX!J46+TradeSum!J47+TradeSum!J91</f>
        <v>0</v>
      </c>
      <c r="K46" s="150">
        <f>TradeSum!K135+NYMEX!K46</f>
        <v>0</v>
      </c>
      <c r="L46" s="150">
        <f t="shared" ca="1" si="2"/>
        <v>0</v>
      </c>
      <c r="N46" s="462"/>
      <c r="O46" s="1015" t="s">
        <v>98</v>
      </c>
      <c r="P46" s="1020">
        <f>SUM(P40:P42)</f>
        <v>-184.8</v>
      </c>
      <c r="Q46" s="1020">
        <f>SUM(Q40:Q42)</f>
        <v>133.6</v>
      </c>
      <c r="R46" s="1020">
        <f>SUM(R40:R42)</f>
        <v>21.2</v>
      </c>
      <c r="S46" s="1010">
        <f>SUM(P46:R46)</f>
        <v>-30.000000000000018</v>
      </c>
      <c r="T46" s="1020">
        <f>SUM(T40:T42)</f>
        <v>0</v>
      </c>
      <c r="U46" s="1020">
        <f>SUM(U40:U42)</f>
        <v>0</v>
      </c>
      <c r="V46" s="1020">
        <f>SUM(V40:V42)</f>
        <v>0</v>
      </c>
      <c r="W46" s="462"/>
      <c r="X46" s="566"/>
      <c r="Y46" s="566"/>
      <c r="Z46" s="723"/>
      <c r="AA46" s="719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51"/>
      <c r="AQ46" s="851"/>
      <c r="AR46" s="718"/>
      <c r="AS46" s="851"/>
      <c r="AT46" s="851"/>
      <c r="AU46" s="851"/>
      <c r="AV46" s="462"/>
      <c r="AW46" s="462"/>
      <c r="AX46" s="725" t="s">
        <v>257</v>
      </c>
      <c r="AY46" s="992">
        <v>-1.1000000000000001</v>
      </c>
      <c r="AZ46" s="992">
        <f>+'EOL LINKS'!H48</f>
        <v>-0.75</v>
      </c>
      <c r="BA46" s="560">
        <f t="shared" si="14"/>
        <v>0.35000000000000009</v>
      </c>
      <c r="BH46" s="928">
        <v>3.3029999999999999</v>
      </c>
    </row>
    <row r="47" spans="1:62" ht="18" x14ac:dyDescent="0.25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16"/>
      <c r="P47" s="1021"/>
      <c r="Q47" s="1021"/>
      <c r="R47" s="1021"/>
      <c r="S47" s="1011"/>
      <c r="T47" s="1021"/>
      <c r="U47" s="1021"/>
      <c r="V47" s="1021"/>
      <c r="W47" s="462"/>
      <c r="X47" s="566"/>
      <c r="Y47" s="566"/>
      <c r="Z47" s="724"/>
      <c r="AA47" s="719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51"/>
      <c r="AQ47" s="851"/>
      <c r="AR47" s="718"/>
      <c r="AS47" s="851"/>
      <c r="AT47" s="851"/>
      <c r="AU47" s="851"/>
      <c r="AV47" s="462"/>
      <c r="AW47" s="462"/>
      <c r="AX47" s="725" t="s">
        <v>98</v>
      </c>
      <c r="AY47" s="992">
        <v>-0.75</v>
      </c>
      <c r="AZ47" s="992">
        <f>+'EOL LINKS'!H49</f>
        <v>-0.55000000000000004</v>
      </c>
      <c r="BA47" s="560">
        <f t="shared" si="14"/>
        <v>0.19999999999999996</v>
      </c>
      <c r="BH47" s="928">
        <v>3.1869999999999998</v>
      </c>
      <c r="BJ47" s="928">
        <f>AVERAGE(BH38:BH47)</f>
        <v>3.1605000000000003</v>
      </c>
    </row>
    <row r="48" spans="1:62" ht="18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17" t="s">
        <v>93</v>
      </c>
      <c r="P48" s="1022">
        <f t="shared" ref="P48:V48" si="15">SUM(P31:P42)</f>
        <v>-184.8</v>
      </c>
      <c r="Q48" s="1022">
        <f t="shared" si="15"/>
        <v>89.4</v>
      </c>
      <c r="R48" s="1022">
        <f t="shared" si="15"/>
        <v>86.5</v>
      </c>
      <c r="S48" s="1012">
        <f t="shared" si="15"/>
        <v>-8.899999999999995</v>
      </c>
      <c r="T48" s="1022">
        <f t="shared" si="15"/>
        <v>0</v>
      </c>
      <c r="U48" s="1022">
        <f t="shared" si="15"/>
        <v>0</v>
      </c>
      <c r="V48" s="1022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6">
        <f>+AK33*4*16/336</f>
        <v>171.42857142857142</v>
      </c>
      <c r="AL48" s="799">
        <f>+AL33*4*16/336</f>
        <v>-133.33333333333334</v>
      </c>
      <c r="AM48" s="742">
        <f>+AM33*4*16/336</f>
        <v>9.5238095238095237</v>
      </c>
      <c r="AN48" s="462"/>
      <c r="AO48" s="462"/>
      <c r="AP48" s="866">
        <f>+AP33*4*16/336</f>
        <v>0</v>
      </c>
      <c r="AQ48" s="799">
        <f>+AQ33*4*16/336</f>
        <v>0</v>
      </c>
      <c r="AR48" s="742">
        <f>+AR33*4*16/336</f>
        <v>0</v>
      </c>
      <c r="AS48" s="851"/>
      <c r="AT48" s="851"/>
      <c r="AU48" s="851"/>
      <c r="AV48" s="462"/>
      <c r="AW48" s="462"/>
      <c r="AX48" s="462"/>
    </row>
    <row r="49" spans="3:65" ht="18" x14ac:dyDescent="0.25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43">
        <f t="shared" ref="AK49:AM51" si="16">+AK34*5*16/336</f>
        <v>238.0952380952381</v>
      </c>
      <c r="AL49" s="732">
        <f t="shared" si="16"/>
        <v>-154.76190476190476</v>
      </c>
      <c r="AM49" s="750">
        <f t="shared" si="16"/>
        <v>-11.904761904761905</v>
      </c>
      <c r="AN49" s="462"/>
      <c r="AO49" s="462"/>
      <c r="AP49" s="743">
        <f t="shared" ref="AP49:AR51" si="17">+AP34*5*16/336</f>
        <v>0</v>
      </c>
      <c r="AQ49" s="732">
        <f t="shared" si="17"/>
        <v>0</v>
      </c>
      <c r="AR49" s="750">
        <f t="shared" si="17"/>
        <v>0</v>
      </c>
      <c r="AS49" s="851"/>
      <c r="AT49" s="851"/>
      <c r="AU49" s="851"/>
      <c r="AV49" s="462"/>
      <c r="AW49" s="462"/>
      <c r="AX49" s="462"/>
    </row>
    <row r="50" spans="3:65" ht="15.95" customHeight="1" x14ac:dyDescent="0.25">
      <c r="N50" s="462"/>
      <c r="O50" s="462"/>
      <c r="P50" s="462"/>
      <c r="Q50" s="462"/>
      <c r="R50" s="462"/>
      <c r="S50" s="814">
        <v>37257</v>
      </c>
      <c r="T50" s="718">
        <f>+Master!H60+Total!V50</f>
        <v>1682.4590163934431</v>
      </c>
      <c r="U50" s="718"/>
      <c r="V50" s="718">
        <f>+AA$37/12.2+AA$33/12.2+AA$41/4+AA39+AA36</f>
        <v>34.729508196721298</v>
      </c>
      <c r="W50" s="718">
        <v>1613</v>
      </c>
      <c r="X50" s="566"/>
      <c r="Y50" s="566"/>
      <c r="Z50" s="462"/>
      <c r="AA50" s="849">
        <v>19.48</v>
      </c>
      <c r="AB50" s="849">
        <f>-0.23-0.25</f>
        <v>-0.48</v>
      </c>
      <c r="AC50" s="848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43">
        <f t="shared" si="16"/>
        <v>47.61904761904762</v>
      </c>
      <c r="AL50" s="732">
        <f t="shared" si="16"/>
        <v>-190.47619047619048</v>
      </c>
      <c r="AM50" s="750">
        <f t="shared" si="16"/>
        <v>-11.904761904761905</v>
      </c>
      <c r="AN50" s="462"/>
      <c r="AO50" s="462"/>
      <c r="AP50" s="743">
        <f t="shared" si="17"/>
        <v>0</v>
      </c>
      <c r="AQ50" s="732">
        <f t="shared" si="17"/>
        <v>0</v>
      </c>
      <c r="AR50" s="750">
        <f t="shared" si="17"/>
        <v>0</v>
      </c>
      <c r="AS50" s="851"/>
      <c r="AT50" s="851"/>
      <c r="AU50" s="851"/>
      <c r="AV50" s="462"/>
      <c r="AW50" s="462"/>
      <c r="AX50" s="462"/>
    </row>
    <row r="51" spans="3:65" ht="15.95" customHeight="1" x14ac:dyDescent="0.25">
      <c r="K51">
        <f>+L51*N51</f>
        <v>8588.6045723401385</v>
      </c>
      <c r="L51" s="964">
        <f>+[5]COMED!$G62</f>
        <v>29.810711088634672</v>
      </c>
      <c r="N51" s="963">
        <f>+TradeSum!DK40*16*Q51</f>
        <v>288.10465294853509</v>
      </c>
      <c r="O51" s="961">
        <v>37987</v>
      </c>
      <c r="P51" s="962">
        <f>+[5]Cinergy!$G62</f>
        <v>30.660709562755766</v>
      </c>
      <c r="Q51" s="50">
        <f>VLOOKUP(O51,Interest!$X$8:$AC$367,6)</f>
        <v>0.90032704046417211</v>
      </c>
      <c r="R51" s="462">
        <f>+N51*P51</f>
        <v>8833.493087733581</v>
      </c>
      <c r="S51" s="814">
        <v>37288</v>
      </c>
      <c r="T51" s="718">
        <f>+Master!I60+Total!V51</f>
        <v>-283.54098360655701</v>
      </c>
      <c r="U51" s="718"/>
      <c r="V51" s="718">
        <f>+AA$37/12.2+AA$33/12.2+AA$41/4</f>
        <v>-73.770491803278702</v>
      </c>
      <c r="W51" s="718">
        <v>-136</v>
      </c>
      <c r="X51" s="462"/>
      <c r="Y51" s="566"/>
      <c r="Z51" s="462"/>
      <c r="AA51" s="849">
        <v>21.56</v>
      </c>
      <c r="AB51" s="849">
        <f>-2.81-0.25</f>
        <v>-3.06</v>
      </c>
      <c r="AC51" s="848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43">
        <f t="shared" si="16"/>
        <v>154.76190476190476</v>
      </c>
      <c r="AL51" s="732">
        <f t="shared" si="16"/>
        <v>-190.47619047619048</v>
      </c>
      <c r="AM51" s="750">
        <f t="shared" si="16"/>
        <v>-11.904761904761905</v>
      </c>
      <c r="AN51" s="462"/>
      <c r="AO51" s="462"/>
      <c r="AP51" s="743">
        <f t="shared" si="17"/>
        <v>0</v>
      </c>
      <c r="AQ51" s="732">
        <f t="shared" si="17"/>
        <v>0</v>
      </c>
      <c r="AR51" s="750">
        <f t="shared" si="17"/>
        <v>0</v>
      </c>
      <c r="AS51" s="851"/>
      <c r="AT51" s="851"/>
      <c r="AU51" s="851"/>
      <c r="AV51" s="462"/>
      <c r="AW51" s="462"/>
      <c r="AX51" s="462"/>
    </row>
    <row r="52" spans="3:65" ht="15.95" customHeight="1" x14ac:dyDescent="0.25">
      <c r="K52">
        <f t="shared" ref="K52:K115" si="18">+L52*N52</f>
        <v>9490.4651421202507</v>
      </c>
      <c r="L52" s="964">
        <f>+[5]COMED!$G63</f>
        <v>28.772679839023326</v>
      </c>
      <c r="N52" s="963">
        <f>+TradeSum!DK41*16*Q52</f>
        <v>329.84293417287751</v>
      </c>
      <c r="O52" s="961">
        <v>38018</v>
      </c>
      <c r="P52" s="962">
        <f>+[5]Cinergy!$G63</f>
        <v>29.122670683749888</v>
      </c>
      <c r="Q52" s="50">
        <f>VLOOKUP(O52,Interest!$X$8:$AC$367,6)</f>
        <v>0.8963123211219497</v>
      </c>
      <c r="R52" s="462">
        <f t="shared" ref="R52:R115" si="19">+N52*P52</f>
        <v>9605.9071492785042</v>
      </c>
      <c r="S52" s="854">
        <v>37316</v>
      </c>
      <c r="T52" s="855">
        <f>+Master!J60+Total!V52</f>
        <v>-303.54098360655701</v>
      </c>
      <c r="U52" s="855"/>
      <c r="V52" s="718">
        <f>+AA$37/12.2+AA$33/12.2+AA$41/4</f>
        <v>-73.770491803278702</v>
      </c>
      <c r="W52" s="855">
        <v>-156</v>
      </c>
      <c r="X52" s="462"/>
      <c r="Y52" s="566"/>
      <c r="Z52" s="462"/>
      <c r="AA52" s="849">
        <v>21.34</v>
      </c>
      <c r="AB52" s="849">
        <v>-0.5</v>
      </c>
      <c r="AC52" s="848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51">
        <f>+AK37*2*16/336</f>
        <v>28.571428571428573</v>
      </c>
      <c r="AL52" s="754">
        <f>+AL37*2*16/336</f>
        <v>-76.19047619047619</v>
      </c>
      <c r="AM52" s="755">
        <f>+AM37*2*16/336</f>
        <v>-4.7619047619047619</v>
      </c>
      <c r="AN52" s="462"/>
      <c r="AO52" s="462"/>
      <c r="AP52" s="951">
        <f>+AP37*2*16/336</f>
        <v>0</v>
      </c>
      <c r="AQ52" s="754">
        <f>+AQ37*2*16/336</f>
        <v>0</v>
      </c>
      <c r="AR52" s="755">
        <f>+AR37*2*16/336</f>
        <v>0</v>
      </c>
      <c r="AS52" s="952"/>
      <c r="AT52" s="462"/>
      <c r="AU52" s="462"/>
      <c r="AV52" s="462"/>
      <c r="AW52" s="462"/>
      <c r="AX52" s="462"/>
      <c r="BE52" s="849">
        <v>19.48</v>
      </c>
      <c r="BF52" s="849">
        <f>-0.48+0.25</f>
        <v>-0.22999999999999998</v>
      </c>
      <c r="BG52" s="848"/>
      <c r="BH52" s="849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5" customHeight="1" x14ac:dyDescent="0.25">
      <c r="K53">
        <f t="shared" si="18"/>
        <v>9098.042424859108</v>
      </c>
      <c r="L53" s="964">
        <f>+[5]COMED!$G64</f>
        <v>28.972672972568247</v>
      </c>
      <c r="N53" s="963">
        <f>+TradeSum!DK42*16*Q53</f>
        <v>314.02150686867134</v>
      </c>
      <c r="O53" s="961">
        <v>38047</v>
      </c>
      <c r="P53" s="962">
        <f>+[5]Cinergy!$G64</f>
        <v>29.322671446689341</v>
      </c>
      <c r="Q53" s="50">
        <f>VLOOKUP(O53,Interest!$X$8:$AC$367,6)</f>
        <v>0.89210655360418001</v>
      </c>
      <c r="R53" s="462">
        <f t="shared" si="19"/>
        <v>9207.9494731043505</v>
      </c>
      <c r="S53" s="814">
        <v>37347</v>
      </c>
      <c r="T53" s="718">
        <f>+V53+W53</f>
        <v>-529.77049180327867</v>
      </c>
      <c r="U53" s="718"/>
      <c r="V53" s="718">
        <f>+AA$37/12.2+AA$33/12.2+AA$41/4</f>
        <v>-73.770491803278702</v>
      </c>
      <c r="W53" s="718">
        <v>-456</v>
      </c>
      <c r="X53" s="462"/>
      <c r="Y53" s="566"/>
      <c r="Z53" s="462"/>
      <c r="AA53" s="849">
        <f>AVERAGE(AA50:AA52)</f>
        <v>20.793333333333333</v>
      </c>
      <c r="AB53" s="849"/>
      <c r="AC53" s="848"/>
      <c r="AE53" s="462"/>
      <c r="AF53" s="462"/>
      <c r="AG53" s="462"/>
      <c r="AH53" s="462"/>
      <c r="AI53" s="462"/>
      <c r="AJ53" s="462"/>
      <c r="AK53" s="948">
        <f>SUM(AK48:AK52)</f>
        <v>640.47619047619048</v>
      </c>
      <c r="AL53" s="949">
        <f>SUM(AL48:AL52)</f>
        <v>-745.23809523809518</v>
      </c>
      <c r="AM53" s="950">
        <f>SUM(AM48:AM52)</f>
        <v>-30.952380952380953</v>
      </c>
      <c r="AN53" s="462"/>
      <c r="AO53" s="462"/>
      <c r="AP53" s="948">
        <f>SUM(AP48:AP52)</f>
        <v>0</v>
      </c>
      <c r="AQ53" s="949">
        <f>SUM(AQ48:AQ52)</f>
        <v>0</v>
      </c>
      <c r="AR53" s="950">
        <f>SUM(AR48:AR52)</f>
        <v>0</v>
      </c>
      <c r="AS53" s="462"/>
      <c r="AT53" s="462"/>
      <c r="AU53" s="462"/>
      <c r="AV53" s="462"/>
      <c r="AW53" s="462"/>
      <c r="AX53" s="462"/>
      <c r="BE53" s="849">
        <v>21.56</v>
      </c>
      <c r="BF53" s="849">
        <v>-2.81</v>
      </c>
      <c r="BG53" s="848"/>
      <c r="BH53" s="849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5" customHeight="1" x14ac:dyDescent="0.25">
      <c r="K54">
        <f t="shared" si="18"/>
        <v>8346.935507379163</v>
      </c>
      <c r="L54" s="964">
        <f>+[5]COMED!$G65</f>
        <v>29.375</v>
      </c>
      <c r="N54" s="963">
        <f>+TradeSum!DK43*16*Q54</f>
        <v>284.15099599588638</v>
      </c>
      <c r="O54" s="961">
        <v>38078</v>
      </c>
      <c r="P54" s="962">
        <f>+[5]Cinergy!$G65</f>
        <v>30.725006103515625</v>
      </c>
      <c r="Q54" s="50">
        <f>VLOOKUP(O54,Interest!$X$8:$AC$367,6)</f>
        <v>0.88797186248714488</v>
      </c>
      <c r="R54" s="462">
        <f t="shared" si="19"/>
        <v>8730.5410862936533</v>
      </c>
      <c r="S54" s="814">
        <v>37377</v>
      </c>
      <c r="T54" s="718">
        <f t="shared" ref="T54:T117" si="20">+V54+W54</f>
        <v>-483.62763466042128</v>
      </c>
      <c r="U54" s="718"/>
      <c r="V54" s="718">
        <f>+AA$37/12.2+AA$33/12.2+Master!I$95/7</f>
        <v>-116.62763466042126</v>
      </c>
      <c r="W54" s="718">
        <v>-367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9">
        <v>21.34</v>
      </c>
      <c r="BF54" s="849">
        <f>-0.34+0.25</f>
        <v>-9.0000000000000024E-2</v>
      </c>
      <c r="BG54" s="848"/>
      <c r="BH54" s="849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5" customHeight="1" x14ac:dyDescent="0.25">
      <c r="K55">
        <f t="shared" si="18"/>
        <v>11495.018251940661</v>
      </c>
      <c r="L55" s="964">
        <f>+[5]COMED!$G66</f>
        <v>36.950004577636719</v>
      </c>
      <c r="N55" s="963">
        <f>+TradeSum!DK44*16*Q55</f>
        <v>311.09653120037228</v>
      </c>
      <c r="O55" s="961">
        <v>38108</v>
      </c>
      <c r="P55" s="962">
        <f>+[5]Cinergy!$G66</f>
        <v>38.550006866455078</v>
      </c>
      <c r="Q55" s="50">
        <f>VLOOKUP(O55,Interest!$X$8:$AC$367,6)</f>
        <v>0.88379696363742133</v>
      </c>
      <c r="R55" s="462">
        <f t="shared" si="19"/>
        <v>11992.773413904708</v>
      </c>
      <c r="S55" s="814">
        <v>37408</v>
      </c>
      <c r="T55" s="718">
        <f t="shared" si="20"/>
        <v>-228.62763466042128</v>
      </c>
      <c r="U55" s="718"/>
      <c r="V55" s="718">
        <f>+AA$37/12.2+AA$33/12.2+Master!I$95/7</f>
        <v>-116.62763466042126</v>
      </c>
      <c r="W55" s="718">
        <v>-112</v>
      </c>
      <c r="X55" s="462"/>
      <c r="Y55" s="462"/>
      <c r="Z55" s="462"/>
      <c r="AA55" s="849"/>
      <c r="AB55" s="849"/>
      <c r="AC55" s="462"/>
      <c r="AD55" s="876" t="s">
        <v>363</v>
      </c>
      <c r="AE55" s="877"/>
      <c r="AF55" s="873">
        <v>3.02</v>
      </c>
      <c r="AG55" s="462"/>
      <c r="AH55" s="462"/>
      <c r="AI55" s="462"/>
      <c r="AJ55" s="462"/>
      <c r="AK55" s="462"/>
      <c r="AL55" s="876" t="s">
        <v>364</v>
      </c>
      <c r="AM55" s="877"/>
      <c r="AN55" s="873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9">
        <f>AVERAGE(BE52:BE54)</f>
        <v>20.793333333333333</v>
      </c>
      <c r="BF55" s="849"/>
      <c r="BG55" s="848"/>
      <c r="BH55" s="849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5" customHeight="1" x14ac:dyDescent="0.25">
      <c r="C56" s="319" t="s">
        <v>308</v>
      </c>
      <c r="D56" s="769">
        <f>+Master!K11*TradeSum!CD12</f>
        <v>12512</v>
      </c>
      <c r="K56">
        <f t="shared" si="18"/>
        <v>14715.77735660637</v>
      </c>
      <c r="L56" s="964">
        <f>+[5]COMED!$G67</f>
        <v>47.524997711181641</v>
      </c>
      <c r="N56" s="963">
        <f>+TradeSum!DK45*16*Q56</f>
        <v>309.64288406781037</v>
      </c>
      <c r="O56" s="961">
        <v>38139</v>
      </c>
      <c r="P56" s="962">
        <f>+[5]Cinergy!$G67</f>
        <v>49.375</v>
      </c>
      <c r="Q56" s="50">
        <f>VLOOKUP(O56,Interest!$X$8:$AC$367,6)</f>
        <v>0.87966728428355223</v>
      </c>
      <c r="R56" s="462">
        <f t="shared" si="19"/>
        <v>15288.617400848138</v>
      </c>
      <c r="S56" s="814">
        <v>37438</v>
      </c>
      <c r="T56" s="718">
        <f t="shared" si="20"/>
        <v>-238.62763466042128</v>
      </c>
      <c r="U56" s="718"/>
      <c r="V56" s="718">
        <f>+AA$37/12.2+AA$33/12.2+Master!I$95/7</f>
        <v>-116.62763466042126</v>
      </c>
      <c r="W56" s="718">
        <v>-122</v>
      </c>
      <c r="X56" s="462"/>
      <c r="Y56" s="462"/>
      <c r="Z56" s="462"/>
      <c r="AA56" s="462"/>
      <c r="AB56" s="462"/>
      <c r="AC56" s="462"/>
      <c r="AD56" s="849"/>
      <c r="AE56" s="462"/>
      <c r="AF56" s="462"/>
      <c r="AG56" s="462"/>
      <c r="AH56" s="462"/>
      <c r="AI56" s="462"/>
      <c r="AJ56" s="462"/>
      <c r="AK56" s="462"/>
      <c r="AL56" s="849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5" customHeight="1" x14ac:dyDescent="0.25">
      <c r="C57" s="319" t="s">
        <v>322</v>
      </c>
      <c r="D57" s="769">
        <f>+Master!K12*TradeSum!CD13</f>
        <v>0</v>
      </c>
      <c r="K57">
        <f t="shared" si="18"/>
        <v>14645.415360607167</v>
      </c>
      <c r="L57" s="964">
        <f>+[5]COMED!$G68</f>
        <v>47.524997711181641</v>
      </c>
      <c r="N57" s="963">
        <f>+TradeSum!DK46*16*Q57</f>
        <v>308.16235804176392</v>
      </c>
      <c r="O57" s="961">
        <v>38169</v>
      </c>
      <c r="P57" s="962">
        <f>+[5]Cinergy!$G68</f>
        <v>49.375</v>
      </c>
      <c r="Q57" s="50">
        <f>VLOOKUP(O57,Interest!$X$8:$AC$367,6)</f>
        <v>0.87546124443682927</v>
      </c>
      <c r="R57" s="462">
        <f t="shared" si="19"/>
        <v>15215.516428312094</v>
      </c>
      <c r="S57" s="814">
        <v>37469</v>
      </c>
      <c r="T57" s="718">
        <f t="shared" si="20"/>
        <v>-238.62763466042128</v>
      </c>
      <c r="U57" s="718"/>
      <c r="V57" s="718">
        <f>+AA$37/12.2+AA$33/12.2+Master!I$95/7</f>
        <v>-116.62763466042126</v>
      </c>
      <c r="W57" s="718">
        <v>-122</v>
      </c>
      <c r="X57" s="462"/>
      <c r="Y57" s="462"/>
      <c r="Z57" s="462"/>
      <c r="AA57" s="462"/>
      <c r="AB57" s="462"/>
      <c r="AC57" s="462"/>
      <c r="AD57" s="866">
        <v>-1</v>
      </c>
      <c r="AE57" s="863"/>
      <c r="AF57" s="871">
        <v>2.99</v>
      </c>
      <c r="AG57" s="868" t="s">
        <v>361</v>
      </c>
      <c r="AH57" s="462"/>
      <c r="AI57" s="874">
        <f>+(AF$55-AF57)*AD57*1000</f>
        <v>-29.999999999999805</v>
      </c>
      <c r="AJ57" s="462"/>
      <c r="AK57" s="462"/>
      <c r="AL57" s="866">
        <v>2</v>
      </c>
      <c r="AM57" s="863">
        <v>75</v>
      </c>
      <c r="AN57" s="871" t="s">
        <v>365</v>
      </c>
      <c r="AO57" s="878">
        <f>+(AN$55-AM57)*AL57</f>
        <v>-20</v>
      </c>
      <c r="AP57" s="462"/>
      <c r="AQ57" s="883">
        <v>37001</v>
      </c>
      <c r="AR57" s="718">
        <v>748</v>
      </c>
      <c r="AS57" s="718"/>
      <c r="AT57" s="462"/>
      <c r="AU57" s="462"/>
      <c r="AV57" s="462"/>
      <c r="AW57" s="462"/>
      <c r="AX57" s="462"/>
      <c r="BD57" s="542"/>
      <c r="BE57" s="542" t="s">
        <v>491</v>
      </c>
      <c r="BF57" s="542" t="s">
        <v>492</v>
      </c>
      <c r="BG57" s="542" t="s">
        <v>493</v>
      </c>
    </row>
    <row r="58" spans="3:65" ht="15.95" customHeight="1" x14ac:dyDescent="0.25">
      <c r="C58" s="319" t="s">
        <v>324</v>
      </c>
      <c r="D58" s="769">
        <f>+Master!K14*TradeSum!CD14</f>
        <v>16630.400000000001</v>
      </c>
      <c r="K58">
        <f t="shared" si="18"/>
        <v>8145.3390455511562</v>
      </c>
      <c r="L58" s="964">
        <f>+[5]COMED!$G69</f>
        <v>27.82499885559082</v>
      </c>
      <c r="N58" s="963">
        <f>+TradeSum!DK47*16*Q58</f>
        <v>292.73456893294821</v>
      </c>
      <c r="O58" s="961">
        <v>38200</v>
      </c>
      <c r="P58" s="962">
        <f>+[5]Cinergy!$G69</f>
        <v>28.67500114440918</v>
      </c>
      <c r="Q58" s="50">
        <f>VLOOKUP(O58,Interest!$X$8:$AC$367,6)</f>
        <v>0.87123383610996497</v>
      </c>
      <c r="R58" s="462">
        <f t="shared" si="19"/>
        <v>8394.1640991604181</v>
      </c>
      <c r="S58" s="814">
        <v>37500</v>
      </c>
      <c r="T58" s="718">
        <f t="shared" si="20"/>
        <v>-227.62763466042128</v>
      </c>
      <c r="U58" s="718"/>
      <c r="V58" s="718">
        <f>+AA$37/12.2+AA$33/12.2+Master!I$95/7</f>
        <v>-116.62763466042126</v>
      </c>
      <c r="W58" s="718">
        <v>-111</v>
      </c>
      <c r="X58" s="462"/>
      <c r="Y58" s="462"/>
      <c r="Z58" s="462"/>
      <c r="AA58" s="462"/>
      <c r="AB58" s="462"/>
      <c r="AC58" s="462"/>
      <c r="AD58" s="743">
        <v>-5</v>
      </c>
      <c r="AE58" s="864"/>
      <c r="AF58" s="845">
        <v>2.9950000000000001</v>
      </c>
      <c r="AG58" s="869" t="s">
        <v>362</v>
      </c>
      <c r="AH58" s="462"/>
      <c r="AI58" s="809">
        <f t="shared" ref="AI58:AI81" si="21">+(AF$55-AF58)*AD58*1000</f>
        <v>-124.99999999999956</v>
      </c>
      <c r="AJ58" s="462"/>
      <c r="AK58" s="462"/>
      <c r="AL58" s="743">
        <v>1</v>
      </c>
      <c r="AM58" s="864">
        <v>65</v>
      </c>
      <c r="AN58" s="845" t="s">
        <v>361</v>
      </c>
      <c r="AO58" s="879">
        <f>+(AN$55-AM58)*AL58</f>
        <v>0</v>
      </c>
      <c r="AP58" s="462"/>
      <c r="AQ58" s="883">
        <v>37013</v>
      </c>
      <c r="AR58" s="718">
        <f>+AR57+AS58</f>
        <v>840</v>
      </c>
      <c r="AS58" s="718">
        <v>92</v>
      </c>
      <c r="AT58" s="462"/>
      <c r="AU58" s="462"/>
      <c r="AV58" s="718">
        <v>84</v>
      </c>
      <c r="AW58" s="462"/>
      <c r="AX58" s="462"/>
      <c r="BD58" t="s">
        <v>256</v>
      </c>
      <c r="BE58">
        <v>15.5</v>
      </c>
      <c r="BG58" s="1005">
        <f>+Master!B65</f>
        <v>17.5</v>
      </c>
    </row>
    <row r="59" spans="3:65" ht="15.95" customHeight="1" x14ac:dyDescent="0.25">
      <c r="C59" s="319" t="s">
        <v>325</v>
      </c>
      <c r="D59" s="769">
        <f>+Master!K15*TradeSum!CD15</f>
        <v>10436.799999999999</v>
      </c>
      <c r="K59">
        <f t="shared" si="18"/>
        <v>8326.9806582061865</v>
      </c>
      <c r="L59" s="964">
        <f>+[5]COMED!$G70</f>
        <v>28.581568121910095</v>
      </c>
      <c r="N59" s="963">
        <f>+TradeSum!DK48*16*Q59</f>
        <v>291.34093072461195</v>
      </c>
      <c r="O59" s="961">
        <v>38231</v>
      </c>
      <c r="P59" s="962">
        <f>+[5]Cinergy!$G70</f>
        <v>29.631563544273376</v>
      </c>
      <c r="Q59" s="50">
        <f>VLOOKUP(O59,Interest!$X$8:$AC$367,6)</f>
        <v>0.86708610334705938</v>
      </c>
      <c r="R59" s="462">
        <f t="shared" si="19"/>
        <v>8632.8873018140876</v>
      </c>
      <c r="S59" s="814">
        <v>37530</v>
      </c>
      <c r="T59" s="718">
        <f t="shared" si="20"/>
        <v>-237.62763466042128</v>
      </c>
      <c r="U59" s="718"/>
      <c r="V59" s="718">
        <f>+AA$37/12.2+AA$33/12.2+Master!I$95/7</f>
        <v>-116.62763466042126</v>
      </c>
      <c r="W59" s="718">
        <v>-121</v>
      </c>
      <c r="X59" s="462"/>
      <c r="Y59" s="462"/>
      <c r="Z59" s="462"/>
      <c r="AA59" s="462"/>
      <c r="AB59" s="462"/>
      <c r="AC59" s="462"/>
      <c r="AD59" s="743">
        <v>5</v>
      </c>
      <c r="AE59" s="864"/>
      <c r="AF59" s="845">
        <v>2.992</v>
      </c>
      <c r="AG59" s="869" t="s">
        <v>362</v>
      </c>
      <c r="AH59" s="462"/>
      <c r="AI59" s="809">
        <f t="shared" si="21"/>
        <v>140.00000000000011</v>
      </c>
      <c r="AJ59" s="462"/>
      <c r="AK59" s="462"/>
      <c r="AL59" s="743"/>
      <c r="AM59" s="864"/>
      <c r="AN59" s="845"/>
      <c r="AO59" s="879">
        <f t="shared" ref="AO59:AO81" si="22">+(AN$55-AM59)*AL59</f>
        <v>0</v>
      </c>
      <c r="AP59" s="462"/>
      <c r="AQ59" s="883">
        <f t="shared" ref="AQ59:AQ85" si="23">+AQ58+7</f>
        <v>37020</v>
      </c>
      <c r="AR59" s="718">
        <f t="shared" ref="AR59:AR83" si="24">+AR58+AS59</f>
        <v>936</v>
      </c>
      <c r="AS59" s="718">
        <v>96</v>
      </c>
      <c r="AT59" s="462"/>
      <c r="AU59" s="462"/>
      <c r="AV59" s="718">
        <v>98</v>
      </c>
      <c r="AW59" s="462"/>
      <c r="AX59" s="462"/>
      <c r="BD59" t="s">
        <v>328</v>
      </c>
      <c r="BE59">
        <v>14.5</v>
      </c>
      <c r="BG59" s="1005">
        <f>+Master!B66</f>
        <v>15.05</v>
      </c>
    </row>
    <row r="60" spans="3:65" ht="15.95" customHeight="1" x14ac:dyDescent="0.25">
      <c r="C60" s="319" t="s">
        <v>326</v>
      </c>
      <c r="D60" s="769">
        <f>+Master!K16*TradeSum!CD16</f>
        <v>8304</v>
      </c>
      <c r="K60">
        <f t="shared" si="18"/>
        <v>8344.4661992315541</v>
      </c>
      <c r="L60" s="964">
        <f>+[5]COMED!$G71</f>
        <v>28.78156316280365</v>
      </c>
      <c r="N60" s="963">
        <f>+TradeSum!DK49*16*Q60</f>
        <v>289.92400975690123</v>
      </c>
      <c r="O60" s="961">
        <v>38261</v>
      </c>
      <c r="P60" s="962">
        <f>+[5]Cinergy!$G71</f>
        <v>29.73156201839447</v>
      </c>
      <c r="Q60" s="50">
        <f>VLOOKUP(O60,Interest!$X$8:$AC$367,6)</f>
        <v>0.86286907665744417</v>
      </c>
      <c r="R60" s="462">
        <f t="shared" si="19"/>
        <v>8619.8936767089126</v>
      </c>
      <c r="S60" s="814">
        <v>37561</v>
      </c>
      <c r="T60" s="718">
        <f t="shared" si="20"/>
        <v>61.229508196721298</v>
      </c>
      <c r="U60" s="718"/>
      <c r="V60" s="718">
        <f>+AA$37/12.2+AA$33/12.2</f>
        <v>-73.770491803278702</v>
      </c>
      <c r="W60" s="718">
        <v>135</v>
      </c>
      <c r="X60" s="462"/>
      <c r="Y60" s="462"/>
      <c r="Z60" s="462"/>
      <c r="AA60" s="462"/>
      <c r="AB60" s="462"/>
      <c r="AC60" s="462"/>
      <c r="AD60" s="743">
        <v>1</v>
      </c>
      <c r="AE60" s="864"/>
      <c r="AF60" s="845">
        <v>3</v>
      </c>
      <c r="AG60" s="869" t="s">
        <v>366</v>
      </c>
      <c r="AH60" s="462"/>
      <c r="AI60" s="809">
        <f t="shared" si="21"/>
        <v>20.000000000000018</v>
      </c>
      <c r="AJ60" s="462"/>
      <c r="AK60" s="462"/>
      <c r="AL60" s="743"/>
      <c r="AM60" s="864"/>
      <c r="AN60" s="845"/>
      <c r="AO60" s="879">
        <f t="shared" si="22"/>
        <v>0</v>
      </c>
      <c r="AP60" s="462"/>
      <c r="AQ60" s="883">
        <f t="shared" si="23"/>
        <v>37027</v>
      </c>
      <c r="AR60" s="718">
        <f t="shared" si="24"/>
        <v>1034</v>
      </c>
      <c r="AS60" s="718">
        <f>+AS59+2</f>
        <v>98</v>
      </c>
      <c r="AT60" s="462"/>
      <c r="AU60" s="462"/>
      <c r="AV60" s="718">
        <v>100</v>
      </c>
      <c r="AW60" s="462"/>
      <c r="AX60" s="462"/>
      <c r="BD60" t="s">
        <v>329</v>
      </c>
      <c r="BE60">
        <v>17.5</v>
      </c>
      <c r="BG60" s="1005">
        <f>+Master!B67</f>
        <v>18.625</v>
      </c>
    </row>
    <row r="61" spans="3:65" ht="15.95" customHeight="1" x14ac:dyDescent="0.25">
      <c r="C61" s="319" t="s">
        <v>327</v>
      </c>
      <c r="D61" s="769">
        <f>+Master!K16*TradeSum!CD16</f>
        <v>8304</v>
      </c>
      <c r="K61">
        <f t="shared" si="18"/>
        <v>9364.0952317596511</v>
      </c>
      <c r="L61" s="964">
        <f>+[5]COMED!$G72</f>
        <v>29.631563544273376</v>
      </c>
      <c r="N61" s="963">
        <f>+TradeSum!DK50*16*Q61</f>
        <v>316.01758772426859</v>
      </c>
      <c r="O61" s="961">
        <v>38292</v>
      </c>
      <c r="P61" s="962">
        <f>+[5]Cinergy!$G72</f>
        <v>29.831560492515564</v>
      </c>
      <c r="Q61" s="50">
        <f>VLOOKUP(O61,Interest!$X$8:$AC$367,6)</f>
        <v>0.85874344490290377</v>
      </c>
      <c r="R61" s="462">
        <f t="shared" si="19"/>
        <v>9427.2977848953633</v>
      </c>
      <c r="S61" s="814">
        <v>37591</v>
      </c>
      <c r="T61" s="718">
        <f t="shared" si="20"/>
        <v>62.229508196721298</v>
      </c>
      <c r="U61" s="718">
        <f>SUM(T50:T61)</f>
        <v>-965.70023419203449</v>
      </c>
      <c r="V61" s="718">
        <f>+AA$37/12.2+AA$33/12.2</f>
        <v>-73.770491803278702</v>
      </c>
      <c r="W61" s="718">
        <v>136</v>
      </c>
      <c r="X61" s="462"/>
      <c r="Y61" s="718">
        <f>SUM(W50:W61)</f>
        <v>181</v>
      </c>
      <c r="Z61" s="462"/>
      <c r="AA61" s="462"/>
      <c r="AB61" s="462"/>
      <c r="AC61" s="462"/>
      <c r="AD61" s="743"/>
      <c r="AE61" s="864"/>
      <c r="AF61" s="845"/>
      <c r="AG61" s="869"/>
      <c r="AH61" s="462"/>
      <c r="AI61" s="809">
        <f t="shared" si="21"/>
        <v>0</v>
      </c>
      <c r="AJ61" s="462"/>
      <c r="AK61" s="462"/>
      <c r="AL61" s="743"/>
      <c r="AM61" s="864"/>
      <c r="AN61" s="845"/>
      <c r="AO61" s="879">
        <f t="shared" si="22"/>
        <v>0</v>
      </c>
      <c r="AP61" s="462"/>
      <c r="AQ61" s="883">
        <f t="shared" si="23"/>
        <v>37034</v>
      </c>
      <c r="AR61" s="718">
        <f t="shared" si="24"/>
        <v>1122</v>
      </c>
      <c r="AS61" s="718">
        <f>+AS60-10</f>
        <v>88</v>
      </c>
      <c r="AT61" s="462"/>
      <c r="AU61" s="462"/>
      <c r="AV61" s="718">
        <v>90</v>
      </c>
      <c r="AW61" s="462"/>
      <c r="AX61" s="462"/>
    </row>
    <row r="62" spans="3:65" ht="15.95" customHeight="1" x14ac:dyDescent="0.25">
      <c r="C62" s="319" t="s">
        <v>87</v>
      </c>
      <c r="D62" s="769">
        <f>+Master!K17*TradeSum!CD18</f>
        <v>9134.4000000000015</v>
      </c>
      <c r="J62" s="964">
        <f>SUM(K51:K62)/SUM(N51:N62)</f>
        <v>32.958549500924356</v>
      </c>
      <c r="K62">
        <f t="shared" si="18"/>
        <v>8819.8566875210654</v>
      </c>
      <c r="L62" s="964">
        <f>+[5]COMED!$G73</f>
        <v>30.718717756725493</v>
      </c>
      <c r="M62" s="964">
        <f>SUM(R51:R62)/SUM(N51:N62)</f>
        <v>33.948729557054598</v>
      </c>
      <c r="N62" s="963">
        <f>+TradeSum!DK51*16*Q62</f>
        <v>287.11669404202473</v>
      </c>
      <c r="O62" s="961">
        <v>38322</v>
      </c>
      <c r="P62" s="962">
        <f>+[5]Cinergy!$G73</f>
        <v>31.41071909949893</v>
      </c>
      <c r="Q62" s="50">
        <f>VLOOKUP(O62,Interest!$X$8:$AC$367,6)</f>
        <v>0.8545139703631689</v>
      </c>
      <c r="R62" s="462">
        <f t="shared" si="19"/>
        <v>9018.5418253308162</v>
      </c>
      <c r="S62" s="814">
        <v>37622</v>
      </c>
      <c r="T62" s="718">
        <f t="shared" si="20"/>
        <v>60</v>
      </c>
      <c r="U62" s="718"/>
      <c r="V62" s="718">
        <f>+AA$38/12</f>
        <v>0</v>
      </c>
      <c r="W62" s="718">
        <v>60</v>
      </c>
      <c r="X62" s="462"/>
      <c r="Y62" s="718"/>
      <c r="Z62" s="462"/>
      <c r="AA62" s="462"/>
      <c r="AB62" s="462"/>
      <c r="AC62" s="462"/>
      <c r="AD62" s="743"/>
      <c r="AE62" s="864"/>
      <c r="AF62" s="845"/>
      <c r="AG62" s="869"/>
      <c r="AH62" s="462"/>
      <c r="AI62" s="809">
        <f t="shared" si="21"/>
        <v>0</v>
      </c>
      <c r="AJ62" s="462"/>
      <c r="AK62" s="462"/>
      <c r="AL62" s="743"/>
      <c r="AM62" s="864"/>
      <c r="AN62" s="845"/>
      <c r="AO62" s="879">
        <f t="shared" si="22"/>
        <v>0</v>
      </c>
      <c r="AP62" s="462"/>
      <c r="AQ62" s="883">
        <f t="shared" si="23"/>
        <v>37041</v>
      </c>
      <c r="AR62" s="718">
        <f t="shared" si="24"/>
        <v>1213</v>
      </c>
      <c r="AS62" s="718">
        <f>+AS61+3</f>
        <v>91</v>
      </c>
      <c r="AT62" s="462"/>
      <c r="AU62" s="462"/>
      <c r="AV62" s="718">
        <v>93</v>
      </c>
      <c r="AW62" s="462"/>
      <c r="AX62" s="462"/>
    </row>
    <row r="63" spans="3:65" ht="15.95" customHeight="1" x14ac:dyDescent="0.25">
      <c r="C63" s="319" t="s">
        <v>256</v>
      </c>
      <c r="D63" s="769">
        <f>+TradeSum!I19*TradeSum!CD19</f>
        <v>11000</v>
      </c>
      <c r="K63">
        <f t="shared" si="18"/>
        <v>8336.7182738994488</v>
      </c>
      <c r="L63" s="964">
        <f>+[5]COMED!$G74</f>
        <v>30.64071291968936</v>
      </c>
      <c r="N63" s="963">
        <f>+TradeSum!DK52*16*Q63</f>
        <v>272.07977489787362</v>
      </c>
      <c r="O63" s="961">
        <v>38353</v>
      </c>
      <c r="P63" s="962">
        <f>+[5]Cinergy!$G74</f>
        <v>31.330709639049712</v>
      </c>
      <c r="Q63" s="50">
        <f>VLOOKUP(O63,Interest!$X$8:$AC$367,6)</f>
        <v>0.85024929655585502</v>
      </c>
      <c r="R63" s="462">
        <f t="shared" si="19"/>
        <v>8524.4524259832851</v>
      </c>
      <c r="S63" s="814">
        <v>37653</v>
      </c>
      <c r="T63" s="718">
        <f t="shared" si="20"/>
        <v>57</v>
      </c>
      <c r="U63" s="718"/>
      <c r="V63" s="718">
        <f t="shared" ref="V63:V73" si="25">+AA$38/12</f>
        <v>0</v>
      </c>
      <c r="W63" s="718">
        <v>57</v>
      </c>
      <c r="X63" s="462"/>
      <c r="Y63" s="718"/>
      <c r="Z63" s="462"/>
      <c r="AA63" s="462"/>
      <c r="AB63" s="462"/>
      <c r="AC63" s="462"/>
      <c r="AD63" s="743"/>
      <c r="AE63" s="864"/>
      <c r="AF63" s="845"/>
      <c r="AG63" s="869"/>
      <c r="AH63" s="462"/>
      <c r="AI63" s="809">
        <f t="shared" si="21"/>
        <v>0</v>
      </c>
      <c r="AJ63" s="462"/>
      <c r="AK63" s="462"/>
      <c r="AL63" s="743"/>
      <c r="AM63" s="864"/>
      <c r="AN63" s="845"/>
      <c r="AO63" s="879">
        <f t="shared" si="22"/>
        <v>0</v>
      </c>
      <c r="AP63" s="462"/>
      <c r="AQ63" s="883">
        <f t="shared" si="23"/>
        <v>37048</v>
      </c>
      <c r="AR63" s="718">
        <f t="shared" si="24"/>
        <v>1304</v>
      </c>
      <c r="AS63" s="718">
        <f>+AS62</f>
        <v>91</v>
      </c>
      <c r="AT63" s="462"/>
      <c r="AU63" s="462"/>
      <c r="AV63" s="718">
        <v>93</v>
      </c>
      <c r="AW63" s="462"/>
      <c r="AX63" s="462"/>
    </row>
    <row r="64" spans="3:65" ht="15.95" customHeight="1" x14ac:dyDescent="0.25">
      <c r="C64" s="319" t="s">
        <v>328</v>
      </c>
      <c r="D64" s="769">
        <f>+TradeSum!I20*TradeSum!CD20</f>
        <v>13120</v>
      </c>
      <c r="K64">
        <f t="shared" si="18"/>
        <v>9219.4567421668871</v>
      </c>
      <c r="L64" s="964">
        <f>+[5]COMED!$G75</f>
        <v>29.602677855380747</v>
      </c>
      <c r="N64" s="963">
        <f>+TradeSum!DK53*16*Q64</f>
        <v>311.43995780405749</v>
      </c>
      <c r="O64" s="961">
        <v>38384</v>
      </c>
      <c r="P64" s="962">
        <f>+[5]Cinergy!$G75</f>
        <v>29.792672667392466</v>
      </c>
      <c r="Q64" s="50">
        <f>VLOOKUP(O64,Interest!$X$8:$AC$367,6)</f>
        <v>0.84630423316319969</v>
      </c>
      <c r="R64" s="462">
        <f t="shared" si="19"/>
        <v>9278.628718402806</v>
      </c>
      <c r="S64" s="814">
        <v>37681</v>
      </c>
      <c r="T64" s="718">
        <f t="shared" si="20"/>
        <v>60</v>
      </c>
      <c r="U64" s="718"/>
      <c r="V64" s="718">
        <f t="shared" si="25"/>
        <v>0</v>
      </c>
      <c r="W64" s="718">
        <v>60</v>
      </c>
      <c r="X64" s="462"/>
      <c r="Y64" s="718"/>
      <c r="Z64" s="462"/>
      <c r="AA64" s="462"/>
      <c r="AB64" s="462"/>
      <c r="AC64" s="462"/>
      <c r="AD64" s="743"/>
      <c r="AE64" s="864"/>
      <c r="AF64" s="845"/>
      <c r="AG64" s="869"/>
      <c r="AH64" s="462"/>
      <c r="AI64" s="809">
        <f t="shared" si="21"/>
        <v>0</v>
      </c>
      <c r="AJ64" s="462"/>
      <c r="AK64" s="462"/>
      <c r="AL64" s="743"/>
      <c r="AM64" s="864"/>
      <c r="AN64" s="845"/>
      <c r="AO64" s="879">
        <f t="shared" si="22"/>
        <v>0</v>
      </c>
      <c r="AP64" s="462"/>
      <c r="AQ64" s="883">
        <f t="shared" si="23"/>
        <v>37055</v>
      </c>
      <c r="AR64" s="718">
        <f t="shared" si="24"/>
        <v>1394</v>
      </c>
      <c r="AS64" s="718">
        <f>+AS63-1</f>
        <v>90</v>
      </c>
      <c r="AT64" s="462"/>
      <c r="AU64" s="462"/>
      <c r="AV64" s="718">
        <v>92</v>
      </c>
      <c r="AW64" s="462"/>
      <c r="AX64" s="462"/>
    </row>
    <row r="65" spans="3:50" ht="15.95" customHeight="1" x14ac:dyDescent="0.25">
      <c r="C65" s="319" t="s">
        <v>329</v>
      </c>
      <c r="D65" s="769">
        <f>+TradeSum!I21*TradeSum!CD21</f>
        <v>19316</v>
      </c>
      <c r="K65">
        <f t="shared" si="18"/>
        <v>8432.5207273451688</v>
      </c>
      <c r="L65" s="964">
        <f>+[5]COMED!$G76</f>
        <v>29.802678618320201</v>
      </c>
      <c r="N65" s="963">
        <f>+TradeSum!DK54*16*Q65</f>
        <v>282.94506125907617</v>
      </c>
      <c r="O65" s="961">
        <v>38412</v>
      </c>
      <c r="P65" s="962">
        <f>+[5]Cinergy!$G76</f>
        <v>29.992673430331919</v>
      </c>
      <c r="Q65" s="50">
        <f>VLOOKUP(O65,Interest!$X$8:$AC$367,6)</f>
        <v>0.84209839660439334</v>
      </c>
      <c r="R65" s="462">
        <f t="shared" si="19"/>
        <v>8486.2788210687304</v>
      </c>
      <c r="S65" s="814">
        <v>37712</v>
      </c>
      <c r="T65" s="718">
        <f t="shared" si="20"/>
        <v>59</v>
      </c>
      <c r="U65" s="718"/>
      <c r="V65" s="718">
        <f t="shared" si="25"/>
        <v>0</v>
      </c>
      <c r="W65" s="718">
        <v>59</v>
      </c>
      <c r="X65" s="462"/>
      <c r="Y65" s="718"/>
      <c r="Z65" s="462"/>
      <c r="AA65" s="462"/>
      <c r="AB65" s="462"/>
      <c r="AC65" s="462"/>
      <c r="AD65" s="743"/>
      <c r="AE65" s="864"/>
      <c r="AF65" s="845"/>
      <c r="AG65" s="869"/>
      <c r="AH65" s="462"/>
      <c r="AI65" s="809">
        <f t="shared" si="21"/>
        <v>0</v>
      </c>
      <c r="AJ65" s="462"/>
      <c r="AK65" s="462"/>
      <c r="AL65" s="743"/>
      <c r="AM65" s="864"/>
      <c r="AN65" s="845"/>
      <c r="AO65" s="879">
        <f t="shared" si="22"/>
        <v>0</v>
      </c>
      <c r="AP65" s="462"/>
      <c r="AQ65" s="883">
        <f t="shared" si="23"/>
        <v>37062</v>
      </c>
      <c r="AR65" s="718">
        <f t="shared" si="24"/>
        <v>1482</v>
      </c>
      <c r="AS65" s="718">
        <f>+AS64-2</f>
        <v>88</v>
      </c>
      <c r="AT65" s="462"/>
      <c r="AU65" s="462"/>
      <c r="AV65" s="718">
        <v>88</v>
      </c>
      <c r="AW65" s="462"/>
      <c r="AX65" s="462"/>
    </row>
    <row r="66" spans="3:50" ht="15.95" customHeight="1" x14ac:dyDescent="0.25">
      <c r="K66">
        <f t="shared" si="18"/>
        <v>8504.3530619472949</v>
      </c>
      <c r="L66" s="964">
        <f>+[5]COMED!$G77</f>
        <v>30.205001831054688</v>
      </c>
      <c r="N66" s="963">
        <f>+TradeSum!DK55*16*Q66</f>
        <v>281.55446271828094</v>
      </c>
      <c r="O66" s="961">
        <v>38443</v>
      </c>
      <c r="P66" s="962">
        <f>+[5]Cinergy!$G77</f>
        <v>31.394998550415039</v>
      </c>
      <c r="Q66" s="50">
        <f>VLOOKUP(O66,Interest!$X$8:$AC$367,6)</f>
        <v>0.83795971047107431</v>
      </c>
      <c r="R66" s="462">
        <f t="shared" si="19"/>
        <v>8839.4019489033162</v>
      </c>
      <c r="S66" s="814">
        <v>37742</v>
      </c>
      <c r="T66" s="718">
        <f t="shared" si="20"/>
        <v>60</v>
      </c>
      <c r="U66" s="718"/>
      <c r="V66" s="718">
        <f t="shared" si="25"/>
        <v>0</v>
      </c>
      <c r="W66" s="718">
        <v>60</v>
      </c>
      <c r="X66" s="462"/>
      <c r="Y66" s="718"/>
      <c r="Z66" s="462"/>
      <c r="AA66" s="462"/>
      <c r="AB66" s="462"/>
      <c r="AC66" s="462"/>
      <c r="AD66" s="743"/>
      <c r="AE66" s="864"/>
      <c r="AF66" s="845"/>
      <c r="AG66" s="869"/>
      <c r="AH66" s="462"/>
      <c r="AI66" s="809">
        <f t="shared" si="21"/>
        <v>0</v>
      </c>
      <c r="AJ66" s="462"/>
      <c r="AK66" s="462"/>
      <c r="AL66" s="743"/>
      <c r="AM66" s="864"/>
      <c r="AN66" s="845"/>
      <c r="AO66" s="879">
        <f t="shared" si="22"/>
        <v>0</v>
      </c>
      <c r="AP66" s="462"/>
      <c r="AQ66" s="883">
        <f t="shared" si="23"/>
        <v>37069</v>
      </c>
      <c r="AR66" s="718">
        <f t="shared" si="24"/>
        <v>1567</v>
      </c>
      <c r="AS66" s="718">
        <f>+AS65-3</f>
        <v>85</v>
      </c>
      <c r="AT66" s="462"/>
      <c r="AU66" s="462"/>
      <c r="AV66" s="718">
        <v>85</v>
      </c>
      <c r="AW66" s="462"/>
      <c r="AX66" s="462"/>
    </row>
    <row r="67" spans="3:50" ht="15.95" customHeight="1" x14ac:dyDescent="0.25">
      <c r="D67" s="351">
        <f>SUM(D56:D66)</f>
        <v>108757.6</v>
      </c>
      <c r="K67">
        <f t="shared" si="18"/>
        <v>10985.345140587182</v>
      </c>
      <c r="L67" s="964">
        <f>+[5]COMED!$G78</f>
        <v>37.430000305175781</v>
      </c>
      <c r="N67" s="963">
        <f>+TradeSum!DK56*16*Q67</f>
        <v>293.49038340959191</v>
      </c>
      <c r="O67" s="961">
        <v>38473</v>
      </c>
      <c r="P67" s="962">
        <f>+[5]Cinergy!$G78</f>
        <v>38.869998931884766</v>
      </c>
      <c r="Q67" s="50">
        <f>VLOOKUP(O67,Interest!$X$8:$AC$367,6)</f>
        <v>0.83377949832270437</v>
      </c>
      <c r="R67" s="462">
        <f t="shared" si="19"/>
        <v>11407.970889649288</v>
      </c>
      <c r="S67" s="814">
        <v>37773</v>
      </c>
      <c r="T67" s="718">
        <f t="shared" si="20"/>
        <v>77</v>
      </c>
      <c r="U67" s="718"/>
      <c r="V67" s="718">
        <f t="shared" si="25"/>
        <v>0</v>
      </c>
      <c r="W67" s="718">
        <v>77</v>
      </c>
      <c r="X67" s="462"/>
      <c r="Y67" s="718"/>
      <c r="Z67" s="462"/>
      <c r="AA67" s="462"/>
      <c r="AB67" s="462"/>
      <c r="AC67" s="462"/>
      <c r="AD67" s="743"/>
      <c r="AE67" s="864"/>
      <c r="AF67" s="845"/>
      <c r="AG67" s="869"/>
      <c r="AH67" s="462"/>
      <c r="AI67" s="809">
        <f t="shared" si="21"/>
        <v>0</v>
      </c>
      <c r="AJ67" s="462"/>
      <c r="AK67" s="462"/>
      <c r="AL67" s="743"/>
      <c r="AM67" s="864"/>
      <c r="AN67" s="845"/>
      <c r="AO67" s="879">
        <f t="shared" si="22"/>
        <v>0</v>
      </c>
      <c r="AP67" s="462"/>
      <c r="AQ67" s="883">
        <f t="shared" si="23"/>
        <v>37076</v>
      </c>
      <c r="AR67" s="718">
        <f t="shared" si="24"/>
        <v>1648</v>
      </c>
      <c r="AS67" s="718">
        <f>+AS66-4</f>
        <v>81</v>
      </c>
      <c r="AT67" s="462"/>
      <c r="AU67" s="462"/>
      <c r="AV67" s="718">
        <v>81</v>
      </c>
      <c r="AW67" s="462"/>
      <c r="AX67" s="462"/>
    </row>
    <row r="68" spans="3:50" ht="15.95" customHeight="1" x14ac:dyDescent="0.25">
      <c r="D68" s="770">
        <f>+D67/SUM(TradeSum!CD12:CD21)</f>
        <v>31.912441314553991</v>
      </c>
      <c r="K68">
        <f t="shared" si="18"/>
        <v>12593.694601518147</v>
      </c>
      <c r="L68" s="964">
        <f>+[5]COMED!$G79</f>
        <v>47.435001373291016</v>
      </c>
      <c r="N68" s="963">
        <f>+TradeSum!DK57*16*Q68</f>
        <v>265.49371217282635</v>
      </c>
      <c r="O68" s="961">
        <v>38504</v>
      </c>
      <c r="P68" s="962">
        <f>+[5]Cinergy!$G79</f>
        <v>49.125</v>
      </c>
      <c r="Q68" s="50">
        <f>VLOOKUP(O68,Interest!$X$8:$AC$367,6)</f>
        <v>0.82966785054008241</v>
      </c>
      <c r="R68" s="462">
        <f t="shared" si="19"/>
        <v>13042.378610490094</v>
      </c>
      <c r="S68" s="814">
        <v>37803</v>
      </c>
      <c r="T68" s="718">
        <f t="shared" si="20"/>
        <v>59</v>
      </c>
      <c r="U68" s="718"/>
      <c r="V68" s="718">
        <f t="shared" si="25"/>
        <v>0</v>
      </c>
      <c r="W68" s="718">
        <v>59</v>
      </c>
      <c r="X68" s="462"/>
      <c r="Y68" s="718"/>
      <c r="Z68" s="462"/>
      <c r="AA68" s="462"/>
      <c r="AB68" s="462"/>
      <c r="AC68" s="462"/>
      <c r="AD68" s="743"/>
      <c r="AE68" s="864"/>
      <c r="AF68" s="845"/>
      <c r="AG68" s="869"/>
      <c r="AH68" s="462"/>
      <c r="AI68" s="809">
        <f t="shared" si="21"/>
        <v>0</v>
      </c>
      <c r="AJ68" s="462"/>
      <c r="AK68" s="462"/>
      <c r="AL68" s="743"/>
      <c r="AM68" s="864"/>
      <c r="AN68" s="845"/>
      <c r="AO68" s="879">
        <f t="shared" si="22"/>
        <v>0</v>
      </c>
      <c r="AP68" s="462"/>
      <c r="AQ68" s="883">
        <f t="shared" si="23"/>
        <v>37083</v>
      </c>
      <c r="AR68" s="718">
        <f t="shared" si="24"/>
        <v>1725</v>
      </c>
      <c r="AS68" s="718">
        <f>+AS67-4</f>
        <v>77</v>
      </c>
      <c r="AT68" s="462"/>
      <c r="AU68" s="462"/>
      <c r="AV68" s="718">
        <v>77</v>
      </c>
      <c r="AW68" s="462"/>
      <c r="AX68" s="462"/>
    </row>
    <row r="69" spans="3:50" ht="15.95" customHeight="1" x14ac:dyDescent="0.25">
      <c r="K69">
        <f t="shared" si="18"/>
        <v>14409.768983412665</v>
      </c>
      <c r="L69" s="964">
        <f>+[5]COMED!$G80</f>
        <v>47.435001373291016</v>
      </c>
      <c r="N69" s="963">
        <f>+TradeSum!DK58*16*Q69</f>
        <v>303.77924667935815</v>
      </c>
      <c r="O69" s="961">
        <v>38534</v>
      </c>
      <c r="P69" s="962">
        <f>+[5]Cinergy!$G80</f>
        <v>49.125</v>
      </c>
      <c r="Q69" s="50">
        <f>VLOOKUP(O69,Interest!$X$8:$AC$367,6)</f>
        <v>0.82548708336782106</v>
      </c>
      <c r="R69" s="462">
        <f t="shared" si="19"/>
        <v>14923.15549312347</v>
      </c>
      <c r="S69" s="814">
        <v>37834</v>
      </c>
      <c r="T69" s="718">
        <f t="shared" si="20"/>
        <v>59</v>
      </c>
      <c r="U69" s="718"/>
      <c r="V69" s="718">
        <f t="shared" si="25"/>
        <v>0</v>
      </c>
      <c r="W69" s="718">
        <v>59</v>
      </c>
      <c r="X69" s="462"/>
      <c r="Y69" s="718"/>
      <c r="Z69" s="462"/>
      <c r="AA69" s="462"/>
      <c r="AB69" s="462"/>
      <c r="AC69" s="462"/>
      <c r="AD69" s="743"/>
      <c r="AE69" s="864"/>
      <c r="AF69" s="845"/>
      <c r="AG69" s="869"/>
      <c r="AH69" s="462"/>
      <c r="AI69" s="809">
        <f t="shared" si="21"/>
        <v>0</v>
      </c>
      <c r="AJ69" s="462"/>
      <c r="AK69" s="462"/>
      <c r="AL69" s="743"/>
      <c r="AM69" s="864"/>
      <c r="AN69" s="845"/>
      <c r="AO69" s="879">
        <f t="shared" si="22"/>
        <v>0</v>
      </c>
      <c r="AP69" s="462"/>
      <c r="AQ69" s="883">
        <f t="shared" si="23"/>
        <v>37090</v>
      </c>
      <c r="AR69" s="718">
        <f t="shared" si="24"/>
        <v>1800</v>
      </c>
      <c r="AS69" s="718">
        <f>+AS68-2</f>
        <v>75</v>
      </c>
      <c r="AT69" s="462"/>
      <c r="AU69" s="462"/>
      <c r="AV69" s="718">
        <v>75</v>
      </c>
      <c r="AW69" s="462"/>
      <c r="AX69" s="462"/>
    </row>
    <row r="70" spans="3:50" ht="15.95" customHeight="1" x14ac:dyDescent="0.25">
      <c r="K70">
        <f t="shared" si="18"/>
        <v>7819.1822262494661</v>
      </c>
      <c r="L70" s="964">
        <f>+[5]COMED!$G81</f>
        <v>28.334995269775391</v>
      </c>
      <c r="N70" s="963">
        <f>+TradeSum!DK59*16*Q70</f>
        <v>275.95495082330564</v>
      </c>
      <c r="O70" s="961">
        <v>38565</v>
      </c>
      <c r="P70" s="962">
        <f>+[5]Cinergy!$G81</f>
        <v>29.024999618530273</v>
      </c>
      <c r="Q70" s="50">
        <f>VLOOKUP(O70,Interest!$X$8:$AC$367,6)</f>
        <v>0.8212944964979334</v>
      </c>
      <c r="R70" s="462">
        <f t="shared" si="19"/>
        <v>8009.5923423779868</v>
      </c>
      <c r="S70" s="814">
        <v>37865</v>
      </c>
      <c r="T70" s="718">
        <f t="shared" si="20"/>
        <v>58</v>
      </c>
      <c r="U70" s="718"/>
      <c r="V70" s="718">
        <f t="shared" si="25"/>
        <v>0</v>
      </c>
      <c r="W70" s="718">
        <v>58</v>
      </c>
      <c r="X70" s="462"/>
      <c r="Y70" s="718"/>
      <c r="Z70" s="462"/>
      <c r="AA70" s="462"/>
      <c r="AB70" s="462"/>
      <c r="AC70" s="462"/>
      <c r="AD70" s="743"/>
      <c r="AE70" s="864"/>
      <c r="AF70" s="845"/>
      <c r="AG70" s="869"/>
      <c r="AH70" s="462"/>
      <c r="AI70" s="809">
        <f t="shared" si="21"/>
        <v>0</v>
      </c>
      <c r="AJ70" s="462"/>
      <c r="AK70" s="462"/>
      <c r="AL70" s="743"/>
      <c r="AM70" s="864"/>
      <c r="AN70" s="845"/>
      <c r="AO70" s="879">
        <f t="shared" si="22"/>
        <v>0</v>
      </c>
      <c r="AP70" s="462"/>
      <c r="AQ70" s="883">
        <f t="shared" si="23"/>
        <v>37097</v>
      </c>
      <c r="AR70" s="718">
        <f t="shared" si="24"/>
        <v>1873</v>
      </c>
      <c r="AS70" s="718">
        <f>+AS69-2</f>
        <v>73</v>
      </c>
      <c r="AT70" s="462"/>
      <c r="AU70" s="462"/>
      <c r="AV70" s="718">
        <v>73</v>
      </c>
      <c r="AW70" s="462"/>
      <c r="AX70" s="462"/>
    </row>
    <row r="71" spans="3:50" ht="15.95" customHeight="1" x14ac:dyDescent="0.25">
      <c r="K71">
        <f t="shared" si="18"/>
        <v>8144.445015697991</v>
      </c>
      <c r="L71" s="964">
        <f>+[5]COMED!$G82</f>
        <v>29.661571860313416</v>
      </c>
      <c r="N71" s="963">
        <f>+TradeSum!DK60*16*Q71</f>
        <v>274.57900930041723</v>
      </c>
      <c r="O71" s="961">
        <v>38596</v>
      </c>
      <c r="P71" s="962">
        <f>+[5]Cinergy!$G82</f>
        <v>30.551561713218689</v>
      </c>
      <c r="Q71" s="50">
        <f>VLOOKUP(O71,Interest!$X$8:$AC$367,6)</f>
        <v>0.817199432441718</v>
      </c>
      <c r="R71" s="462">
        <f t="shared" si="19"/>
        <v>8388.8175477961449</v>
      </c>
      <c r="S71" s="814">
        <v>37895</v>
      </c>
      <c r="T71" s="718">
        <f t="shared" si="20"/>
        <v>59</v>
      </c>
      <c r="U71" s="718"/>
      <c r="V71" s="718">
        <f t="shared" si="25"/>
        <v>0</v>
      </c>
      <c r="W71" s="718">
        <v>59</v>
      </c>
      <c r="X71" s="462"/>
      <c r="Y71" s="718"/>
      <c r="Z71" s="462"/>
      <c r="AA71" s="462"/>
      <c r="AB71" s="462"/>
      <c r="AC71" s="462"/>
      <c r="AD71" s="743"/>
      <c r="AE71" s="864"/>
      <c r="AF71" s="845"/>
      <c r="AG71" s="869"/>
      <c r="AH71" s="462"/>
      <c r="AI71" s="809">
        <f t="shared" si="21"/>
        <v>0</v>
      </c>
      <c r="AJ71" s="462"/>
      <c r="AK71" s="462"/>
      <c r="AL71" s="743"/>
      <c r="AM71" s="864"/>
      <c r="AN71" s="845"/>
      <c r="AO71" s="879">
        <f t="shared" si="22"/>
        <v>0</v>
      </c>
      <c r="AP71" s="462"/>
      <c r="AQ71" s="883">
        <f t="shared" si="23"/>
        <v>37104</v>
      </c>
      <c r="AR71" s="718">
        <f t="shared" si="24"/>
        <v>1946</v>
      </c>
      <c r="AS71" s="718">
        <f>+AS70</f>
        <v>73</v>
      </c>
      <c r="AT71" s="462"/>
      <c r="AU71" s="462"/>
      <c r="AV71" s="718">
        <v>73</v>
      </c>
      <c r="AW71" s="462"/>
      <c r="AX71" s="462"/>
    </row>
    <row r="72" spans="3:50" ht="15.95" customHeight="1" x14ac:dyDescent="0.25">
      <c r="K72">
        <f t="shared" si="18"/>
        <v>8158.2829364428862</v>
      </c>
      <c r="L72" s="964">
        <f>+[5]COMED!$G83</f>
        <v>29.861564993858337</v>
      </c>
      <c r="N72" s="963">
        <f>+TradeSum!DK61*16*Q72</f>
        <v>273.2034619793306</v>
      </c>
      <c r="O72" s="961">
        <v>38626</v>
      </c>
      <c r="P72" s="962">
        <f>+[5]Cinergy!$G83</f>
        <v>30.651564002037048</v>
      </c>
      <c r="Q72" s="50">
        <f>VLOOKUP(O72,Interest!$X$8:$AC$367,6)</f>
        <v>0.81310554160515058</v>
      </c>
      <c r="R72" s="462">
        <f t="shared" si="19"/>
        <v>8374.1134004375472</v>
      </c>
      <c r="S72" s="814">
        <v>37926</v>
      </c>
      <c r="T72" s="718">
        <f t="shared" si="20"/>
        <v>57</v>
      </c>
      <c r="U72" s="718"/>
      <c r="V72" s="718">
        <f t="shared" si="25"/>
        <v>0</v>
      </c>
      <c r="W72" s="718">
        <v>57</v>
      </c>
      <c r="X72" s="462"/>
      <c r="Y72" s="718"/>
      <c r="Z72" s="462"/>
      <c r="AA72" s="462"/>
      <c r="AB72" s="462"/>
      <c r="AC72" s="462"/>
      <c r="AD72" s="743"/>
      <c r="AE72" s="864"/>
      <c r="AF72" s="845"/>
      <c r="AG72" s="869"/>
      <c r="AH72" s="462"/>
      <c r="AI72" s="809">
        <f t="shared" si="21"/>
        <v>0</v>
      </c>
      <c r="AJ72" s="462"/>
      <c r="AK72" s="462"/>
      <c r="AL72" s="743"/>
      <c r="AM72" s="864"/>
      <c r="AN72" s="845"/>
      <c r="AO72" s="879">
        <f t="shared" si="22"/>
        <v>0</v>
      </c>
      <c r="AP72" s="462"/>
      <c r="AQ72" s="883">
        <f t="shared" si="23"/>
        <v>37111</v>
      </c>
      <c r="AR72" s="718">
        <f t="shared" si="24"/>
        <v>2019</v>
      </c>
      <c r="AS72" s="718">
        <f>+AS71</f>
        <v>73</v>
      </c>
      <c r="AT72" s="462"/>
      <c r="AU72" s="462"/>
      <c r="AV72" s="718">
        <v>73</v>
      </c>
      <c r="AW72" s="462"/>
      <c r="AX72" s="462"/>
    </row>
    <row r="73" spans="3:50" ht="15.95" customHeight="1" x14ac:dyDescent="0.25">
      <c r="K73">
        <f t="shared" si="18"/>
        <v>8747.5924556505779</v>
      </c>
      <c r="L73" s="964">
        <f>+[5]COMED!$G84</f>
        <v>30.71156919002533</v>
      </c>
      <c r="N73" s="963">
        <f>+TradeSum!DK62*16*Q73</f>
        <v>284.83052759452187</v>
      </c>
      <c r="O73" s="961">
        <v>38657</v>
      </c>
      <c r="P73" s="962">
        <f>+[5]Cinergy!$G84</f>
        <v>30.751562476158142</v>
      </c>
      <c r="Q73" s="50">
        <f>VLOOKUP(O73,Interest!$X$8:$AC$367,6)</f>
        <v>0.80917763521170982</v>
      </c>
      <c r="R73" s="462">
        <f t="shared" si="19"/>
        <v>8758.983764440025</v>
      </c>
      <c r="S73" s="814">
        <v>37956</v>
      </c>
      <c r="T73" s="718">
        <f t="shared" si="20"/>
        <v>58</v>
      </c>
      <c r="U73" s="718">
        <f>SUM(T62:T73)</f>
        <v>723</v>
      </c>
      <c r="V73" s="718">
        <f t="shared" si="25"/>
        <v>0</v>
      </c>
      <c r="W73" s="718">
        <v>58</v>
      </c>
      <c r="X73" s="462"/>
      <c r="Y73" s="718">
        <f>SUM(W62:W73)</f>
        <v>723</v>
      </c>
      <c r="Z73" s="462"/>
      <c r="AA73" s="462"/>
      <c r="AB73" s="462"/>
      <c r="AC73" s="462"/>
      <c r="AD73" s="743"/>
      <c r="AE73" s="864"/>
      <c r="AF73" s="845"/>
      <c r="AG73" s="869"/>
      <c r="AH73" s="462"/>
      <c r="AI73" s="809">
        <f t="shared" si="21"/>
        <v>0</v>
      </c>
      <c r="AJ73" s="462"/>
      <c r="AK73" s="462"/>
      <c r="AL73" s="743"/>
      <c r="AM73" s="864"/>
      <c r="AN73" s="845"/>
      <c r="AO73" s="879">
        <f t="shared" si="22"/>
        <v>0</v>
      </c>
      <c r="AP73" s="462"/>
      <c r="AQ73" s="883">
        <f t="shared" si="23"/>
        <v>37118</v>
      </c>
      <c r="AR73" s="718">
        <f t="shared" si="24"/>
        <v>2093</v>
      </c>
      <c r="AS73" s="718">
        <f>+AS72+1</f>
        <v>74</v>
      </c>
      <c r="AT73" s="462"/>
      <c r="AU73" s="462"/>
      <c r="AV73" s="718">
        <v>74</v>
      </c>
      <c r="AW73" s="462"/>
      <c r="AX73" s="462"/>
    </row>
    <row r="74" spans="3:50" ht="15.95" customHeight="1" x14ac:dyDescent="0.25">
      <c r="J74" s="964">
        <f>SUM(K63:K74)/SUM(N63:N74)</f>
        <v>33.545713113324958</v>
      </c>
      <c r="K74">
        <f t="shared" si="18"/>
        <v>8796.8335530093227</v>
      </c>
      <c r="L74" s="964">
        <f>+[5]COMED!$G85</f>
        <v>31.038711729503813</v>
      </c>
      <c r="M74" s="964">
        <f>SUM(R63:R74)/SUM(N63:N74)</f>
        <v>34.378327347088764</v>
      </c>
      <c r="N74" s="963">
        <f>+TradeSum!DK63*16*Q74</f>
        <v>283.41490554350236</v>
      </c>
      <c r="O74" s="961">
        <v>38687</v>
      </c>
      <c r="P74" s="962">
        <f>+[5]Cinergy!$G85</f>
        <v>31.570713224865141</v>
      </c>
      <c r="Q74" s="50">
        <f>VLOOKUP(O74,Interest!$X$8:$AC$367,6)</f>
        <v>0.8051559816576771</v>
      </c>
      <c r="R74" s="462">
        <f t="shared" si="19"/>
        <v>8947.6107065661545</v>
      </c>
      <c r="S74" s="814">
        <v>37987</v>
      </c>
      <c r="T74" s="718">
        <f t="shared" si="20"/>
        <v>0</v>
      </c>
      <c r="U74" s="718"/>
      <c r="V74" s="718">
        <f>+AA$40/12.2</f>
        <v>0</v>
      </c>
      <c r="W74" s="718">
        <v>0</v>
      </c>
      <c r="X74" s="462"/>
      <c r="Y74" s="718"/>
      <c r="Z74" s="462"/>
      <c r="AA74" s="462"/>
      <c r="AB74" s="462"/>
      <c r="AC74" s="462"/>
      <c r="AD74" s="743"/>
      <c r="AE74" s="864"/>
      <c r="AF74" s="845"/>
      <c r="AG74" s="869"/>
      <c r="AH74" s="462"/>
      <c r="AI74" s="809">
        <f t="shared" si="21"/>
        <v>0</v>
      </c>
      <c r="AJ74" s="462"/>
      <c r="AK74" s="462"/>
      <c r="AL74" s="743"/>
      <c r="AM74" s="864"/>
      <c r="AN74" s="845"/>
      <c r="AO74" s="879">
        <f t="shared" si="22"/>
        <v>0</v>
      </c>
      <c r="AP74" s="462"/>
      <c r="AQ74" s="883">
        <f t="shared" si="23"/>
        <v>37125</v>
      </c>
      <c r="AR74" s="718">
        <f t="shared" si="24"/>
        <v>2170</v>
      </c>
      <c r="AS74" s="718">
        <f>+AS73+3</f>
        <v>77</v>
      </c>
      <c r="AT74" s="462"/>
      <c r="AU74" s="462"/>
      <c r="AV74" s="718">
        <v>77</v>
      </c>
      <c r="AW74" s="462"/>
      <c r="AX74" s="462"/>
    </row>
    <row r="75" spans="3:50" ht="15.95" customHeight="1" x14ac:dyDescent="0.25">
      <c r="K75">
        <f t="shared" si="18"/>
        <v>7813.8711888001799</v>
      </c>
      <c r="L75" s="964">
        <f>+[5]COMED!$G86</f>
        <v>30.480709257579985</v>
      </c>
      <c r="N75" s="963">
        <f>+TradeSum!DK64*16*Q75</f>
        <v>256.35463803576079</v>
      </c>
      <c r="O75" s="961">
        <v>38718</v>
      </c>
      <c r="P75" s="962">
        <f>+[5]Cinergy!$G86</f>
        <v>31.010715666271391</v>
      </c>
      <c r="Q75" s="50">
        <f>VLOOKUP(O75,Interest!$X$8:$AC$367,6)</f>
        <v>0.80110824386175239</v>
      </c>
      <c r="R75" s="462">
        <f t="shared" si="19"/>
        <v>7949.740789856899</v>
      </c>
      <c r="S75" s="814">
        <v>38018</v>
      </c>
      <c r="T75" s="718">
        <f t="shared" si="20"/>
        <v>0</v>
      </c>
      <c r="U75" s="718"/>
      <c r="V75" s="718">
        <f t="shared" ref="V75:V85" si="26">+AA$40/12.2</f>
        <v>0</v>
      </c>
      <c r="W75" s="718">
        <v>0</v>
      </c>
      <c r="X75" s="462"/>
      <c r="Y75" s="718"/>
      <c r="Z75" s="462"/>
      <c r="AA75" s="462"/>
      <c r="AB75" s="462"/>
      <c r="AC75" s="462"/>
      <c r="AD75" s="743"/>
      <c r="AE75" s="864"/>
      <c r="AF75" s="845"/>
      <c r="AG75" s="869"/>
      <c r="AH75" s="462"/>
      <c r="AI75" s="809">
        <f t="shared" si="21"/>
        <v>0</v>
      </c>
      <c r="AJ75" s="462"/>
      <c r="AK75" s="462"/>
      <c r="AL75" s="743"/>
      <c r="AM75" s="864"/>
      <c r="AN75" s="845"/>
      <c r="AO75" s="879">
        <f t="shared" si="22"/>
        <v>0</v>
      </c>
      <c r="AP75" s="462"/>
      <c r="AQ75" s="883">
        <f t="shared" si="23"/>
        <v>37132</v>
      </c>
      <c r="AR75" s="718">
        <f t="shared" si="24"/>
        <v>2250</v>
      </c>
      <c r="AS75" s="718">
        <f>+AS74+3</f>
        <v>80</v>
      </c>
      <c r="AT75" s="462"/>
      <c r="AU75" s="462"/>
      <c r="AV75" s="718">
        <v>80</v>
      </c>
      <c r="AW75" s="462"/>
      <c r="AX75" s="462"/>
    </row>
    <row r="76" spans="3:50" ht="15.95" customHeight="1" x14ac:dyDescent="0.25">
      <c r="K76">
        <f t="shared" si="18"/>
        <v>8639.566049409983</v>
      </c>
      <c r="L76" s="964">
        <f>+[5]COMED!$G87</f>
        <v>29.442679915317271</v>
      </c>
      <c r="N76" s="963">
        <f>+TradeSum!DK65*16*Q76</f>
        <v>293.43680922589294</v>
      </c>
      <c r="O76" s="961">
        <v>38749</v>
      </c>
      <c r="P76" s="962">
        <f>+[5]Cinergy!$G87</f>
        <v>29.47267487991688</v>
      </c>
      <c r="Q76" s="50">
        <f>VLOOKUP(O76,Interest!$X$8:$AC$367,6)</f>
        <v>0.79738263376601348</v>
      </c>
      <c r="R76" s="462">
        <f t="shared" si="19"/>
        <v>8648.3676761149363</v>
      </c>
      <c r="S76" s="814">
        <v>38047</v>
      </c>
      <c r="T76" s="718">
        <f t="shared" si="20"/>
        <v>0</v>
      </c>
      <c r="U76" s="718"/>
      <c r="V76" s="718">
        <f t="shared" si="26"/>
        <v>0</v>
      </c>
      <c r="W76" s="718">
        <v>0</v>
      </c>
      <c r="X76" s="462"/>
      <c r="Y76" s="718"/>
      <c r="Z76" s="462"/>
      <c r="AA76" s="462"/>
      <c r="AB76" s="462"/>
      <c r="AC76" s="462"/>
      <c r="AD76" s="743"/>
      <c r="AE76" s="864"/>
      <c r="AF76" s="845"/>
      <c r="AG76" s="869"/>
      <c r="AH76" s="462"/>
      <c r="AI76" s="809">
        <f t="shared" si="21"/>
        <v>0</v>
      </c>
      <c r="AJ76" s="462"/>
      <c r="AK76" s="462"/>
      <c r="AL76" s="743"/>
      <c r="AM76" s="864"/>
      <c r="AN76" s="845"/>
      <c r="AO76" s="879">
        <f t="shared" si="22"/>
        <v>0</v>
      </c>
      <c r="AP76" s="462"/>
      <c r="AQ76" s="883">
        <f t="shared" si="23"/>
        <v>37139</v>
      </c>
      <c r="AR76" s="718">
        <f t="shared" si="24"/>
        <v>2334</v>
      </c>
      <c r="AS76" s="718">
        <f>+AS75+4</f>
        <v>84</v>
      </c>
      <c r="AT76" s="462"/>
      <c r="AU76" s="462"/>
      <c r="AV76" s="718">
        <v>84</v>
      </c>
      <c r="AW76" s="462"/>
      <c r="AX76" s="462"/>
    </row>
    <row r="77" spans="3:50" ht="15.95" customHeight="1" x14ac:dyDescent="0.25">
      <c r="K77">
        <f t="shared" si="18"/>
        <v>7525.8378739698428</v>
      </c>
      <c r="L77" s="964">
        <f>+[5]COMED!$G88</f>
        <v>29.642680678256724</v>
      </c>
      <c r="N77" s="963">
        <f>+TradeSum!DK66*16*Q77</f>
        <v>253.88519869898741</v>
      </c>
      <c r="O77" s="961">
        <v>38777</v>
      </c>
      <c r="P77" s="962">
        <f>+[5]Cinergy!$G88</f>
        <v>29.672675642856333</v>
      </c>
      <c r="Q77" s="50">
        <f>VLOOKUP(O77,Interest!$X$8:$AC$367,6)</f>
        <v>0.79339124593433563</v>
      </c>
      <c r="R77" s="462">
        <f t="shared" si="19"/>
        <v>7533.4531515171839</v>
      </c>
      <c r="S77" s="814">
        <v>38078</v>
      </c>
      <c r="T77" s="718">
        <f t="shared" si="20"/>
        <v>0</v>
      </c>
      <c r="U77" s="718"/>
      <c r="V77" s="718">
        <f t="shared" si="26"/>
        <v>0</v>
      </c>
      <c r="W77" s="718">
        <v>0</v>
      </c>
      <c r="X77" s="462"/>
      <c r="Y77" s="718"/>
      <c r="Z77" s="462"/>
      <c r="AA77" s="462"/>
      <c r="AB77" s="462"/>
      <c r="AC77" s="462"/>
      <c r="AD77" s="743"/>
      <c r="AE77" s="864"/>
      <c r="AF77" s="845"/>
      <c r="AG77" s="869"/>
      <c r="AH77" s="462"/>
      <c r="AI77" s="809">
        <f t="shared" si="21"/>
        <v>0</v>
      </c>
      <c r="AJ77" s="462"/>
      <c r="AK77" s="462"/>
      <c r="AL77" s="743"/>
      <c r="AM77" s="864"/>
      <c r="AN77" s="845"/>
      <c r="AO77" s="879">
        <f t="shared" si="22"/>
        <v>0</v>
      </c>
      <c r="AP77" s="462"/>
      <c r="AQ77" s="883">
        <f t="shared" si="23"/>
        <v>37146</v>
      </c>
      <c r="AR77" s="718">
        <f t="shared" si="24"/>
        <v>2422</v>
      </c>
      <c r="AS77" s="718">
        <f>+AS76+4</f>
        <v>88</v>
      </c>
      <c r="AT77" s="462"/>
      <c r="AU77" s="462"/>
      <c r="AV77" s="718">
        <v>88</v>
      </c>
      <c r="AW77" s="462"/>
      <c r="AX77" s="462"/>
    </row>
    <row r="78" spans="3:50" ht="15.95" customHeight="1" x14ac:dyDescent="0.25">
      <c r="K78">
        <f t="shared" si="18"/>
        <v>8487.9173700314695</v>
      </c>
      <c r="L78" s="964">
        <f>+[5]COMED!$G89</f>
        <v>30.544990539550781</v>
      </c>
      <c r="N78" s="963">
        <f>+TradeSum!DK67*16*Q78</f>
        <v>277.88246845390245</v>
      </c>
      <c r="O78" s="961">
        <v>38808</v>
      </c>
      <c r="P78" s="962">
        <f>+[5]Cinergy!$G89</f>
        <v>31.575002670288086</v>
      </c>
      <c r="Q78" s="50">
        <f>VLOOKUP(O78,Interest!$X$8:$AC$367,6)</f>
        <v>0.78943883083495014</v>
      </c>
      <c r="R78" s="462">
        <f t="shared" si="19"/>
        <v>8774.1396834582138</v>
      </c>
      <c r="S78" s="814">
        <v>38108</v>
      </c>
      <c r="T78" s="718">
        <f t="shared" si="20"/>
        <v>0</v>
      </c>
      <c r="U78" s="718"/>
      <c r="V78" s="718">
        <f t="shared" si="26"/>
        <v>0</v>
      </c>
      <c r="W78" s="718">
        <v>0</v>
      </c>
      <c r="X78" s="462"/>
      <c r="Y78" s="718"/>
      <c r="Z78" s="462"/>
      <c r="AA78" s="462"/>
      <c r="AB78" s="462"/>
      <c r="AC78" s="462"/>
      <c r="AD78" s="743"/>
      <c r="AE78" s="864"/>
      <c r="AF78" s="845"/>
      <c r="AG78" s="869"/>
      <c r="AH78" s="462"/>
      <c r="AI78" s="809">
        <f t="shared" si="21"/>
        <v>0</v>
      </c>
      <c r="AJ78" s="462"/>
      <c r="AK78" s="462"/>
      <c r="AL78" s="743"/>
      <c r="AM78" s="864"/>
      <c r="AN78" s="845"/>
      <c r="AO78" s="879">
        <f t="shared" si="22"/>
        <v>0</v>
      </c>
      <c r="AP78" s="462"/>
      <c r="AQ78" s="883">
        <f t="shared" si="23"/>
        <v>37153</v>
      </c>
      <c r="AR78" s="718">
        <f t="shared" si="24"/>
        <v>2514</v>
      </c>
      <c r="AS78" s="718">
        <f>+AS77+4</f>
        <v>92</v>
      </c>
      <c r="AT78" s="462"/>
      <c r="AU78" s="462"/>
      <c r="AV78" s="718">
        <v>92</v>
      </c>
      <c r="AW78" s="462"/>
      <c r="AX78" s="462"/>
    </row>
    <row r="79" spans="3:50" ht="15.95" customHeight="1" x14ac:dyDescent="0.25">
      <c r="K79">
        <f t="shared" si="18"/>
        <v>10416.994161084136</v>
      </c>
      <c r="L79" s="964">
        <f>+[5]COMED!$G90</f>
        <v>37.680007934570313</v>
      </c>
      <c r="N79" s="963">
        <f>+TradeSum!DK68*16*Q79</f>
        <v>276.45944712041438</v>
      </c>
      <c r="O79" s="961">
        <v>38838</v>
      </c>
      <c r="P79" s="962">
        <f>+[5]Cinergy!$G90</f>
        <v>38.960010528564453</v>
      </c>
      <c r="Q79" s="50">
        <f>VLOOKUP(O79,Interest!$X$8:$AC$367,6)</f>
        <v>0.78539615659208628</v>
      </c>
      <c r="R79" s="462">
        <f t="shared" si="19"/>
        <v>10770.862970532453</v>
      </c>
      <c r="S79" s="814">
        <v>38139</v>
      </c>
      <c r="T79" s="718">
        <f t="shared" si="20"/>
        <v>0</v>
      </c>
      <c r="U79" s="718"/>
      <c r="V79" s="718">
        <f t="shared" si="26"/>
        <v>0</v>
      </c>
      <c r="W79" s="718">
        <v>0</v>
      </c>
      <c r="X79" s="462"/>
      <c r="Y79" s="718"/>
      <c r="Z79" s="462"/>
      <c r="AA79" s="462"/>
      <c r="AB79" s="462"/>
      <c r="AC79" s="462"/>
      <c r="AD79" s="743"/>
      <c r="AE79" s="864"/>
      <c r="AF79" s="845"/>
      <c r="AG79" s="869"/>
      <c r="AH79" s="462"/>
      <c r="AI79" s="809">
        <f t="shared" si="21"/>
        <v>0</v>
      </c>
      <c r="AJ79" s="462"/>
      <c r="AK79" s="462"/>
      <c r="AL79" s="743"/>
      <c r="AM79" s="864"/>
      <c r="AN79" s="845"/>
      <c r="AO79" s="879">
        <f t="shared" si="22"/>
        <v>0</v>
      </c>
      <c r="AP79" s="462"/>
      <c r="AQ79" s="883">
        <f t="shared" si="23"/>
        <v>37160</v>
      </c>
      <c r="AR79" s="718">
        <f t="shared" si="24"/>
        <v>2608</v>
      </c>
      <c r="AS79" s="718">
        <f>+AS78+2</f>
        <v>94</v>
      </c>
      <c r="AT79" s="462"/>
      <c r="AU79" s="462"/>
      <c r="AV79" s="718">
        <v>94</v>
      </c>
      <c r="AW79" s="462"/>
      <c r="AX79" s="462"/>
    </row>
    <row r="80" spans="3:50" ht="15.95" customHeight="1" x14ac:dyDescent="0.25">
      <c r="K80">
        <f t="shared" si="18"/>
        <v>12339.181830941399</v>
      </c>
      <c r="L80" s="964">
        <f>+[5]COMED!$G91</f>
        <v>49.344997406005859</v>
      </c>
      <c r="N80" s="963">
        <f>+TradeSum!DK69*16*Q80</f>
        <v>250.05942809999172</v>
      </c>
      <c r="O80" s="961">
        <v>38869</v>
      </c>
      <c r="P80" s="962">
        <f>+[5]Cinergy!$G91</f>
        <v>50.875</v>
      </c>
      <c r="Q80" s="50">
        <f>VLOOKUP(O80,Interest!$X$8:$AC$367,6)</f>
        <v>0.78143571281247415</v>
      </c>
      <c r="R80" s="462">
        <f t="shared" si="19"/>
        <v>12721.773404587078</v>
      </c>
      <c r="S80" s="814">
        <v>38169</v>
      </c>
      <c r="T80" s="718">
        <f t="shared" si="20"/>
        <v>0</v>
      </c>
      <c r="U80" s="718"/>
      <c r="V80" s="718">
        <f t="shared" si="26"/>
        <v>0</v>
      </c>
      <c r="W80" s="718">
        <v>0</v>
      </c>
      <c r="X80" s="462"/>
      <c r="Y80" s="718"/>
      <c r="Z80" s="462"/>
      <c r="AA80" s="462"/>
      <c r="AB80" s="462"/>
      <c r="AC80" s="462"/>
      <c r="AD80" s="743"/>
      <c r="AE80" s="864"/>
      <c r="AF80" s="845"/>
      <c r="AG80" s="869"/>
      <c r="AH80" s="462"/>
      <c r="AI80" s="809">
        <f t="shared" si="21"/>
        <v>0</v>
      </c>
      <c r="AJ80" s="462"/>
      <c r="AK80" s="462"/>
      <c r="AL80" s="743"/>
      <c r="AM80" s="864"/>
      <c r="AN80" s="845"/>
      <c r="AO80" s="879">
        <f t="shared" si="22"/>
        <v>0</v>
      </c>
      <c r="AP80" s="462"/>
      <c r="AQ80" s="883">
        <f t="shared" si="23"/>
        <v>37167</v>
      </c>
      <c r="AR80" s="718">
        <f t="shared" si="24"/>
        <v>2701</v>
      </c>
      <c r="AS80" s="718">
        <f>+AS79-1</f>
        <v>93</v>
      </c>
      <c r="AT80" s="462"/>
      <c r="AU80" s="462"/>
      <c r="AV80" s="718">
        <v>93</v>
      </c>
      <c r="AW80" s="462"/>
      <c r="AX80" s="462"/>
    </row>
    <row r="81" spans="10:50" ht="15.95" customHeight="1" x14ac:dyDescent="0.25">
      <c r="K81">
        <f t="shared" si="18"/>
        <v>14116.528071416029</v>
      </c>
      <c r="L81" s="964">
        <f>+[5]COMED!$G92</f>
        <v>49.344997406005859</v>
      </c>
      <c r="N81" s="963">
        <f>+TradeSum!DK70*16*Q81</f>
        <v>286.07820069918341</v>
      </c>
      <c r="O81" s="961">
        <v>38899</v>
      </c>
      <c r="P81" s="962">
        <f>+[5]Cinergy!$G92</f>
        <v>50.875</v>
      </c>
      <c r="Q81" s="50">
        <f>VLOOKUP(O81,Interest!$X$8:$AC$367,6)</f>
        <v>0.77738641494343319</v>
      </c>
      <c r="R81" s="462">
        <f t="shared" si="19"/>
        <v>14554.228460570956</v>
      </c>
      <c r="S81" s="814">
        <v>38200</v>
      </c>
      <c r="T81" s="718">
        <f t="shared" si="20"/>
        <v>0</v>
      </c>
      <c r="U81" s="718"/>
      <c r="V81" s="718">
        <f t="shared" si="26"/>
        <v>0</v>
      </c>
      <c r="W81" s="718">
        <v>0</v>
      </c>
      <c r="X81" s="462"/>
      <c r="Y81" s="718"/>
      <c r="Z81" s="462"/>
      <c r="AA81" s="462"/>
      <c r="AB81" s="462"/>
      <c r="AC81" s="462"/>
      <c r="AD81" s="743"/>
      <c r="AE81" s="864"/>
      <c r="AF81" s="845"/>
      <c r="AG81" s="869"/>
      <c r="AH81" s="462"/>
      <c r="AI81" s="809">
        <f t="shared" si="21"/>
        <v>0</v>
      </c>
      <c r="AJ81" s="462"/>
      <c r="AK81" s="462"/>
      <c r="AL81" s="743"/>
      <c r="AM81" s="864"/>
      <c r="AN81" s="845"/>
      <c r="AO81" s="880">
        <f t="shared" si="22"/>
        <v>0</v>
      </c>
      <c r="AP81" s="462"/>
      <c r="AQ81" s="883">
        <f t="shared" si="23"/>
        <v>37174</v>
      </c>
      <c r="AR81" s="718">
        <f t="shared" si="24"/>
        <v>2789</v>
      </c>
      <c r="AS81" s="718">
        <f>+AS80-5</f>
        <v>88</v>
      </c>
      <c r="AT81" s="462"/>
      <c r="AU81" s="462"/>
      <c r="AV81" s="718">
        <v>88</v>
      </c>
      <c r="AW81" s="462"/>
      <c r="AX81" s="462"/>
    </row>
    <row r="82" spans="10:50" ht="15.95" customHeight="1" x14ac:dyDescent="0.25">
      <c r="K82">
        <f t="shared" si="18"/>
        <v>6949.8990675249715</v>
      </c>
      <c r="L82" s="964">
        <f>+[5]COMED!$G93</f>
        <v>28.084995269775391</v>
      </c>
      <c r="N82" s="963">
        <f>+TradeSum!DK71*16*Q82</f>
        <v>247.45950642919775</v>
      </c>
      <c r="O82" s="961">
        <v>38930</v>
      </c>
      <c r="P82" s="962">
        <f>+[5]Cinergy!$G93</f>
        <v>28.614999771118164</v>
      </c>
      <c r="Q82" s="50">
        <f>VLOOKUP(O82,Interest!$X$8:$AC$367,6)</f>
        <v>0.77331095759124291</v>
      </c>
      <c r="R82" s="462">
        <f t="shared" si="19"/>
        <v>7081.0537198325073</v>
      </c>
      <c r="S82" s="814">
        <v>38231</v>
      </c>
      <c r="T82" s="718">
        <f t="shared" si="20"/>
        <v>0</v>
      </c>
      <c r="U82" s="718"/>
      <c r="V82" s="718">
        <f t="shared" si="26"/>
        <v>0</v>
      </c>
      <c r="W82" s="718">
        <v>0</v>
      </c>
      <c r="X82" s="462"/>
      <c r="Y82" s="718"/>
      <c r="Z82" s="462"/>
      <c r="AA82" s="462"/>
      <c r="AB82" s="462"/>
      <c r="AC82" s="462"/>
      <c r="AD82" s="867">
        <f>SUM(AD57:AD81)</f>
        <v>0</v>
      </c>
      <c r="AE82" s="865"/>
      <c r="AF82" s="872"/>
      <c r="AG82" s="870"/>
      <c r="AH82" s="462"/>
      <c r="AI82" s="875">
        <f>SUM(AI57:AI81)</f>
        <v>5.0000000000007567</v>
      </c>
      <c r="AJ82" s="462"/>
      <c r="AK82" s="462"/>
      <c r="AL82" s="867">
        <f>SUM(AL57:AL81)</f>
        <v>3</v>
      </c>
      <c r="AM82" s="865"/>
      <c r="AN82" s="872"/>
      <c r="AO82" s="875">
        <f>SUM(AO57:AO81)</f>
        <v>-20</v>
      </c>
      <c r="AP82" s="462"/>
      <c r="AQ82" s="883">
        <f t="shared" si="23"/>
        <v>37181</v>
      </c>
      <c r="AR82" s="718">
        <f t="shared" si="24"/>
        <v>2869</v>
      </c>
      <c r="AS82" s="553">
        <f>+AS81-8</f>
        <v>80</v>
      </c>
      <c r="AV82" s="553">
        <v>80</v>
      </c>
    </row>
    <row r="83" spans="10:50" ht="15.95" customHeight="1" x14ac:dyDescent="0.25">
      <c r="K83">
        <f t="shared" si="18"/>
        <v>7989.2560850174041</v>
      </c>
      <c r="L83" s="964">
        <f>+[5]COMED!$G94</f>
        <v>29.501570105552673</v>
      </c>
      <c r="N83" s="963">
        <f>+TradeSum!DK72*16*Q83</f>
        <v>270.80782671677861</v>
      </c>
      <c r="O83" s="961">
        <v>38961</v>
      </c>
      <c r="P83" s="962">
        <f>+[5]Cinergy!$G94</f>
        <v>30.231563925743103</v>
      </c>
      <c r="Q83" s="50">
        <f>VLOOKUP(O83,Interest!$X$8:$AC$367,6)</f>
        <v>0.76934041680903009</v>
      </c>
      <c r="R83" s="462">
        <f t="shared" si="19"/>
        <v>8186.9441249798538</v>
      </c>
      <c r="S83" s="814">
        <v>38261</v>
      </c>
      <c r="T83" s="718">
        <f t="shared" si="20"/>
        <v>0</v>
      </c>
      <c r="U83" s="553"/>
      <c r="V83" s="718">
        <f t="shared" si="26"/>
        <v>0</v>
      </c>
      <c r="W83" s="718">
        <v>0</v>
      </c>
      <c r="Y83" s="553"/>
      <c r="AD83" s="862"/>
      <c r="AE83" s="862"/>
      <c r="AF83" s="862"/>
      <c r="AG83" s="862"/>
      <c r="AQ83" s="883">
        <f t="shared" si="23"/>
        <v>37188</v>
      </c>
      <c r="AR83" s="718">
        <f t="shared" si="24"/>
        <v>2937</v>
      </c>
      <c r="AS83" s="553">
        <f>+AS82-12</f>
        <v>68</v>
      </c>
      <c r="AV83" s="553">
        <v>68</v>
      </c>
    </row>
    <row r="84" spans="10:50" ht="15.95" customHeight="1" x14ac:dyDescent="0.25">
      <c r="K84">
        <f t="shared" si="18"/>
        <v>7638.7586141546099</v>
      </c>
      <c r="L84" s="964">
        <f>+[5]COMED!$G95</f>
        <v>29.701557517051697</v>
      </c>
      <c r="N84" s="963">
        <f>+TradeSum!DK73*16*Q84</f>
        <v>257.18377259405304</v>
      </c>
      <c r="O84" s="961">
        <v>38991</v>
      </c>
      <c r="P84" s="962">
        <f>+[5]Cinergy!$G95</f>
        <v>30.331562399864197</v>
      </c>
      <c r="Q84" s="50">
        <f>VLOOKUP(O84,Interest!$X$8:$AC$367,6)</f>
        <v>0.76542789462515781</v>
      </c>
      <c r="R84" s="462">
        <f t="shared" si="19"/>
        <v>7800.7856466690037</v>
      </c>
      <c r="S84" s="814">
        <v>38292</v>
      </c>
      <c r="T84" s="718">
        <f t="shared" si="20"/>
        <v>0</v>
      </c>
      <c r="U84" s="553"/>
      <c r="V84" s="718">
        <f t="shared" si="26"/>
        <v>0</v>
      </c>
      <c r="W84" s="718">
        <v>0</v>
      </c>
      <c r="Y84" s="553"/>
      <c r="AD84" s="862"/>
      <c r="AE84" s="862"/>
      <c r="AF84" s="862"/>
      <c r="AG84" s="862"/>
      <c r="AQ84" s="883">
        <f t="shared" si="23"/>
        <v>37195</v>
      </c>
      <c r="AR84" s="718">
        <f>+AR83+AS84</f>
        <v>2991</v>
      </c>
      <c r="AS84" s="553">
        <f>+AS83-14</f>
        <v>54</v>
      </c>
      <c r="AV84" s="553">
        <v>54</v>
      </c>
    </row>
    <row r="85" spans="10:50" ht="15.95" customHeight="1" x14ac:dyDescent="0.25">
      <c r="K85">
        <f t="shared" si="18"/>
        <v>7446.5673432175463</v>
      </c>
      <c r="L85" s="964">
        <f>+[5]COMED!$G96</f>
        <v>30.551563620567322</v>
      </c>
      <c r="N85" s="963">
        <f>+TradeSum!DK74*16*Q85</f>
        <v>243.73768346849897</v>
      </c>
      <c r="O85" s="961">
        <v>39022</v>
      </c>
      <c r="P85" s="962">
        <f>+[5]Cinergy!$G96</f>
        <v>30.431560873985291</v>
      </c>
      <c r="Q85" s="50">
        <f>VLOOKUP(O85,Interest!$X$8:$AC$367,6)</f>
        <v>0.76168026083905926</v>
      </c>
      <c r="R85" s="462">
        <f t="shared" si="19"/>
        <v>7417.318151755785</v>
      </c>
      <c r="S85" s="814">
        <v>38322</v>
      </c>
      <c r="T85" s="718">
        <f t="shared" si="20"/>
        <v>0</v>
      </c>
      <c r="U85" s="718">
        <f>SUM(T74:T85)</f>
        <v>0</v>
      </c>
      <c r="V85" s="718">
        <f t="shared" si="26"/>
        <v>0</v>
      </c>
      <c r="W85" s="718">
        <v>0</v>
      </c>
      <c r="Y85" s="718">
        <f>SUM(W74:W85)</f>
        <v>0</v>
      </c>
      <c r="AD85" s="862"/>
      <c r="AE85" s="862"/>
      <c r="AF85" s="862"/>
      <c r="AG85" s="862"/>
      <c r="AQ85" s="883">
        <f t="shared" si="23"/>
        <v>37202</v>
      </c>
      <c r="AR85" s="718">
        <f>+AR84+AS85</f>
        <v>3029</v>
      </c>
      <c r="AS85" s="553">
        <f>+AS84-16</f>
        <v>38</v>
      </c>
      <c r="AV85" s="553">
        <v>38</v>
      </c>
    </row>
    <row r="86" spans="10:50" ht="15.95" customHeight="1" x14ac:dyDescent="0.25">
      <c r="J86" s="964">
        <f>SUM(K75:K86)/SUM(N75:N86)</f>
        <v>33.855150840533476</v>
      </c>
      <c r="K86">
        <f t="shared" si="18"/>
        <v>8298.6022672512354</v>
      </c>
      <c r="L86" s="964">
        <f>+[5]COMED!$G97</f>
        <v>31.108711424328032</v>
      </c>
      <c r="M86" s="964">
        <f>SUM(R75:R86)/SUM(N75:N86)</f>
        <v>34.535270727336403</v>
      </c>
      <c r="N86" s="963">
        <f>+TradeSum!DK75*16*Q86</f>
        <v>266.76136320971034</v>
      </c>
      <c r="O86" s="961">
        <v>39052</v>
      </c>
      <c r="P86" s="962">
        <f>+[5]Cinergy!$G97</f>
        <v>31.440706434704008</v>
      </c>
      <c r="Q86" s="50">
        <f>VLOOKUP(O86,Interest!$X$8:$AC$367,6)</f>
        <v>0.75784478184576798</v>
      </c>
      <c r="R86" s="462">
        <f t="shared" si="19"/>
        <v>8387.1657087979529</v>
      </c>
      <c r="S86" s="814">
        <v>38353</v>
      </c>
      <c r="T86" s="718">
        <f t="shared" si="20"/>
        <v>0</v>
      </c>
      <c r="U86" s="553"/>
      <c r="V86" s="718">
        <f>+AA$40/12.7</f>
        <v>0</v>
      </c>
      <c r="W86" s="718">
        <v>0</v>
      </c>
      <c r="Y86" s="553"/>
      <c r="AD86" s="862"/>
      <c r="AE86" s="862"/>
      <c r="AF86" s="862"/>
      <c r="AG86" s="862"/>
      <c r="AQ86" s="553"/>
      <c r="AR86" s="553"/>
      <c r="AS86" s="553"/>
    </row>
    <row r="87" spans="10:50" ht="15.95" customHeight="1" x14ac:dyDescent="0.25">
      <c r="K87">
        <f t="shared" si="18"/>
        <v>7371.2289386790062</v>
      </c>
      <c r="L87" s="964">
        <f>+[5]COMED!$G98</f>
        <v>30.550712767101469</v>
      </c>
      <c r="N87" s="963">
        <f>+TradeSum!DK76*16*Q87</f>
        <v>241.27846033814023</v>
      </c>
      <c r="O87" s="961">
        <v>39083</v>
      </c>
      <c r="P87" s="962">
        <f>+[5]Cinergy!$G98</f>
        <v>30.880710783458891</v>
      </c>
      <c r="Q87" s="50">
        <f>VLOOKUP(O87,Interest!$X$8:$AC$367,6)</f>
        <v>0.75399518855668823</v>
      </c>
      <c r="R87" s="462">
        <f t="shared" si="19"/>
        <v>7450.8503519803653</v>
      </c>
      <c r="S87" s="814">
        <v>38384</v>
      </c>
      <c r="T87" s="718">
        <f t="shared" si="20"/>
        <v>0</v>
      </c>
      <c r="U87" s="553"/>
      <c r="V87" s="718">
        <f t="shared" ref="V87:V97" si="27">+AA$40/12.7</f>
        <v>0</v>
      </c>
      <c r="W87" s="718">
        <v>0</v>
      </c>
      <c r="Y87" s="553"/>
      <c r="AD87" s="862"/>
      <c r="AE87" s="862"/>
      <c r="AF87" s="862"/>
      <c r="AG87" s="862"/>
      <c r="AQ87" s="553"/>
      <c r="AR87" s="553"/>
      <c r="AS87" s="553"/>
    </row>
    <row r="88" spans="10:50" ht="15.95" customHeight="1" x14ac:dyDescent="0.25">
      <c r="K88">
        <f t="shared" si="18"/>
        <v>7796.211782483384</v>
      </c>
      <c r="L88" s="964">
        <f>+[5]COMED!$G99</f>
        <v>29.512677702792857</v>
      </c>
      <c r="N88" s="963">
        <f>+TradeSum!DK77*16*Q88</f>
        <v>264.16483997131883</v>
      </c>
      <c r="O88" s="961">
        <v>39114</v>
      </c>
      <c r="P88" s="962">
        <f>+[5]Cinergy!$G99</f>
        <v>29.342675719150279</v>
      </c>
      <c r="Q88" s="50">
        <f>VLOOKUP(O88,Interest!$X$8:$AC$367,6)</f>
        <v>0.75046829537306492</v>
      </c>
      <c r="R88" s="462">
        <f t="shared" si="19"/>
        <v>7751.3032356796357</v>
      </c>
      <c r="S88" s="814">
        <v>38412</v>
      </c>
      <c r="T88" s="718">
        <f t="shared" si="20"/>
        <v>0</v>
      </c>
      <c r="U88" s="553"/>
      <c r="V88" s="718">
        <f t="shared" si="27"/>
        <v>0</v>
      </c>
      <c r="W88" s="718">
        <v>0</v>
      </c>
      <c r="Y88" s="553"/>
      <c r="AD88" s="862"/>
      <c r="AE88" s="862"/>
      <c r="AF88" s="862"/>
      <c r="AG88" s="862"/>
      <c r="AQ88" s="553"/>
      <c r="AR88" s="553"/>
      <c r="AS88" s="553"/>
    </row>
    <row r="89" spans="10:50" ht="15.95" customHeight="1" x14ac:dyDescent="0.25">
      <c r="K89">
        <f t="shared" si="18"/>
        <v>7454.4181559304152</v>
      </c>
      <c r="L89" s="964">
        <f>+[5]COMED!$G100</f>
        <v>29.712674651035044</v>
      </c>
      <c r="N89" s="963">
        <f>+TradeSum!DK78*16*Q89</f>
        <v>250.88344430381798</v>
      </c>
      <c r="O89" s="961">
        <v>39142</v>
      </c>
      <c r="P89" s="962">
        <f>+[5]Cinergy!$G100</f>
        <v>29.542676482089732</v>
      </c>
      <c r="Q89" s="50">
        <f>VLOOKUP(O89,Interest!$X$8:$AC$367,6)</f>
        <v>0.74667691757088683</v>
      </c>
      <c r="R89" s="462">
        <f t="shared" si="19"/>
        <v>7411.7684297800724</v>
      </c>
      <c r="S89" s="814">
        <v>38443</v>
      </c>
      <c r="T89" s="718">
        <f t="shared" si="20"/>
        <v>0</v>
      </c>
      <c r="U89" s="553"/>
      <c r="V89" s="718">
        <f t="shared" si="27"/>
        <v>0</v>
      </c>
      <c r="W89" s="718">
        <v>0</v>
      </c>
      <c r="Y89" s="553"/>
      <c r="AD89" s="862"/>
      <c r="AE89" s="862"/>
      <c r="AF89" s="862"/>
      <c r="AG89" s="862"/>
    </row>
    <row r="90" spans="10:50" ht="15.95" customHeight="1" x14ac:dyDescent="0.25">
      <c r="K90">
        <f t="shared" si="18"/>
        <v>8137.062663615352</v>
      </c>
      <c r="L90" s="964">
        <f>+[5]COMED!$G101</f>
        <v>31.115001678466797</v>
      </c>
      <c r="N90" s="963">
        <f>+TradeSum!DK79*16*Q90</f>
        <v>261.51573918270503</v>
      </c>
      <c r="O90" s="961">
        <v>39173</v>
      </c>
      <c r="P90" s="962">
        <f>+[5]Cinergy!$G101</f>
        <v>31.945003509521484</v>
      </c>
      <c r="Q90" s="50">
        <f>VLOOKUP(O90,Interest!$X$8:$AC$367,6)</f>
        <v>0.74294244085995753</v>
      </c>
      <c r="R90" s="462">
        <f t="shared" si="19"/>
        <v>8354.1212059866175</v>
      </c>
      <c r="S90" s="814">
        <v>38473</v>
      </c>
      <c r="T90" s="718">
        <f t="shared" si="20"/>
        <v>0</v>
      </c>
      <c r="U90" s="553"/>
      <c r="V90" s="718">
        <f t="shared" si="27"/>
        <v>0</v>
      </c>
      <c r="W90" s="718">
        <v>0</v>
      </c>
      <c r="Y90" s="553"/>
      <c r="AD90" s="862"/>
      <c r="AE90" s="862"/>
      <c r="AF90" s="862"/>
      <c r="AG90" s="862"/>
    </row>
    <row r="91" spans="10:50" ht="15.95" customHeight="1" x14ac:dyDescent="0.25">
      <c r="K91">
        <f t="shared" si="18"/>
        <v>9491.7606291802749</v>
      </c>
      <c r="L91" s="964">
        <f>+[5]COMED!$G102</f>
        <v>38.220005035400391</v>
      </c>
      <c r="N91" s="963">
        <f>+TradeSum!DK80*16*Q91</f>
        <v>248.34535265991599</v>
      </c>
      <c r="O91" s="961">
        <v>39203</v>
      </c>
      <c r="P91" s="962">
        <f>+[5]Cinergy!$G102</f>
        <v>39.300003051757813</v>
      </c>
      <c r="Q91" s="50">
        <f>VLOOKUP(O91,Interest!$X$8:$AC$367,6)</f>
        <v>0.73912307339260708</v>
      </c>
      <c r="R91" s="462">
        <f t="shared" si="19"/>
        <v>9759.973117424568</v>
      </c>
      <c r="S91" s="814">
        <v>38504</v>
      </c>
      <c r="T91" s="718">
        <f t="shared" si="20"/>
        <v>0</v>
      </c>
      <c r="U91" s="553"/>
      <c r="V91" s="718">
        <f t="shared" si="27"/>
        <v>0</v>
      </c>
      <c r="W91" s="718">
        <v>0</v>
      </c>
      <c r="Y91" s="553"/>
      <c r="AD91" s="862"/>
      <c r="AE91" s="862"/>
      <c r="AF91" s="862"/>
      <c r="AG91" s="862"/>
    </row>
    <row r="92" spans="10:50" ht="15.95" customHeight="1" x14ac:dyDescent="0.25">
      <c r="K92">
        <f t="shared" si="18"/>
        <v>12427.527806755534</v>
      </c>
      <c r="L92" s="964">
        <f>+[5]COMED!$G103</f>
        <v>50.295001983642578</v>
      </c>
      <c r="N92" s="963">
        <f>+TradeSum!DK81*16*Q92</f>
        <v>247.09269940574478</v>
      </c>
      <c r="O92" s="961">
        <v>39234</v>
      </c>
      <c r="P92" s="962">
        <f>+[5]Cinergy!$G103</f>
        <v>51.625</v>
      </c>
      <c r="Q92" s="50">
        <f>VLOOKUP(O92,Interest!$X$8:$AC$367,6)</f>
        <v>0.73539493870757378</v>
      </c>
      <c r="R92" s="462">
        <f t="shared" si="19"/>
        <v>12756.160606821575</v>
      </c>
      <c r="S92" s="814">
        <v>38534</v>
      </c>
      <c r="T92" s="718">
        <f t="shared" si="20"/>
        <v>0</v>
      </c>
      <c r="U92" s="553"/>
      <c r="V92" s="718">
        <f t="shared" si="27"/>
        <v>0</v>
      </c>
      <c r="W92" s="718">
        <v>0</v>
      </c>
      <c r="Y92" s="553"/>
      <c r="AD92" s="862"/>
      <c r="AE92" s="862"/>
      <c r="AF92" s="862"/>
      <c r="AG92" s="862"/>
    </row>
    <row r="93" spans="10:50" ht="15.95" customHeight="1" x14ac:dyDescent="0.25">
      <c r="K93">
        <f t="shared" si="18"/>
        <v>13540.550186757537</v>
      </c>
      <c r="L93" s="964">
        <f>+[5]COMED!$G104</f>
        <v>50.295001983642578</v>
      </c>
      <c r="N93" s="963">
        <f>+TradeSum!DK82*16*Q93</f>
        <v>269.22257983330678</v>
      </c>
      <c r="O93" s="961">
        <v>39264</v>
      </c>
      <c r="P93" s="962">
        <f>+[5]Cinergy!$G104</f>
        <v>51.625</v>
      </c>
      <c r="Q93" s="50">
        <f>VLOOKUP(O93,Interest!$X$8:$AC$367,6)</f>
        <v>0.73158309737311622</v>
      </c>
      <c r="R93" s="462">
        <f t="shared" si="19"/>
        <v>13898.615683894463</v>
      </c>
      <c r="S93" s="814">
        <v>38565</v>
      </c>
      <c r="T93" s="718">
        <f t="shared" si="20"/>
        <v>0</v>
      </c>
      <c r="U93" s="553"/>
      <c r="V93" s="718">
        <f t="shared" si="27"/>
        <v>0</v>
      </c>
      <c r="W93" s="718">
        <v>0</v>
      </c>
      <c r="Y93" s="553"/>
      <c r="AD93" s="862"/>
      <c r="AE93" s="862"/>
      <c r="AF93" s="862"/>
      <c r="AG93" s="862"/>
    </row>
    <row r="94" spans="10:50" ht="15.95" customHeight="1" x14ac:dyDescent="0.25">
      <c r="K94">
        <f t="shared" si="18"/>
        <v>6209.0468382972549</v>
      </c>
      <c r="L94" s="964">
        <f>+[5]COMED!$G105</f>
        <v>28.064994812011719</v>
      </c>
      <c r="N94" s="963">
        <f>+TradeSum!DK83*16*Q94</f>
        <v>221.23812528337987</v>
      </c>
      <c r="O94" s="961">
        <v>39295</v>
      </c>
      <c r="P94" s="962">
        <f>+[5]Cinergy!$G105</f>
        <v>28.394996643066406</v>
      </c>
      <c r="Q94" s="50">
        <f>VLOOKUP(O94,Interest!$X$8:$AC$367,6)</f>
        <v>0.72775699106374958</v>
      </c>
      <c r="R94" s="462">
        <f t="shared" si="19"/>
        <v>6282.0558247398767</v>
      </c>
      <c r="S94" s="814">
        <v>38596</v>
      </c>
      <c r="T94" s="718">
        <f t="shared" si="20"/>
        <v>0</v>
      </c>
      <c r="U94" s="553"/>
      <c r="V94" s="718">
        <f t="shared" si="27"/>
        <v>0</v>
      </c>
      <c r="W94" s="718">
        <v>0</v>
      </c>
      <c r="Y94" s="553"/>
      <c r="AD94" s="862"/>
      <c r="AE94" s="862"/>
      <c r="AF94" s="862"/>
      <c r="AG94" s="862"/>
    </row>
    <row r="95" spans="10:50" ht="15.95" customHeight="1" x14ac:dyDescent="0.25">
      <c r="K95">
        <f t="shared" si="18"/>
        <v>7879.2424980034784</v>
      </c>
      <c r="L95" s="964">
        <f>+[5]COMED!$G106</f>
        <v>29.571569800376892</v>
      </c>
      <c r="N95" s="963">
        <f>+TradeSum!DK84*16*Q95</f>
        <v>266.44654143125865</v>
      </c>
      <c r="O95" s="961">
        <v>39326</v>
      </c>
      <c r="P95" s="962">
        <f>+[5]Cinergy!$G106</f>
        <v>30.101568579673767</v>
      </c>
      <c r="Q95" s="50">
        <f>VLOOKUP(O95,Interest!$X$8:$AC$367,6)</f>
        <v>0.72403951475885509</v>
      </c>
      <c r="R95" s="462">
        <f t="shared" si="19"/>
        <v>8020.4588397099196</v>
      </c>
      <c r="S95" s="814">
        <v>38626</v>
      </c>
      <c r="T95" s="718">
        <f t="shared" si="20"/>
        <v>0</v>
      </c>
      <c r="U95" s="553"/>
      <c r="V95" s="718">
        <f t="shared" si="27"/>
        <v>0</v>
      </c>
      <c r="W95" s="718">
        <v>0</v>
      </c>
      <c r="Y95" s="553"/>
      <c r="AD95" s="862"/>
      <c r="AE95" s="862"/>
      <c r="AF95" s="862"/>
      <c r="AG95" s="862"/>
    </row>
    <row r="96" spans="10:50" ht="15.95" customHeight="1" x14ac:dyDescent="0.25">
      <c r="K96">
        <f t="shared" si="18"/>
        <v>7204.7383522656264</v>
      </c>
      <c r="L96" s="964">
        <f>+[5]COMED!$G107</f>
        <v>29.771562933921814</v>
      </c>
      <c r="N96" s="963">
        <f>+TradeSum!DK85*16*Q96</f>
        <v>242.00067588848432</v>
      </c>
      <c r="O96" s="961">
        <v>39356</v>
      </c>
      <c r="P96" s="962">
        <f>+[5]Cinergy!$G107</f>
        <v>30.201567053794861</v>
      </c>
      <c r="Q96" s="50">
        <f>VLOOKUP(O96,Interest!$X$8:$AC$367,6)</f>
        <v>0.72024010681096529</v>
      </c>
      <c r="R96" s="462">
        <f t="shared" si="19"/>
        <v>7308.7996399097365</v>
      </c>
      <c r="S96" s="814">
        <v>38657</v>
      </c>
      <c r="T96" s="718">
        <f t="shared" si="20"/>
        <v>0</v>
      </c>
      <c r="U96" s="553"/>
      <c r="V96" s="718">
        <f t="shared" si="27"/>
        <v>0</v>
      </c>
      <c r="W96" s="718">
        <v>0</v>
      </c>
      <c r="Y96" s="553"/>
      <c r="AD96" s="862"/>
      <c r="AE96" s="862"/>
      <c r="AF96" s="862"/>
      <c r="AG96" s="862"/>
    </row>
    <row r="97" spans="10:33" ht="15.95" customHeight="1" x14ac:dyDescent="0.25">
      <c r="K97">
        <f t="shared" si="18"/>
        <v>7021.2113410797647</v>
      </c>
      <c r="L97" s="964">
        <f>+[5]COMED!$G108</f>
        <v>30.621569037437439</v>
      </c>
      <c r="N97" s="963">
        <f>+TradeSum!DK86*16*Q97</f>
        <v>229.28973144699881</v>
      </c>
      <c r="O97" s="961">
        <v>39387</v>
      </c>
      <c r="P97" s="962">
        <f>+[5]Cinergy!$G108</f>
        <v>30.301565527915955</v>
      </c>
      <c r="Q97" s="50">
        <f>VLOOKUP(O97,Interest!$X$8:$AC$367,6)</f>
        <v>0.7165304107718713</v>
      </c>
      <c r="R97" s="462">
        <f t="shared" si="19"/>
        <v>6947.8378223194859</v>
      </c>
      <c r="S97" s="814">
        <v>38687</v>
      </c>
      <c r="T97" s="718">
        <f t="shared" si="20"/>
        <v>0</v>
      </c>
      <c r="U97" s="718">
        <f>SUM(T86:T97)</f>
        <v>0</v>
      </c>
      <c r="V97" s="718">
        <f t="shared" si="27"/>
        <v>0</v>
      </c>
      <c r="W97" s="718">
        <v>0</v>
      </c>
      <c r="Y97" s="718">
        <f>SUM(W86:W97)</f>
        <v>0</v>
      </c>
      <c r="AD97" s="862"/>
      <c r="AE97" s="862"/>
      <c r="AF97" s="862"/>
      <c r="AG97" s="862"/>
    </row>
    <row r="98" spans="10:33" ht="15.95" customHeight="1" x14ac:dyDescent="0.25">
      <c r="J98" s="964">
        <f>SUM(K87:K98)/SUM(N87:N98)</f>
        <v>34.208851770767232</v>
      </c>
      <c r="K98">
        <f t="shared" si="18"/>
        <v>7832.2912488851753</v>
      </c>
      <c r="L98" s="964">
        <f>+[5]COMED!$G109</f>
        <v>31.218717756725493</v>
      </c>
      <c r="M98" s="964">
        <f>SUM(R87:R98)/SUM(N87:N98)</f>
        <v>34.695796666150983</v>
      </c>
      <c r="N98" s="963">
        <f>+TradeSum!DK87*16*Q98</f>
        <v>250.88446328638381</v>
      </c>
      <c r="O98" s="961">
        <v>39417</v>
      </c>
      <c r="P98" s="962">
        <f>+[5]Cinergy!$G109</f>
        <v>31.41071909949893</v>
      </c>
      <c r="Q98" s="50">
        <f>VLOOKUP(O98,Interest!$X$8:$AC$367,6)</f>
        <v>0.71273995251813582</v>
      </c>
      <c r="R98" s="462">
        <f t="shared" si="19"/>
        <v>7880.4614027171538</v>
      </c>
      <c r="S98" s="814">
        <v>38718</v>
      </c>
      <c r="T98" s="718">
        <f t="shared" si="20"/>
        <v>0</v>
      </c>
      <c r="U98" s="553"/>
      <c r="V98" s="718"/>
      <c r="W98" s="718">
        <v>0</v>
      </c>
      <c r="Y98" s="553"/>
    </row>
    <row r="99" spans="10:33" ht="15.95" customHeight="1" x14ac:dyDescent="0.25">
      <c r="K99">
        <f t="shared" si="18"/>
        <v>7332.0338879246146</v>
      </c>
      <c r="L99" s="964">
        <f>+[5]COMED!$G110</f>
        <v>30.780712309337797</v>
      </c>
      <c r="N99" s="963">
        <f>+TradeSum!DK88*16*Q99</f>
        <v>238.2022161878408</v>
      </c>
      <c r="O99" s="961">
        <v>39448</v>
      </c>
      <c r="P99" s="962">
        <f>+[5]Cinergy!$G110</f>
        <v>30.970710936046782</v>
      </c>
      <c r="Q99" s="50">
        <f>VLOOKUP(O99,Interest!$X$8:$AC$367,6)</f>
        <v>0.7089351672257167</v>
      </c>
      <c r="R99" s="462">
        <f t="shared" si="19"/>
        <v>7377.2919818793407</v>
      </c>
      <c r="S99" s="814">
        <v>38749</v>
      </c>
      <c r="T99" s="718">
        <f t="shared" si="20"/>
        <v>0</v>
      </c>
      <c r="U99" s="553"/>
      <c r="V99" s="718"/>
      <c r="W99" s="718">
        <v>0</v>
      </c>
      <c r="Y99" s="553"/>
    </row>
    <row r="100" spans="10:33" ht="15.95" customHeight="1" x14ac:dyDescent="0.25">
      <c r="K100">
        <f t="shared" si="18"/>
        <v>7048.857198357141</v>
      </c>
      <c r="L100" s="964">
        <f>+[5]COMED!$G111</f>
        <v>29.742677245029185</v>
      </c>
      <c r="N100" s="963">
        <f>+TradeSum!DK89*16*Q100</f>
        <v>236.99471101026046</v>
      </c>
      <c r="O100" s="961">
        <v>39479</v>
      </c>
      <c r="P100" s="962">
        <f>+[5]Cinergy!$G111</f>
        <v>29.432675871738169</v>
      </c>
      <c r="Q100" s="50">
        <f>VLOOKUP(O100,Interest!$X$8:$AC$367,6)</f>
        <v>0.70534140181625138</v>
      </c>
      <c r="R100" s="462">
        <f t="shared" si="19"/>
        <v>6975.3885124812532</v>
      </c>
      <c r="S100" s="814">
        <v>38777</v>
      </c>
      <c r="T100" s="718">
        <f t="shared" si="20"/>
        <v>0</v>
      </c>
      <c r="U100" s="553"/>
      <c r="V100" s="718"/>
      <c r="W100" s="718">
        <v>0</v>
      </c>
      <c r="Y100" s="553"/>
    </row>
    <row r="101" spans="10:33" ht="15.95" customHeight="1" x14ac:dyDescent="0.25">
      <c r="K101">
        <f t="shared" si="18"/>
        <v>7394.5782658560047</v>
      </c>
      <c r="L101" s="964">
        <f>+[5]COMED!$G112</f>
        <v>29.942678007968638</v>
      </c>
      <c r="N101" s="963">
        <f>+TradeSum!DK90*16*Q101</f>
        <v>246.95781265416832</v>
      </c>
      <c r="O101" s="961">
        <v>39508</v>
      </c>
      <c r="P101" s="962">
        <f>+[5]Cinergy!$G112</f>
        <v>29.632676634677622</v>
      </c>
      <c r="Q101" s="50">
        <f>VLOOKUP(O101,Interest!$X$8:$AC$367,6)</f>
        <v>0.70158469504025089</v>
      </c>
      <c r="R101" s="462">
        <f t="shared" si="19"/>
        <v>7318.0210047882674</v>
      </c>
      <c r="S101" s="814">
        <v>38808</v>
      </c>
      <c r="T101" s="718">
        <f t="shared" si="20"/>
        <v>0</v>
      </c>
      <c r="U101" s="553"/>
      <c r="V101" s="718"/>
      <c r="W101" s="718">
        <v>0</v>
      </c>
      <c r="Y101" s="553"/>
    </row>
    <row r="102" spans="10:33" ht="15.95" customHeight="1" x14ac:dyDescent="0.25">
      <c r="K102">
        <f t="shared" si="18"/>
        <v>7467.4384418239506</v>
      </c>
      <c r="L102" s="964">
        <f>+[5]COMED!$G113</f>
        <v>31.844993591308594</v>
      </c>
      <c r="N102" s="963">
        <f>+TradeSum!DK91*16*Q102</f>
        <v>234.49332531384235</v>
      </c>
      <c r="O102" s="961">
        <v>39539</v>
      </c>
      <c r="P102" s="962">
        <f>+[5]Cinergy!$G113</f>
        <v>32.534996032714844</v>
      </c>
      <c r="Q102" s="50">
        <f>VLOOKUP(O102,Interest!$X$8:$AC$367,6)</f>
        <v>0.69789680152929268</v>
      </c>
      <c r="R102" s="462">
        <f t="shared" si="19"/>
        <v>7629.2394087839721</v>
      </c>
      <c r="S102" s="814">
        <v>38838</v>
      </c>
      <c r="T102" s="718">
        <f t="shared" si="20"/>
        <v>0</v>
      </c>
      <c r="U102" s="553"/>
      <c r="V102" s="718"/>
      <c r="W102" s="718">
        <v>0</v>
      </c>
      <c r="Y102" s="553"/>
    </row>
    <row r="103" spans="10:33" ht="15.95" customHeight="1" x14ac:dyDescent="0.25">
      <c r="K103">
        <f t="shared" si="18"/>
        <v>8995.6049274112993</v>
      </c>
      <c r="L103" s="964">
        <f>+[5]COMED!$G114</f>
        <v>38.569999694824219</v>
      </c>
      <c r="N103" s="963">
        <f>+TradeSum!DK92*16*Q103</f>
        <v>233.22802692732293</v>
      </c>
      <c r="O103" s="961">
        <v>39569</v>
      </c>
      <c r="P103" s="962">
        <f>+[5]Cinergy!$G114</f>
        <v>39.509998321533203</v>
      </c>
      <c r="Q103" s="50">
        <f>VLOOKUP(O103,Interest!$X$8:$AC$367,6)</f>
        <v>0.69413103252179442</v>
      </c>
      <c r="R103" s="462">
        <f t="shared" si="19"/>
        <v>9214.8389524330305</v>
      </c>
      <c r="S103" s="814">
        <v>38869</v>
      </c>
      <c r="T103" s="718">
        <f t="shared" si="20"/>
        <v>0</v>
      </c>
      <c r="U103" s="553"/>
      <c r="V103" s="718"/>
      <c r="W103" s="718">
        <v>0</v>
      </c>
      <c r="Y103" s="553"/>
    </row>
    <row r="104" spans="10:33" ht="15.95" customHeight="1" x14ac:dyDescent="0.25">
      <c r="K104">
        <f t="shared" si="18"/>
        <v>12561.49164344177</v>
      </c>
      <c r="L104" s="964">
        <f>+[5]COMED!$G115</f>
        <v>51.685001373291016</v>
      </c>
      <c r="N104" s="963">
        <f>+TradeSum!DK93*16*Q104</f>
        <v>243.03939846527905</v>
      </c>
      <c r="O104" s="961">
        <v>39600</v>
      </c>
      <c r="P104" s="962">
        <f>+[5]Cinergy!$G115</f>
        <v>52.875</v>
      </c>
      <c r="Q104" s="50">
        <f>VLOOKUP(O104,Interest!$X$8:$AC$367,6)</f>
        <v>0.69045283654908818</v>
      </c>
      <c r="R104" s="462">
        <f t="shared" si="19"/>
        <v>12850.708193851629</v>
      </c>
      <c r="S104" s="814">
        <v>38899</v>
      </c>
      <c r="T104" s="718">
        <f t="shared" si="20"/>
        <v>0</v>
      </c>
      <c r="U104" s="553"/>
      <c r="V104" s="718"/>
      <c r="W104" s="718">
        <v>0</v>
      </c>
      <c r="Y104" s="553"/>
    </row>
    <row r="105" spans="10:33" ht="15.95" customHeight="1" x14ac:dyDescent="0.25">
      <c r="K105">
        <f t="shared" si="18"/>
        <v>11925.306131120053</v>
      </c>
      <c r="L105" s="964">
        <f>+[5]COMED!$G116</f>
        <v>51.685001373291016</v>
      </c>
      <c r="N105" s="963">
        <f>+TradeSum!DK94*16*Q105</f>
        <v>230.73049848621326</v>
      </c>
      <c r="O105" s="961">
        <v>39630</v>
      </c>
      <c r="P105" s="962">
        <f>+[5]Cinergy!$G116</f>
        <v>52.875</v>
      </c>
      <c r="Q105" s="50">
        <f>VLOOKUP(O105,Interest!$X$8:$AC$367,6)</f>
        <v>0.68669791216134901</v>
      </c>
      <c r="R105" s="462">
        <f t="shared" si="19"/>
        <v>12199.875107458527</v>
      </c>
      <c r="S105" s="814">
        <v>38930</v>
      </c>
      <c r="T105" s="718">
        <f t="shared" si="20"/>
        <v>0</v>
      </c>
      <c r="U105" s="553"/>
      <c r="V105" s="718"/>
      <c r="W105" s="718">
        <v>0</v>
      </c>
      <c r="Y105" s="553"/>
    </row>
    <row r="106" spans="10:33" ht="15.95" customHeight="1" x14ac:dyDescent="0.25">
      <c r="K106">
        <f t="shared" si="18"/>
        <v>6444.4959590430481</v>
      </c>
      <c r="L106" s="964">
        <f>+[5]COMED!$G117</f>
        <v>28.084995269775391</v>
      </c>
      <c r="N106" s="963">
        <f>+TradeSum!DK95*16*Q106</f>
        <v>229.46402152249991</v>
      </c>
      <c r="O106" s="961">
        <v>39661</v>
      </c>
      <c r="P106" s="962">
        <f>+[5]Cinergy!$G117</f>
        <v>28.275001525878906</v>
      </c>
      <c r="Q106" s="50">
        <f>VLOOKUP(O106,Interest!$X$8:$AC$367,6)</f>
        <v>0.6829286354836307</v>
      </c>
      <c r="R106" s="462">
        <f t="shared" si="19"/>
        <v>6488.095558682995</v>
      </c>
      <c r="S106" s="814">
        <v>38961</v>
      </c>
      <c r="T106" s="718">
        <f t="shared" si="20"/>
        <v>0</v>
      </c>
      <c r="U106" s="553"/>
      <c r="V106" s="718"/>
      <c r="W106" s="718">
        <v>0</v>
      </c>
      <c r="Y106" s="553"/>
    </row>
    <row r="107" spans="10:33" ht="15.95" customHeight="1" x14ac:dyDescent="0.25">
      <c r="K107">
        <f t="shared" si="18"/>
        <v>7449.4966244169491</v>
      </c>
      <c r="L107" s="964">
        <f>+[5]COMED!$G118</f>
        <v>29.801573157310486</v>
      </c>
      <c r="N107" s="963">
        <f>+TradeSum!DK96*16*Q107</f>
        <v>249.96991216181979</v>
      </c>
      <c r="O107" s="961">
        <v>39692</v>
      </c>
      <c r="P107" s="962">
        <f>+[5]Cinergy!$G118</f>
        <v>30.191568732261658</v>
      </c>
      <c r="Q107" s="50">
        <f>VLOOKUP(O107,Interest!$X$8:$AC$367,6)</f>
        <v>0.679266065657119</v>
      </c>
      <c r="R107" s="462">
        <f t="shared" si="19"/>
        <v>7546.983784030992</v>
      </c>
      <c r="S107" s="814">
        <v>38991</v>
      </c>
      <c r="T107" s="718">
        <f t="shared" si="20"/>
        <v>0</v>
      </c>
      <c r="U107" s="553"/>
      <c r="V107" s="718"/>
      <c r="W107" s="718">
        <v>0</v>
      </c>
      <c r="Y107" s="553"/>
    </row>
    <row r="108" spans="10:33" ht="15.95" customHeight="1" x14ac:dyDescent="0.25">
      <c r="K108">
        <f t="shared" si="18"/>
        <v>6162.84357915498</v>
      </c>
      <c r="L108" s="964">
        <f>+[5]COMED!$G119</f>
        <v>30.001566290855408</v>
      </c>
      <c r="N108" s="963">
        <f>+TradeSum!DK97*16*Q108</f>
        <v>205.4173945256131</v>
      </c>
      <c r="O108" s="961">
        <v>39722</v>
      </c>
      <c r="P108" s="962">
        <f>+[5]Cinergy!$G119</f>
        <v>30.291567206382751</v>
      </c>
      <c r="Q108" s="50">
        <f>VLOOKUP(O108,Interest!$X$8:$AC$367,6)</f>
        <v>0.6757151135710957</v>
      </c>
      <c r="R108" s="462">
        <f t="shared" si="19"/>
        <v>6222.4148116326496</v>
      </c>
      <c r="S108" s="814">
        <v>39022</v>
      </c>
      <c r="T108" s="718">
        <f t="shared" si="20"/>
        <v>0</v>
      </c>
      <c r="U108" s="553"/>
      <c r="V108" s="718"/>
      <c r="W108" s="718">
        <v>0</v>
      </c>
      <c r="Y108" s="553"/>
    </row>
    <row r="109" spans="10:33" ht="15.95" customHeight="1" x14ac:dyDescent="0.25">
      <c r="K109">
        <f t="shared" si="18"/>
        <v>7301.4651494602704</v>
      </c>
      <c r="L109" s="964">
        <f>+[5]COMED!$G120</f>
        <v>30.851564764976501</v>
      </c>
      <c r="N109" s="963">
        <f>+TradeSum!DK98*16*Q109</f>
        <v>236.66433793818729</v>
      </c>
      <c r="O109" s="961">
        <v>39753</v>
      </c>
      <c r="P109" s="962">
        <f>+[5]Cinergy!$G120</f>
        <v>30.391565680503845</v>
      </c>
      <c r="Q109" s="50">
        <f>VLOOKUP(O109,Interest!$X$8:$AC$367,6)</f>
        <v>0.67234186914257754</v>
      </c>
      <c r="R109" s="462">
        <f t="shared" si="19"/>
        <v>7192.5997706813769</v>
      </c>
      <c r="S109" s="814">
        <v>39052</v>
      </c>
      <c r="T109" s="718">
        <f t="shared" si="20"/>
        <v>0</v>
      </c>
      <c r="U109" s="718">
        <f>SUM(T98:T109)</f>
        <v>0</v>
      </c>
      <c r="V109" s="718"/>
      <c r="W109" s="718">
        <v>0</v>
      </c>
      <c r="Y109" s="718">
        <f>SUM(W98:W109)</f>
        <v>0</v>
      </c>
    </row>
    <row r="110" spans="10:33" ht="15.95" customHeight="1" x14ac:dyDescent="0.25">
      <c r="J110" s="964">
        <f>SUM(K99:K110)/SUM(N99:N110)</f>
        <v>34.581051924829751</v>
      </c>
      <c r="K110">
        <f t="shared" si="18"/>
        <v>7085.9774657805447</v>
      </c>
      <c r="L110" s="964">
        <f>+[5]COMED!$G121</f>
        <v>31.528717222667876</v>
      </c>
      <c r="M110" s="964">
        <f>SUM(R99:R110)/SUM(N99:N110)</f>
        <v>34.928036934627869</v>
      </c>
      <c r="N110" s="963">
        <f>+TradeSum!DK99*16*Q110</f>
        <v>224.74677341728361</v>
      </c>
      <c r="O110" s="961">
        <v>39783</v>
      </c>
      <c r="P110" s="962">
        <f>+[5]Cinergy!$G121</f>
        <v>31.720714750744047</v>
      </c>
      <c r="Q110" s="50">
        <f>VLOOKUP(O110,Interest!$X$8:$AC$367,6)</f>
        <v>0.66888920659905837</v>
      </c>
      <c r="R110" s="462">
        <f t="shared" si="19"/>
        <v>7129.1282907197583</v>
      </c>
      <c r="S110" s="814">
        <v>39083</v>
      </c>
      <c r="T110" s="718">
        <f t="shared" si="20"/>
        <v>0</v>
      </c>
      <c r="U110" s="718"/>
      <c r="W110" s="718">
        <v>0</v>
      </c>
      <c r="Y110" s="718"/>
    </row>
    <row r="111" spans="10:33" ht="15.95" customHeight="1" x14ac:dyDescent="0.25">
      <c r="K111">
        <f t="shared" si="18"/>
        <v>6611.9084609574184</v>
      </c>
      <c r="L111" s="964">
        <f>+[5]COMED!$G122</f>
        <v>31.050712767101469</v>
      </c>
      <c r="N111" s="963">
        <f>+TradeSum!DK100*16*Q111</f>
        <v>212.9390236723583</v>
      </c>
      <c r="O111" s="961">
        <v>39814</v>
      </c>
      <c r="P111" s="962">
        <f>+[5]Cinergy!$G122</f>
        <v>31.240709486461821</v>
      </c>
      <c r="Q111" s="50">
        <f>VLOOKUP(O111,Interest!$X$8:$AC$367,6)</f>
        <v>0.6654344489761197</v>
      </c>
      <c r="R111" s="462">
        <f t="shared" si="19"/>
        <v>6652.3661768789625</v>
      </c>
      <c r="S111" s="814">
        <v>39114</v>
      </c>
      <c r="T111" s="718">
        <f t="shared" si="20"/>
        <v>0</v>
      </c>
      <c r="W111" s="718">
        <v>0</v>
      </c>
    </row>
    <row r="112" spans="10:33" ht="15.95" customHeight="1" x14ac:dyDescent="0.25">
      <c r="K112">
        <f t="shared" si="18"/>
        <v>6996.7034787016682</v>
      </c>
      <c r="L112" s="964">
        <f>+[5]COMED!$G123</f>
        <v>30.01267961014149</v>
      </c>
      <c r="N112" s="963">
        <f>+TradeSum!DK101*16*Q112</f>
        <v>233.1249181874928</v>
      </c>
      <c r="O112" s="961">
        <v>39845</v>
      </c>
      <c r="P112" s="962">
        <f>+[5]Cinergy!$G123</f>
        <v>29.702678236850474</v>
      </c>
      <c r="Q112" s="50">
        <f>VLOOKUP(O112,Interest!$X$8:$AC$367,6)</f>
        <v>0.66228669939628637</v>
      </c>
      <c r="R112" s="462">
        <f t="shared" si="19"/>
        <v>6924.4344339151894</v>
      </c>
      <c r="S112" s="814">
        <v>39142</v>
      </c>
      <c r="T112" s="718">
        <f t="shared" si="20"/>
        <v>0</v>
      </c>
      <c r="W112" s="718">
        <v>0</v>
      </c>
    </row>
    <row r="113" spans="10:25" ht="15.95" customHeight="1" x14ac:dyDescent="0.25">
      <c r="K113">
        <f t="shared" si="18"/>
        <v>7007.1602144855233</v>
      </c>
      <c r="L113" s="964">
        <f>+[5]COMED!$G124</f>
        <v>30.212680373080943</v>
      </c>
      <c r="N113" s="963">
        <f>+TradeSum!DK102*16*Q113</f>
        <v>231.92779084668041</v>
      </c>
      <c r="O113" s="961">
        <v>39873</v>
      </c>
      <c r="P113" s="962">
        <f>+[5]Cinergy!$G124</f>
        <v>29.902678999789927</v>
      </c>
      <c r="Q113" s="50">
        <f>VLOOKUP(O113,Interest!$X$8:$AC$367,6)</f>
        <v>0.65888576945079658</v>
      </c>
      <c r="R113" s="462">
        <f t="shared" si="19"/>
        <v>6935.2622808187007</v>
      </c>
      <c r="S113" s="814">
        <v>39173</v>
      </c>
      <c r="T113" s="718">
        <f t="shared" si="20"/>
        <v>0</v>
      </c>
      <c r="W113" s="718">
        <v>0</v>
      </c>
    </row>
    <row r="114" spans="10:25" ht="15.95" customHeight="1" x14ac:dyDescent="0.25">
      <c r="K114">
        <f t="shared" si="18"/>
        <v>6841.9187262930309</v>
      </c>
      <c r="L114" s="964">
        <f>+[5]COMED!$G125</f>
        <v>32.614990234375</v>
      </c>
      <c r="N114" s="963">
        <f>+TradeSum!DK103*16*Q114</f>
        <v>209.77834661688479</v>
      </c>
      <c r="O114" s="961">
        <v>39904</v>
      </c>
      <c r="P114" s="962">
        <f>+[5]Cinergy!$G125</f>
        <v>33.30499267578125</v>
      </c>
      <c r="Q114" s="50">
        <f>VLOOKUP(O114,Interest!$X$8:$AC$367,6)</f>
        <v>0.65555733317776499</v>
      </c>
      <c r="R114" s="462">
        <f t="shared" si="19"/>
        <v>6986.6662976128482</v>
      </c>
      <c r="S114" s="814">
        <v>39203</v>
      </c>
      <c r="T114" s="718">
        <f t="shared" si="20"/>
        <v>0</v>
      </c>
      <c r="W114" s="718">
        <v>0</v>
      </c>
    </row>
    <row r="115" spans="10:25" ht="15.95" customHeight="1" x14ac:dyDescent="0.25">
      <c r="K115">
        <f t="shared" si="18"/>
        <v>9180.0012736351127</v>
      </c>
      <c r="L115" s="964">
        <f>+[5]COMED!$G126</f>
        <v>39.989994049072266</v>
      </c>
      <c r="N115" s="963">
        <f>+TradeSum!DK104*16*Q115</f>
        <v>229.55745535671269</v>
      </c>
      <c r="O115" s="961">
        <v>39934</v>
      </c>
      <c r="P115" s="962">
        <f>+[5]Cinergy!$G126</f>
        <v>40.92999267578125</v>
      </c>
      <c r="Q115" s="50">
        <f>VLOOKUP(O115,Interest!$X$8:$AC$367,6)</f>
        <v>0.65215186180884288</v>
      </c>
      <c r="R115" s="462">
        <f t="shared" si="19"/>
        <v>9395.7849664212317</v>
      </c>
      <c r="S115" s="814">
        <v>39234</v>
      </c>
      <c r="T115" s="718">
        <f t="shared" si="20"/>
        <v>0</v>
      </c>
      <c r="W115" s="718">
        <v>0</v>
      </c>
    </row>
    <row r="116" spans="10:25" ht="15.75" x14ac:dyDescent="0.25">
      <c r="K116">
        <f t="shared" ref="K116:K134" si="28">+L116*N116</f>
        <v>12699.182447485044</v>
      </c>
      <c r="L116" s="964">
        <f>+[5]COMED!$G127</f>
        <v>53.18499755859375</v>
      </c>
      <c r="N116" s="963">
        <f>+TradeSum!DK105*16*Q116</f>
        <v>238.77377137216925</v>
      </c>
      <c r="O116" s="961">
        <v>39965</v>
      </c>
      <c r="P116" s="962">
        <f>+[5]Cinergy!$G127</f>
        <v>54.374996185302734</v>
      </c>
      <c r="Q116" s="50">
        <f>VLOOKUP(O116,Interest!$X$8:$AC$367,6)</f>
        <v>0.64884177003306864</v>
      </c>
      <c r="R116" s="462">
        <f t="shared" ref="R116:R134" si="29">+N116*P116</f>
        <v>12983.322907512051</v>
      </c>
      <c r="S116" s="814">
        <v>39264</v>
      </c>
      <c r="T116" s="718">
        <f t="shared" si="20"/>
        <v>0</v>
      </c>
      <c r="W116" s="718">
        <v>0</v>
      </c>
    </row>
    <row r="117" spans="10:25" ht="15.75" x14ac:dyDescent="0.25">
      <c r="K117">
        <f t="shared" si="28"/>
        <v>11534.39420214167</v>
      </c>
      <c r="L117" s="964">
        <f>+[5]COMED!$G128</f>
        <v>53.18499755859375</v>
      </c>
      <c r="N117" s="963">
        <f>+TradeSum!DK106*16*Q117</f>
        <v>216.87307947009421</v>
      </c>
      <c r="O117" s="961">
        <v>39995</v>
      </c>
      <c r="P117" s="962">
        <f>+[5]Cinergy!$G128</f>
        <v>54.374996185302734</v>
      </c>
      <c r="Q117" s="50">
        <f>VLOOKUP(O117,Interest!$X$8:$AC$367,6)</f>
        <v>0.6454555936609947</v>
      </c>
      <c r="R117" s="462">
        <f t="shared" si="29"/>
        <v>11792.47286888123</v>
      </c>
      <c r="S117" s="814">
        <v>39295</v>
      </c>
      <c r="T117" s="718">
        <f t="shared" si="20"/>
        <v>0</v>
      </c>
      <c r="W117" s="718">
        <v>0</v>
      </c>
    </row>
    <row r="118" spans="10:25" ht="15.75" x14ac:dyDescent="0.25">
      <c r="K118">
        <f t="shared" si="28"/>
        <v>6080.4770451998302</v>
      </c>
      <c r="L118" s="964">
        <f>+[5]COMED!$G129</f>
        <v>28.184995651245117</v>
      </c>
      <c r="N118" s="963">
        <f>+TradeSum!DK107*16*Q118</f>
        <v>215.73453905894837</v>
      </c>
      <c r="O118" s="961">
        <v>40026</v>
      </c>
      <c r="P118" s="962">
        <f>+[5]Cinergy!$G129</f>
        <v>28.374998092651367</v>
      </c>
      <c r="Q118" s="50">
        <f>VLOOKUP(O118,Interest!$X$8:$AC$367,6)</f>
        <v>0.64206708053258443</v>
      </c>
      <c r="R118" s="462">
        <f t="shared" si="29"/>
        <v>6121.4671343166819</v>
      </c>
      <c r="S118" s="814">
        <v>39326</v>
      </c>
      <c r="T118" s="718">
        <f>+V118+W118</f>
        <v>0</v>
      </c>
      <c r="W118" s="718">
        <v>0</v>
      </c>
    </row>
    <row r="119" spans="10:25" ht="15.75" x14ac:dyDescent="0.25">
      <c r="K119">
        <f t="shared" si="28"/>
        <v>6761.6612573775583</v>
      </c>
      <c r="L119" s="964">
        <f>+[5]COMED!$G130</f>
        <v>30.071569800376892</v>
      </c>
      <c r="N119" s="963">
        <f>+TradeSum!DK108*16*Q119</f>
        <v>224.85228746830546</v>
      </c>
      <c r="O119" s="961">
        <v>40057</v>
      </c>
      <c r="P119" s="962">
        <f>+[5]Cinergy!$G130</f>
        <v>30.461565375328064</v>
      </c>
      <c r="Q119" s="50">
        <f>VLOOKUP(O119,Interest!$X$8:$AC$367,6)</f>
        <v>0.63878490758041329</v>
      </c>
      <c r="R119" s="462">
        <f t="shared" si="29"/>
        <v>6849.3526545078457</v>
      </c>
      <c r="S119" s="814">
        <v>39356</v>
      </c>
      <c r="T119" s="718">
        <f>+V119+W119</f>
        <v>0</v>
      </c>
      <c r="W119" s="718">
        <v>0</v>
      </c>
    </row>
    <row r="120" spans="10:25" ht="15.75" x14ac:dyDescent="0.25">
      <c r="K120">
        <f t="shared" si="28"/>
        <v>6155.3282618060312</v>
      </c>
      <c r="L120" s="964">
        <f>+[5]COMED!$G131</f>
        <v>30.271562933921814</v>
      </c>
      <c r="N120" s="963">
        <f>+TradeSum!DK109*16*Q120</f>
        <v>203.33698247567099</v>
      </c>
      <c r="O120" s="961">
        <v>40087</v>
      </c>
      <c r="P120" s="962">
        <f>+[5]Cinergy!$G131</f>
        <v>30.561563849449158</v>
      </c>
      <c r="Q120" s="50">
        <f>VLOOKUP(O120,Interest!$X$8:$AC$367,6)</f>
        <v>0.63542807023647185</v>
      </c>
      <c r="R120" s="462">
        <f t="shared" si="29"/>
        <v>6214.2961728845439</v>
      </c>
      <c r="S120" s="814">
        <v>39387</v>
      </c>
      <c r="T120" s="718">
        <f>+V120+W120</f>
        <v>0</v>
      </c>
      <c r="W120" s="718">
        <v>0</v>
      </c>
    </row>
    <row r="121" spans="10:25" ht="15.75" x14ac:dyDescent="0.25">
      <c r="K121">
        <f t="shared" si="28"/>
        <v>6925.2302863020113</v>
      </c>
      <c r="L121" s="964">
        <f>+[5]COMED!$G132</f>
        <v>31.121563315391541</v>
      </c>
      <c r="N121" s="963">
        <f>+TradeSum!DK110*16*Q121</f>
        <v>222.52192848156366</v>
      </c>
      <c r="O121" s="961">
        <v>40118</v>
      </c>
      <c r="P121" s="962">
        <f>+[5]Cinergy!$G132</f>
        <v>30.661562323570251</v>
      </c>
      <c r="Q121" s="50">
        <f>VLOOKUP(O121,Interest!$X$8:$AC$367,6)</f>
        <v>0.63216456954989675</v>
      </c>
      <c r="R121" s="462">
        <f t="shared" si="29"/>
        <v>6822.8699784985065</v>
      </c>
      <c r="S121" s="814">
        <v>39417</v>
      </c>
      <c r="T121" s="718">
        <f>+V121+W121</f>
        <v>0</v>
      </c>
      <c r="U121" s="718">
        <f>SUM(T110:T121)</f>
        <v>0</v>
      </c>
      <c r="W121" s="718">
        <v>0</v>
      </c>
      <c r="Y121" s="718">
        <f>SUM(W110:W121)</f>
        <v>0</v>
      </c>
    </row>
    <row r="122" spans="10:25" ht="15.75" x14ac:dyDescent="0.25">
      <c r="J122" s="964">
        <f>SUM(K111:K122)/SUM(N111:N122)</f>
        <v>35.296961182979864</v>
      </c>
      <c r="K122">
        <f t="shared" si="28"/>
        <v>6412.7738527769307</v>
      </c>
      <c r="L122" s="964">
        <f>+[5]COMED!$G133</f>
        <v>31.868713560558501</v>
      </c>
      <c r="M122" s="964">
        <f>SUM(R111:R122)/SUM(N111:N122)</f>
        <v>35.639625731177041</v>
      </c>
      <c r="N122" s="963">
        <f>+TradeSum!DK111*16*Q122</f>
        <v>201.22474792059182</v>
      </c>
      <c r="O122" s="961">
        <v>40148</v>
      </c>
      <c r="P122" s="962">
        <f>+[5]Cinergy!$G133</f>
        <v>31.970714750744047</v>
      </c>
      <c r="Q122" s="50">
        <f>VLOOKUP(O122,Interest!$X$8:$AC$367,6)</f>
        <v>0.62882733725184947</v>
      </c>
      <c r="R122" s="462">
        <f t="shared" si="29"/>
        <v>6433.2990165596175</v>
      </c>
      <c r="S122" s="814">
        <v>39448</v>
      </c>
      <c r="T122" s="718">
        <f t="shared" ref="T122:T157" si="30">+V122+W122</f>
        <v>0</v>
      </c>
      <c r="W122" s="718">
        <v>0</v>
      </c>
      <c r="Y122" s="718"/>
    </row>
    <row r="123" spans="10:25" ht="15.75" x14ac:dyDescent="0.25">
      <c r="K123">
        <f t="shared" si="28"/>
        <v>6307.0591767624774</v>
      </c>
      <c r="L123" s="964">
        <f>+[5]COMED!$G134</f>
        <v>31.510711851574126</v>
      </c>
      <c r="N123" s="963">
        <f>+TradeSum!DK112*16*Q123</f>
        <v>200.15603603215351</v>
      </c>
      <c r="O123" s="961">
        <v>40179</v>
      </c>
      <c r="P123" s="962">
        <f>+[5]Cinergy!$G134</f>
        <v>31.610717955089751</v>
      </c>
      <c r="Q123" s="50">
        <f>VLOOKUP(O123,Interest!$X$8:$AC$367,6)</f>
        <v>0.62548761260047969</v>
      </c>
      <c r="R123" s="462">
        <f t="shared" si="29"/>
        <v>6327.0760020211856</v>
      </c>
      <c r="S123" s="814">
        <v>39479</v>
      </c>
      <c r="T123" s="718">
        <f t="shared" si="30"/>
        <v>0</v>
      </c>
      <c r="W123" s="718">
        <v>0</v>
      </c>
      <c r="Y123" s="718"/>
    </row>
    <row r="124" spans="10:25" ht="15.75" customHeight="1" x14ac:dyDescent="0.25">
      <c r="K124">
        <f t="shared" si="28"/>
        <v>6980.0284541723313</v>
      </c>
      <c r="L124" s="964">
        <f>+[5]COMED!$G135</f>
        <v>30.472676787265513</v>
      </c>
      <c r="N124" s="963">
        <f>+TradeSum!DK113*16*Q124</f>
        <v>229.05859248601604</v>
      </c>
      <c r="O124" s="961">
        <v>40210</v>
      </c>
      <c r="P124" s="962">
        <f>+[5]Cinergy!$G135</f>
        <v>30.072679076083872</v>
      </c>
      <c r="Q124" s="50">
        <f>VLOOKUP(O124,Interest!$X$8:$AC$367,6)</f>
        <v>0.6224418274076523</v>
      </c>
      <c r="R124" s="462">
        <f t="shared" si="29"/>
        <v>6888.4055414514369</v>
      </c>
      <c r="S124" s="814">
        <v>39508</v>
      </c>
      <c r="T124" s="718">
        <f t="shared" si="30"/>
        <v>0</v>
      </c>
      <c r="W124" s="718">
        <v>0</v>
      </c>
      <c r="Y124" s="718"/>
    </row>
    <row r="125" spans="10:25" ht="15.75" customHeight="1" x14ac:dyDescent="0.25">
      <c r="K125">
        <f t="shared" si="28"/>
        <v>6684.924572498785</v>
      </c>
      <c r="L125" s="964">
        <f>+[5]COMED!$G136</f>
        <v>30.672677550204966</v>
      </c>
      <c r="N125" s="963">
        <f>+TradeSum!DK114*16*Q125</f>
        <v>217.94395228642549</v>
      </c>
      <c r="O125" s="961">
        <v>40238</v>
      </c>
      <c r="P125" s="962">
        <f>+[5]Cinergy!$G136</f>
        <v>30.272679839023326</v>
      </c>
      <c r="Q125" s="50">
        <f>VLOOKUP(O125,Interest!$X$8:$AC$367,6)</f>
        <v>0.61915895535916332</v>
      </c>
      <c r="R125" s="462">
        <f t="shared" si="29"/>
        <v>6597.7474904183346</v>
      </c>
      <c r="S125" s="814">
        <v>39539</v>
      </c>
      <c r="T125" s="718">
        <f t="shared" si="30"/>
        <v>0</v>
      </c>
      <c r="W125" s="718">
        <v>0</v>
      </c>
      <c r="Y125" s="718"/>
    </row>
    <row r="126" spans="10:25" ht="15.75" customHeight="1" x14ac:dyDescent="0.25">
      <c r="K126">
        <f t="shared" si="28"/>
        <v>6617.6823825296851</v>
      </c>
      <c r="L126" s="964">
        <f>+[5]COMED!$G137</f>
        <v>33.574996948242188</v>
      </c>
      <c r="N126" s="963">
        <f>+TradeSum!DK115*16*Q126</f>
        <v>197.10150361982841</v>
      </c>
      <c r="O126" s="961">
        <v>40269</v>
      </c>
      <c r="P126" s="962">
        <f>+[5]Cinergy!$G137</f>
        <v>34.175003051757813</v>
      </c>
      <c r="Q126" s="50">
        <f>VLOOKUP(O126,Interest!$X$8:$AC$367,6)</f>
        <v>0.61594219881196377</v>
      </c>
      <c r="R126" s="462">
        <f t="shared" si="29"/>
        <v>6735.9444877136893</v>
      </c>
      <c r="S126" s="814">
        <v>39569</v>
      </c>
      <c r="T126" s="718">
        <f t="shared" si="30"/>
        <v>0</v>
      </c>
      <c r="W126" s="718">
        <v>0</v>
      </c>
      <c r="Y126" s="718"/>
    </row>
    <row r="127" spans="10:25" ht="15.75" customHeight="1" x14ac:dyDescent="0.25">
      <c r="K127">
        <f t="shared" si="28"/>
        <v>9083.3556711434339</v>
      </c>
      <c r="L127" s="964">
        <f>+[5]COMED!$G138</f>
        <v>42.120002746582031</v>
      </c>
      <c r="N127" s="963">
        <f>+TradeSum!DK116*16*Q127</f>
        <v>215.65420415079467</v>
      </c>
      <c r="O127" s="961">
        <v>40299</v>
      </c>
      <c r="P127" s="962">
        <f>+[5]Cinergy!$G138</f>
        <v>42.970005035400391</v>
      </c>
      <c r="Q127" s="50">
        <f>VLOOKUP(O127,Interest!$X$8:$AC$367,6)</f>
        <v>0.61265398906475754</v>
      </c>
      <c r="R127" s="462">
        <f t="shared" si="29"/>
        <v>9266.6622382649111</v>
      </c>
      <c r="S127" s="814">
        <v>39600</v>
      </c>
      <c r="T127" s="718">
        <f t="shared" si="30"/>
        <v>0</v>
      </c>
      <c r="W127" s="718">
        <v>0</v>
      </c>
      <c r="Y127" s="718"/>
    </row>
    <row r="128" spans="10:25" ht="15.75" customHeight="1" x14ac:dyDescent="0.25">
      <c r="K128">
        <f t="shared" si="28"/>
        <v>11858.069168620998</v>
      </c>
      <c r="L128" s="964">
        <f>+[5]COMED!$G139</f>
        <v>55.274997711181641</v>
      </c>
      <c r="N128" s="963">
        <f>+TradeSum!DK117*16*Q128</f>
        <v>214.52862342176479</v>
      </c>
      <c r="O128" s="961">
        <v>40330</v>
      </c>
      <c r="P128" s="962">
        <f>+[5]Cinergy!$G139</f>
        <v>56.375</v>
      </c>
      <c r="Q128" s="50">
        <f>VLOOKUP(O128,Interest!$X$8:$AC$367,6)</f>
        <v>0.60945631653910448</v>
      </c>
      <c r="R128" s="462">
        <f t="shared" si="29"/>
        <v>12094.051145401991</v>
      </c>
      <c r="S128" s="814">
        <v>39630</v>
      </c>
      <c r="T128" s="718">
        <f t="shared" si="30"/>
        <v>0</v>
      </c>
      <c r="W128" s="718">
        <v>0</v>
      </c>
      <c r="Y128" s="718"/>
    </row>
    <row r="129" spans="10:25" ht="15.75" customHeight="1" x14ac:dyDescent="0.25">
      <c r="K129">
        <f t="shared" si="28"/>
        <v>11794.480112711737</v>
      </c>
      <c r="L129" s="964">
        <f>+[5]COMED!$G140</f>
        <v>55.274997711181641</v>
      </c>
      <c r="N129" s="963">
        <f>+TradeSum!DK118*16*Q129</f>
        <v>213.37821078418278</v>
      </c>
      <c r="O129" s="961">
        <v>40360</v>
      </c>
      <c r="P129" s="962">
        <f>+[5]Cinergy!$G140</f>
        <v>56.375</v>
      </c>
      <c r="Q129" s="50">
        <f>VLOOKUP(O129,Interest!$X$8:$AC$367,6)</f>
        <v>0.60618809881870106</v>
      </c>
      <c r="R129" s="462">
        <f t="shared" si="29"/>
        <v>12029.196632958305</v>
      </c>
      <c r="S129" s="814">
        <v>39661</v>
      </c>
      <c r="T129" s="718">
        <f t="shared" si="30"/>
        <v>0</v>
      </c>
      <c r="W129" s="718">
        <v>0</v>
      </c>
      <c r="Y129" s="718"/>
    </row>
    <row r="130" spans="10:25" ht="15.75" customHeight="1" x14ac:dyDescent="0.25">
      <c r="K130">
        <f t="shared" si="28"/>
        <v>5744.1604818961487</v>
      </c>
      <c r="L130" s="964">
        <f>+[5]COMED!$G141</f>
        <v>28.354997634887695</v>
      </c>
      <c r="N130" s="963">
        <f>+TradeSum!DK119*16*Q130</f>
        <v>202.5801784877807</v>
      </c>
      <c r="O130" s="961">
        <v>40391</v>
      </c>
      <c r="P130" s="962">
        <f>+[5]Cinergy!$G141</f>
        <v>28.454999923706055</v>
      </c>
      <c r="Q130" s="50">
        <f>VLOOKUP(O130,Interest!$X$8:$AC$367,6)</f>
        <v>0.60291719788029974</v>
      </c>
      <c r="R130" s="462">
        <f t="shared" si="29"/>
        <v>5764.4189634141585</v>
      </c>
      <c r="S130" s="814">
        <v>39692</v>
      </c>
      <c r="T130" s="718">
        <f t="shared" si="30"/>
        <v>0</v>
      </c>
      <c r="W130" s="718">
        <v>0</v>
      </c>
      <c r="Y130" s="718"/>
    </row>
    <row r="131" spans="10:25" ht="15.75" customHeight="1" x14ac:dyDescent="0.25">
      <c r="K131">
        <f t="shared" si="28"/>
        <v>6152.5840022293132</v>
      </c>
      <c r="L131" s="964">
        <f>+[5]COMED!$G142</f>
        <v>30.531566977500916</v>
      </c>
      <c r="N131" s="963">
        <f>+TradeSum!DK120*16*Q131</f>
        <v>201.51550055597303</v>
      </c>
      <c r="O131" s="961">
        <v>40422</v>
      </c>
      <c r="P131" s="962">
        <f>+[5]Cinergy!$G142</f>
        <v>30.831566214561462</v>
      </c>
      <c r="Q131" s="50">
        <f>VLOOKUP(O131,Interest!$X$8:$AC$367,6)</f>
        <v>0.59974851355944359</v>
      </c>
      <c r="R131" s="462">
        <f t="shared" si="29"/>
        <v>6213.0384986519794</v>
      </c>
      <c r="S131" s="814">
        <v>39722</v>
      </c>
      <c r="T131" s="718">
        <f t="shared" si="30"/>
        <v>0</v>
      </c>
      <c r="W131" s="718">
        <v>0</v>
      </c>
      <c r="Y131" s="718"/>
    </row>
    <row r="132" spans="10:25" ht="15.75" customHeight="1" x14ac:dyDescent="0.25">
      <c r="K132">
        <f t="shared" si="28"/>
        <v>6159.452069526139</v>
      </c>
      <c r="L132" s="964">
        <f>+[5]COMED!$G143</f>
        <v>30.731560111045837</v>
      </c>
      <c r="N132" s="963">
        <f>+TradeSum!DK121*16*Q132</f>
        <v>200.42757501635097</v>
      </c>
      <c r="O132" s="961">
        <v>40452</v>
      </c>
      <c r="P132" s="962">
        <f>+[5]Cinergy!$G143</f>
        <v>30.931564688682556</v>
      </c>
      <c r="Q132" s="50">
        <f>VLOOKUP(O132,Interest!$X$8:$AC$367,6)</f>
        <v>0.59651063992961595</v>
      </c>
      <c r="R132" s="462">
        <f t="shared" si="29"/>
        <v>6199.5385020140357</v>
      </c>
      <c r="S132" s="814">
        <v>39753</v>
      </c>
      <c r="T132" s="718">
        <f t="shared" si="30"/>
        <v>0</v>
      </c>
      <c r="W132" s="718">
        <v>0</v>
      </c>
      <c r="Y132" s="718"/>
    </row>
    <row r="133" spans="10:25" ht="15.75" customHeight="1" x14ac:dyDescent="0.25">
      <c r="K133">
        <f t="shared" si="28"/>
        <v>6896.0539841023701</v>
      </c>
      <c r="L133" s="964">
        <f>+[5]COMED!$G144</f>
        <v>31.581562399864197</v>
      </c>
      <c r="N133" s="963">
        <f>+TradeSum!DK122*16*Q133</f>
        <v>218.35696083649185</v>
      </c>
      <c r="O133" s="961">
        <v>40483</v>
      </c>
      <c r="P133" s="962">
        <f>+[5]Cinergy!$G144</f>
        <v>31.03156316280365</v>
      </c>
      <c r="Q133" s="50">
        <f>VLOOKUP(O133,Interest!$X$8:$AC$367,6)</f>
        <v>0.59336130662090181</v>
      </c>
      <c r="R133" s="462">
        <f t="shared" si="29"/>
        <v>6775.9578222354394</v>
      </c>
      <c r="S133" s="814">
        <v>39783</v>
      </c>
      <c r="T133" s="718">
        <f t="shared" si="30"/>
        <v>0</v>
      </c>
      <c r="U133" s="718">
        <f>SUM(T122:T133)</f>
        <v>0</v>
      </c>
      <c r="W133" s="718">
        <v>0</v>
      </c>
      <c r="Y133" s="718">
        <f>SUM(W122:W133)</f>
        <v>0</v>
      </c>
    </row>
    <row r="134" spans="10:25" ht="15.75" customHeight="1" x14ac:dyDescent="0.25">
      <c r="J134" s="964">
        <f>SUM(K123:K134)/SUM(N123:N134)</f>
        <v>36.139797643621208</v>
      </c>
      <c r="K134">
        <f t="shared" si="28"/>
        <v>6396.5267965363664</v>
      </c>
      <c r="L134" s="964">
        <f>+[5]COMED!$G145</f>
        <v>32.258724394298739</v>
      </c>
      <c r="M134" s="964">
        <f>SUM(R123:R134)/SUM(N123:N134)</f>
        <v>36.40450805631361</v>
      </c>
      <c r="N134" s="963">
        <f>+TradeSum!DK123*16*Q134</f>
        <v>198.28827446341492</v>
      </c>
      <c r="O134" s="961">
        <v>40513</v>
      </c>
      <c r="P134" s="962">
        <f>+[5]Cinergy!$G145</f>
        <v>32.510723295665926</v>
      </c>
      <c r="Q134" s="50">
        <f>VLOOKUP(O134,Interest!$X$8:$AC$367,6)</f>
        <v>0.59014367399825873</v>
      </c>
      <c r="R134" s="462">
        <f t="shared" si="29"/>
        <v>6446.4952238551423</v>
      </c>
      <c r="S134" s="814">
        <v>39814</v>
      </c>
      <c r="T134" s="718">
        <f t="shared" si="30"/>
        <v>0</v>
      </c>
      <c r="W134" s="718">
        <v>0</v>
      </c>
      <c r="Y134" s="718"/>
    </row>
    <row r="135" spans="10:25" ht="15.75" customHeight="1" x14ac:dyDescent="0.25">
      <c r="S135" s="814">
        <v>39845</v>
      </c>
      <c r="T135" s="718">
        <f t="shared" si="30"/>
        <v>0</v>
      </c>
      <c r="W135" s="718">
        <v>0</v>
      </c>
      <c r="Y135" s="718"/>
    </row>
    <row r="136" spans="10:25" ht="15.75" customHeight="1" x14ac:dyDescent="0.25">
      <c r="S136" s="814">
        <v>39873</v>
      </c>
      <c r="T136" s="718">
        <f t="shared" si="30"/>
        <v>0</v>
      </c>
      <c r="W136" s="718">
        <v>0</v>
      </c>
      <c r="Y136" s="718"/>
    </row>
    <row r="137" spans="10:25" ht="15.75" customHeight="1" x14ac:dyDescent="0.25">
      <c r="S137" s="814">
        <v>39904</v>
      </c>
      <c r="T137" s="718">
        <f t="shared" si="30"/>
        <v>0</v>
      </c>
      <c r="W137" s="718">
        <v>0</v>
      </c>
      <c r="Y137" s="718"/>
    </row>
    <row r="138" spans="10:25" ht="15.75" customHeight="1" x14ac:dyDescent="0.25">
      <c r="S138" s="814">
        <v>39934</v>
      </c>
      <c r="T138" s="718">
        <f t="shared" si="30"/>
        <v>0</v>
      </c>
      <c r="W138" s="718">
        <v>0</v>
      </c>
      <c r="Y138" s="718"/>
    </row>
    <row r="139" spans="10:25" ht="15.75" customHeight="1" x14ac:dyDescent="0.25">
      <c r="S139" s="814">
        <v>39965</v>
      </c>
      <c r="T139" s="718">
        <f t="shared" si="30"/>
        <v>0</v>
      </c>
      <c r="W139" s="718">
        <v>0</v>
      </c>
      <c r="Y139" s="718"/>
    </row>
    <row r="140" spans="10:25" ht="15.75" customHeight="1" x14ac:dyDescent="0.25">
      <c r="S140" s="814">
        <v>39995</v>
      </c>
      <c r="T140" s="718">
        <f t="shared" si="30"/>
        <v>0</v>
      </c>
      <c r="W140" s="718">
        <v>0</v>
      </c>
      <c r="Y140" s="718"/>
    </row>
    <row r="141" spans="10:25" ht="15.75" x14ac:dyDescent="0.25">
      <c r="S141" s="814">
        <v>40026</v>
      </c>
      <c r="T141" s="718">
        <f t="shared" si="30"/>
        <v>0</v>
      </c>
      <c r="W141" s="718">
        <v>0</v>
      </c>
      <c r="Y141" s="718"/>
    </row>
    <row r="142" spans="10:25" ht="15.75" x14ac:dyDescent="0.25">
      <c r="S142" s="814">
        <v>40057</v>
      </c>
      <c r="T142" s="718">
        <f t="shared" si="30"/>
        <v>0</v>
      </c>
      <c r="W142" s="718">
        <v>0</v>
      </c>
      <c r="Y142" s="718"/>
    </row>
    <row r="143" spans="10:25" ht="15.75" x14ac:dyDescent="0.25">
      <c r="S143" s="814">
        <v>40087</v>
      </c>
      <c r="T143" s="718">
        <f t="shared" si="30"/>
        <v>0</v>
      </c>
      <c r="W143" s="718">
        <v>0</v>
      </c>
      <c r="Y143" s="718"/>
    </row>
    <row r="144" spans="10:25" ht="15.75" x14ac:dyDescent="0.25">
      <c r="S144" s="814">
        <v>40118</v>
      </c>
      <c r="T144" s="718">
        <f t="shared" si="30"/>
        <v>0</v>
      </c>
      <c r="W144" s="718">
        <v>0</v>
      </c>
      <c r="Y144" s="718"/>
    </row>
    <row r="145" spans="19:25" ht="15.75" x14ac:dyDescent="0.25">
      <c r="S145" s="814">
        <v>40148</v>
      </c>
      <c r="T145" s="718">
        <f t="shared" si="30"/>
        <v>0</v>
      </c>
      <c r="U145" s="718">
        <f>SUM(T134:T145)</f>
        <v>0</v>
      </c>
      <c r="W145" s="718">
        <v>0</v>
      </c>
      <c r="Y145" s="718">
        <f>SUM(W134:W145)</f>
        <v>0</v>
      </c>
    </row>
    <row r="146" spans="19:25" ht="15.75" x14ac:dyDescent="0.25">
      <c r="S146" s="814">
        <v>40179</v>
      </c>
      <c r="T146" s="718">
        <f t="shared" si="30"/>
        <v>0</v>
      </c>
      <c r="W146" s="718">
        <v>0</v>
      </c>
      <c r="Y146" s="718"/>
    </row>
    <row r="147" spans="19:25" ht="15.75" x14ac:dyDescent="0.25">
      <c r="S147" s="814">
        <v>40210</v>
      </c>
      <c r="T147" s="718">
        <f t="shared" si="30"/>
        <v>0</v>
      </c>
      <c r="W147" s="718">
        <v>0</v>
      </c>
      <c r="Y147" s="718"/>
    </row>
    <row r="148" spans="19:25" ht="15.75" x14ac:dyDescent="0.25">
      <c r="S148" s="814">
        <v>40238</v>
      </c>
      <c r="T148" s="718">
        <f t="shared" si="30"/>
        <v>0</v>
      </c>
      <c r="W148" s="718">
        <v>0</v>
      </c>
      <c r="Y148" s="718"/>
    </row>
    <row r="149" spans="19:25" ht="15.75" x14ac:dyDescent="0.25">
      <c r="S149" s="814">
        <v>40269</v>
      </c>
      <c r="T149" s="718">
        <f t="shared" si="30"/>
        <v>0</v>
      </c>
      <c r="W149" s="718">
        <v>0</v>
      </c>
      <c r="Y149" s="718"/>
    </row>
    <row r="150" spans="19:25" ht="15.75" x14ac:dyDescent="0.25">
      <c r="S150" s="814">
        <v>40299</v>
      </c>
      <c r="T150" s="718">
        <f t="shared" si="30"/>
        <v>0</v>
      </c>
      <c r="W150" s="718">
        <v>0</v>
      </c>
      <c r="Y150" s="718"/>
    </row>
    <row r="151" spans="19:25" ht="15.75" x14ac:dyDescent="0.25">
      <c r="S151" s="814">
        <v>40330</v>
      </c>
      <c r="T151" s="718">
        <f t="shared" si="30"/>
        <v>0</v>
      </c>
      <c r="W151" s="718">
        <v>0</v>
      </c>
      <c r="Y151" s="718"/>
    </row>
    <row r="152" spans="19:25" ht="15.75" x14ac:dyDescent="0.25">
      <c r="S152" s="814">
        <v>40360</v>
      </c>
      <c r="T152" s="718">
        <f t="shared" si="30"/>
        <v>0</v>
      </c>
      <c r="W152" s="718">
        <v>0</v>
      </c>
      <c r="Y152" s="718"/>
    </row>
    <row r="153" spans="19:25" ht="15.75" x14ac:dyDescent="0.25">
      <c r="S153" s="814">
        <v>40391</v>
      </c>
      <c r="T153" s="718">
        <f t="shared" si="30"/>
        <v>0</v>
      </c>
      <c r="W153" s="718">
        <v>0</v>
      </c>
      <c r="Y153" s="718"/>
    </row>
    <row r="154" spans="19:25" ht="15.75" x14ac:dyDescent="0.25">
      <c r="S154" s="814">
        <v>40422</v>
      </c>
      <c r="T154" s="718">
        <f t="shared" si="30"/>
        <v>0</v>
      </c>
      <c r="W154" s="718">
        <v>0</v>
      </c>
      <c r="Y154" s="718"/>
    </row>
    <row r="155" spans="19:25" ht="15.75" x14ac:dyDescent="0.25">
      <c r="S155" s="814">
        <v>40452</v>
      </c>
      <c r="T155" s="718">
        <f t="shared" si="30"/>
        <v>0</v>
      </c>
      <c r="W155" s="718">
        <v>0</v>
      </c>
      <c r="Y155" s="718"/>
    </row>
    <row r="156" spans="19:25" ht="15.75" x14ac:dyDescent="0.25">
      <c r="S156" s="814">
        <v>40483</v>
      </c>
      <c r="T156" s="718">
        <f t="shared" si="30"/>
        <v>0</v>
      </c>
      <c r="W156" s="718">
        <v>0</v>
      </c>
      <c r="Y156" s="718"/>
    </row>
    <row r="157" spans="19:25" ht="15.75" x14ac:dyDescent="0.25">
      <c r="S157" s="814">
        <v>40513</v>
      </c>
      <c r="T157" s="718">
        <f t="shared" si="30"/>
        <v>0</v>
      </c>
      <c r="U157" s="718">
        <f>SUM(T146:T157)</f>
        <v>0</v>
      </c>
      <c r="W157" s="718">
        <v>0</v>
      </c>
      <c r="Y157" s="718">
        <f>SUM(W146:W157)</f>
        <v>0</v>
      </c>
    </row>
    <row r="158" spans="19:25" ht="15.75" x14ac:dyDescent="0.25">
      <c r="S158" s="814"/>
    </row>
    <row r="159" spans="19:25" ht="15.75" x14ac:dyDescent="0.25">
      <c r="S159" s="814"/>
    </row>
    <row r="160" spans="19:25" ht="15.75" x14ac:dyDescent="0.25">
      <c r="S160" s="814"/>
    </row>
    <row r="161" spans="19:19" ht="15.75" x14ac:dyDescent="0.25">
      <c r="S161" s="814"/>
    </row>
    <row r="162" spans="19:19" ht="15.75" x14ac:dyDescent="0.25">
      <c r="S162" s="814"/>
    </row>
    <row r="163" spans="19:19" ht="15.75" x14ac:dyDescent="0.25">
      <c r="S163" s="814"/>
    </row>
    <row r="164" spans="19:19" ht="15.75" x14ac:dyDescent="0.25">
      <c r="S164" s="814"/>
    </row>
    <row r="165" spans="19:19" ht="15.75" x14ac:dyDescent="0.25">
      <c r="S165" s="814"/>
    </row>
    <row r="188" spans="42:58" x14ac:dyDescent="0.2">
      <c r="AP188" s="818"/>
      <c r="AQ188" s="818"/>
      <c r="AR188" s="818"/>
      <c r="AS188" s="818"/>
      <c r="AT188" s="818"/>
      <c r="AU188" s="818"/>
      <c r="AV188" s="818"/>
      <c r="AW188" s="818"/>
      <c r="AX188" s="818"/>
      <c r="AY188" s="818"/>
      <c r="AZ188" s="818"/>
      <c r="BA188" s="818"/>
      <c r="BB188" s="818"/>
      <c r="BC188" s="818"/>
      <c r="BD188" s="818"/>
      <c r="BE188" s="818"/>
      <c r="BF188" s="818"/>
    </row>
    <row r="189" spans="42:58" x14ac:dyDescent="0.2">
      <c r="AP189" s="818"/>
      <c r="AQ189" s="818"/>
      <c r="AR189" s="818"/>
      <c r="AS189" s="818"/>
      <c r="AT189" s="818"/>
      <c r="AU189" s="818"/>
      <c r="AV189" s="818"/>
      <c r="AW189" s="818"/>
      <c r="AX189" s="818"/>
      <c r="AY189" s="818"/>
      <c r="AZ189" s="818"/>
      <c r="BA189" s="818"/>
      <c r="BB189" s="818"/>
      <c r="BC189" s="818"/>
      <c r="BD189" s="818"/>
      <c r="BE189" s="818"/>
      <c r="BF189" s="818"/>
    </row>
    <row r="190" spans="42:58" x14ac:dyDescent="0.2">
      <c r="AP190" s="818"/>
      <c r="AQ190" s="818"/>
      <c r="AR190" s="818"/>
      <c r="AS190" s="818"/>
      <c r="AT190" s="818"/>
      <c r="AU190" s="818"/>
      <c r="AV190" s="818"/>
      <c r="AW190" s="818"/>
      <c r="AX190" s="818"/>
      <c r="AY190" s="818"/>
      <c r="AZ190" s="818"/>
      <c r="BA190" s="818"/>
      <c r="BB190" s="818"/>
      <c r="BC190" s="818"/>
      <c r="BD190" s="818"/>
      <c r="BE190" s="818"/>
      <c r="BF190" s="818"/>
    </row>
    <row r="191" spans="42:58" x14ac:dyDescent="0.2">
      <c r="AP191" s="818"/>
      <c r="AQ191" s="818"/>
      <c r="AR191" s="818"/>
      <c r="AS191" s="818"/>
      <c r="AT191" s="818"/>
      <c r="AU191" s="818"/>
      <c r="AV191" s="818"/>
      <c r="AW191" s="818"/>
      <c r="AX191" s="818"/>
      <c r="AY191" s="818"/>
      <c r="AZ191" s="818"/>
      <c r="BA191" s="818"/>
      <c r="BB191" s="818"/>
      <c r="BC191" s="818"/>
      <c r="BD191" s="818"/>
      <c r="BE191" s="818"/>
      <c r="BF191" s="818"/>
    </row>
    <row r="192" spans="42:58" x14ac:dyDescent="0.2">
      <c r="AP192" s="818"/>
      <c r="AQ192" s="818"/>
      <c r="AR192" s="818"/>
      <c r="AS192" s="818"/>
      <c r="AT192" s="818"/>
      <c r="AU192" s="818"/>
      <c r="AV192" s="818"/>
      <c r="AW192" s="818"/>
      <c r="AX192" s="818"/>
      <c r="AY192" s="818"/>
      <c r="AZ192" s="818"/>
      <c r="BA192" s="818"/>
      <c r="BB192" s="818"/>
      <c r="BC192" s="818"/>
      <c r="BD192" s="818"/>
      <c r="BE192" s="818"/>
      <c r="BF192" s="818"/>
    </row>
    <row r="193" spans="13:58" x14ac:dyDescent="0.2">
      <c r="AP193" s="818"/>
      <c r="AQ193" s="818"/>
      <c r="AR193" s="818"/>
      <c r="AS193" s="818"/>
      <c r="AT193" s="818"/>
      <c r="AU193" s="818"/>
      <c r="AV193" s="818"/>
      <c r="AW193" s="818"/>
      <c r="AX193" s="818"/>
      <c r="AY193" s="818"/>
      <c r="AZ193" s="818"/>
      <c r="BA193" s="818"/>
      <c r="BB193" s="818"/>
      <c r="BC193" s="818"/>
      <c r="BD193" s="818"/>
      <c r="BE193" s="818"/>
      <c r="BF193" s="818"/>
    </row>
    <row r="194" spans="13:58" x14ac:dyDescent="0.2">
      <c r="AP194" s="818"/>
      <c r="AQ194" s="818"/>
      <c r="AR194" s="818"/>
      <c r="AS194" s="818"/>
      <c r="AT194" s="818"/>
      <c r="AU194" s="818"/>
      <c r="AV194" s="818"/>
      <c r="AW194" s="818"/>
      <c r="AX194" s="818"/>
      <c r="AY194" s="818"/>
      <c r="AZ194" s="818"/>
      <c r="BA194" s="818"/>
      <c r="BB194" s="818"/>
      <c r="BC194" s="818"/>
      <c r="BD194" s="818"/>
      <c r="BE194" s="818"/>
      <c r="BF194" s="818"/>
    </row>
    <row r="195" spans="13:58" x14ac:dyDescent="0.2">
      <c r="AP195" s="818"/>
      <c r="AQ195" s="818"/>
      <c r="AR195" s="818"/>
      <c r="AS195" s="818"/>
      <c r="AT195" s="818"/>
      <c r="AU195" s="818"/>
      <c r="AV195" s="818"/>
      <c r="AW195" s="818"/>
      <c r="AX195" s="818"/>
      <c r="AY195" s="818"/>
      <c r="AZ195" s="818"/>
      <c r="BA195" s="818"/>
      <c r="BB195" s="818"/>
      <c r="BC195" s="818"/>
      <c r="BD195" s="818"/>
      <c r="BE195" s="818"/>
      <c r="BF195" s="818"/>
    </row>
    <row r="196" spans="13:58" x14ac:dyDescent="0.2">
      <c r="AP196" s="818"/>
      <c r="AQ196" s="818"/>
      <c r="AR196" s="818"/>
      <c r="AS196" s="818"/>
      <c r="AT196" s="818"/>
      <c r="AU196" s="818"/>
      <c r="AV196" s="818"/>
      <c r="AW196" s="818"/>
      <c r="AX196" s="818"/>
      <c r="AY196" s="818"/>
      <c r="AZ196" s="818"/>
      <c r="BA196" s="818"/>
      <c r="BB196" s="818"/>
      <c r="BC196" s="818"/>
      <c r="BD196" s="818"/>
      <c r="BE196" s="818"/>
      <c r="BF196" s="818"/>
    </row>
    <row r="197" spans="13:58" x14ac:dyDescent="0.2">
      <c r="AP197" s="818"/>
      <c r="AQ197" s="818"/>
      <c r="AR197" s="818"/>
      <c r="AS197" s="818"/>
      <c r="AT197" s="818"/>
      <c r="AU197" s="818"/>
      <c r="AV197" s="818"/>
      <c r="AW197" s="818"/>
      <c r="AX197" s="818"/>
      <c r="AY197" s="818"/>
      <c r="AZ197" s="818"/>
      <c r="BA197" s="818"/>
      <c r="BB197" s="818"/>
      <c r="BC197" s="818"/>
      <c r="BD197" s="818"/>
      <c r="BE197" s="818"/>
      <c r="BF197" s="818"/>
    </row>
    <row r="198" spans="13:58" ht="11.25" customHeight="1" x14ac:dyDescent="0.2">
      <c r="AP198" s="818"/>
      <c r="AQ198" s="818"/>
      <c r="AR198" s="818"/>
      <c r="AS198" s="818"/>
      <c r="AT198" s="818"/>
      <c r="AU198" s="818"/>
      <c r="AV198" s="818"/>
      <c r="AW198" s="818"/>
      <c r="AX198" s="818"/>
      <c r="AY198" s="818"/>
      <c r="AZ198" s="818"/>
      <c r="BA198" s="818"/>
      <c r="BB198" s="818"/>
      <c r="BC198" s="818"/>
      <c r="BD198" s="818"/>
      <c r="BE198" s="818"/>
      <c r="BF198" s="818"/>
    </row>
    <row r="199" spans="13:58" s="817" customFormat="1" ht="19.5" customHeight="1" x14ac:dyDescent="0.25">
      <c r="M199" s="816"/>
      <c r="AP199" s="819"/>
      <c r="AQ199" s="819"/>
      <c r="AR199" s="819" t="s">
        <v>19</v>
      </c>
      <c r="AS199" s="819" t="s">
        <v>35</v>
      </c>
      <c r="AT199" s="819" t="s">
        <v>53</v>
      </c>
      <c r="AU199" s="819" t="s">
        <v>120</v>
      </c>
      <c r="AV199" s="819" t="s">
        <v>34</v>
      </c>
      <c r="AW199" s="819" t="s">
        <v>288</v>
      </c>
      <c r="AX199" s="819" t="s">
        <v>289</v>
      </c>
      <c r="AY199" s="819" t="s">
        <v>268</v>
      </c>
      <c r="AZ199" s="819" t="s">
        <v>269</v>
      </c>
      <c r="BA199" s="819" t="s">
        <v>335</v>
      </c>
      <c r="BB199" s="819" t="s">
        <v>257</v>
      </c>
      <c r="BC199" s="819" t="s">
        <v>98</v>
      </c>
      <c r="BD199" s="819"/>
      <c r="BE199" s="819"/>
      <c r="BF199" s="819"/>
    </row>
    <row r="200" spans="13:58" ht="15" x14ac:dyDescent="0.2">
      <c r="AP200" s="822"/>
      <c r="AQ200" s="822">
        <f>+TradeSum!CD21</f>
        <v>352</v>
      </c>
      <c r="AR200" s="820">
        <v>37257</v>
      </c>
      <c r="AS200" s="821">
        <v>48.037143707275391</v>
      </c>
      <c r="AT200" s="821">
        <v>0</v>
      </c>
      <c r="AU200" s="821">
        <f>+AT200+AS200</f>
        <v>48.037143707275391</v>
      </c>
      <c r="AV200" s="823" t="s">
        <v>336</v>
      </c>
      <c r="AW200" s="821">
        <f>AVERAGE(AU200:AU201)</f>
        <v>47.737142562866211</v>
      </c>
      <c r="AX200" s="821">
        <f>AVERAGE(AU202:AU203)</f>
        <v>39.001041412353516</v>
      </c>
      <c r="AY200" s="821">
        <f>+AU204</f>
        <v>42.749996185302734</v>
      </c>
      <c r="AZ200" s="821">
        <f>+AU205</f>
        <v>64</v>
      </c>
      <c r="BA200" s="821">
        <f>AVERAGE(AU206:AU207)</f>
        <v>98.5</v>
      </c>
      <c r="BB200" s="821">
        <f>+AU208</f>
        <v>39.000003814697266</v>
      </c>
      <c r="BC200" s="821">
        <f>AVERAGE(AU209:AU211)</f>
        <v>37.504997253417969</v>
      </c>
      <c r="BD200" s="821"/>
      <c r="BE200" s="821"/>
      <c r="BF200" s="821"/>
    </row>
    <row r="201" spans="13:58" ht="15" x14ac:dyDescent="0.2">
      <c r="AP201" s="822"/>
      <c r="AQ201" s="822">
        <f>+TradeSum!CD22</f>
        <v>352</v>
      </c>
      <c r="AR201" s="820">
        <v>37288</v>
      </c>
      <c r="AS201" s="821">
        <v>47.437141418457031</v>
      </c>
      <c r="AT201" s="821">
        <v>0</v>
      </c>
      <c r="AU201" s="821">
        <f t="shared" ref="AU201:AU264" si="31">+AT201+AS201</f>
        <v>47.437141418457031</v>
      </c>
      <c r="AV201" s="823" t="s">
        <v>337</v>
      </c>
      <c r="AW201" s="821">
        <f>AVERAGE(AU212:AU213)</f>
        <v>39.487863540649414</v>
      </c>
      <c r="AX201" s="821">
        <f>AVERAGE(AU214:AU215)</f>
        <v>32.498544692993164</v>
      </c>
      <c r="AY201" s="821">
        <f>+AU216</f>
        <v>34.503566741943359</v>
      </c>
      <c r="AZ201" s="821">
        <f>+AU217</f>
        <v>58.497856140136719</v>
      </c>
      <c r="BA201" s="821">
        <f>AVERAGE(AU218:AU219)</f>
        <v>87.497146606445313</v>
      </c>
      <c r="BB201" s="821">
        <f>+AU220</f>
        <v>34.252143859863281</v>
      </c>
      <c r="BC201" s="821">
        <f>AVERAGE(AU221:AU223)</f>
        <v>32.998931884765625</v>
      </c>
      <c r="BD201" s="821"/>
      <c r="BE201" s="821"/>
      <c r="BF201" s="821"/>
    </row>
    <row r="202" spans="13:58" ht="15" x14ac:dyDescent="0.2">
      <c r="AP202" s="822"/>
      <c r="AQ202" s="822">
        <f>+TradeSum!CD23</f>
        <v>320</v>
      </c>
      <c r="AR202" s="820">
        <v>37316</v>
      </c>
      <c r="AS202" s="821">
        <v>38.901039123535156</v>
      </c>
      <c r="AT202" s="821">
        <v>0</v>
      </c>
      <c r="AU202" s="821">
        <f t="shared" si="31"/>
        <v>38.901039123535156</v>
      </c>
      <c r="AV202" s="824"/>
      <c r="AW202" s="821">
        <f t="shared" ref="AW202:BC202" si="32">+AW201-AW200</f>
        <v>-8.2492790222167969</v>
      </c>
      <c r="AX202" s="821">
        <f t="shared" si="32"/>
        <v>-6.5024967193603516</v>
      </c>
      <c r="AY202" s="821">
        <f t="shared" si="32"/>
        <v>-8.246429443359375</v>
      </c>
      <c r="AZ202" s="821">
        <f t="shared" si="32"/>
        <v>-5.5021438598632813</v>
      </c>
      <c r="BA202" s="821">
        <f t="shared" si="32"/>
        <v>-11.002853393554688</v>
      </c>
      <c r="BB202" s="821">
        <f t="shared" si="32"/>
        <v>-4.7478599548339844</v>
      </c>
      <c r="BC202" s="821">
        <f t="shared" si="32"/>
        <v>-4.5060653686523438</v>
      </c>
      <c r="BD202" s="821"/>
      <c r="BE202" s="821"/>
      <c r="BF202" s="821"/>
    </row>
    <row r="203" spans="13:58" ht="15" x14ac:dyDescent="0.2">
      <c r="AP203" s="822"/>
      <c r="AQ203" s="822">
        <f>+TradeSum!CD24</f>
        <v>368</v>
      </c>
      <c r="AR203" s="820">
        <v>37347</v>
      </c>
      <c r="AS203" s="821">
        <v>39.101043701171875</v>
      </c>
      <c r="AT203" s="821">
        <v>0</v>
      </c>
      <c r="AU203" s="821">
        <f t="shared" si="31"/>
        <v>39.101043701171875</v>
      </c>
      <c r="AV203" s="824"/>
      <c r="AW203" s="821"/>
      <c r="AX203" s="821"/>
      <c r="AY203" s="821"/>
      <c r="AZ203" s="821"/>
      <c r="BA203" s="821"/>
      <c r="BB203" s="821"/>
      <c r="BC203" s="821"/>
      <c r="BD203" s="821"/>
      <c r="BE203" s="821"/>
      <c r="BF203" s="821"/>
    </row>
    <row r="204" spans="13:58" ht="15" x14ac:dyDescent="0.2">
      <c r="AP204" s="822"/>
      <c r="AQ204" s="822">
        <f>+TradeSum!CD25</f>
        <v>320</v>
      </c>
      <c r="AR204" s="820">
        <v>37377</v>
      </c>
      <c r="AS204" s="821">
        <v>42.749996185302734</v>
      </c>
      <c r="AT204" s="821">
        <v>0</v>
      </c>
      <c r="AU204" s="821">
        <f t="shared" si="31"/>
        <v>42.749996185302734</v>
      </c>
      <c r="AV204" s="823" t="s">
        <v>338</v>
      </c>
      <c r="AW204" s="821">
        <f>AVERAGE(AU224:AU225)</f>
        <v>41.112863540649414</v>
      </c>
      <c r="AX204" s="821">
        <f>AVERAGE(AU226:AU227)</f>
        <v>31.998544692993164</v>
      </c>
      <c r="AY204" s="821">
        <f>+AU228</f>
        <v>34.003566741943359</v>
      </c>
      <c r="AZ204" s="821">
        <f>+AU229</f>
        <v>52.997856140136719</v>
      </c>
      <c r="BA204" s="821">
        <f>AVERAGE(AU230:AU231)</f>
        <v>77.997146606445313</v>
      </c>
      <c r="BB204" s="821">
        <f>+AU232</f>
        <v>33.752143859863281</v>
      </c>
      <c r="BC204" s="821">
        <f>AVERAGE(AU233:AU235)</f>
        <v>32.498931884765625</v>
      </c>
      <c r="BD204" s="821"/>
      <c r="BE204" s="821"/>
      <c r="BF204" s="821"/>
    </row>
    <row r="205" spans="13:58" ht="15" x14ac:dyDescent="0.2">
      <c r="AP205" s="822"/>
      <c r="AQ205" s="822">
        <f>+TradeSum!CD26</f>
        <v>336</v>
      </c>
      <c r="AR205" s="820">
        <v>37408</v>
      </c>
      <c r="AS205" s="821">
        <v>64</v>
      </c>
      <c r="AT205" s="821">
        <v>0</v>
      </c>
      <c r="AU205" s="821">
        <f t="shared" si="31"/>
        <v>64</v>
      </c>
      <c r="AV205" s="824"/>
      <c r="AW205" s="821">
        <f t="shared" ref="AW205:BC205" si="33">+AW204-AW201</f>
        <v>1.625</v>
      </c>
      <c r="AX205" s="821">
        <f t="shared" si="33"/>
        <v>-0.5</v>
      </c>
      <c r="AY205" s="821">
        <f t="shared" si="33"/>
        <v>-0.5</v>
      </c>
      <c r="AZ205" s="821">
        <f t="shared" si="33"/>
        <v>-5.5</v>
      </c>
      <c r="BA205" s="821">
        <f t="shared" si="33"/>
        <v>-9.5</v>
      </c>
      <c r="BB205" s="821">
        <f t="shared" si="33"/>
        <v>-0.5</v>
      </c>
      <c r="BC205" s="821">
        <f t="shared" si="33"/>
        <v>-0.5</v>
      </c>
      <c r="BD205" s="821"/>
      <c r="BE205" s="821"/>
      <c r="BF205" s="821"/>
    </row>
    <row r="206" spans="13:58" ht="15" x14ac:dyDescent="0.2">
      <c r="AP206" s="822"/>
      <c r="AQ206" s="822">
        <f>+TradeSum!CD27</f>
        <v>352</v>
      </c>
      <c r="AR206" s="820">
        <v>37438</v>
      </c>
      <c r="AS206" s="821">
        <v>98.5</v>
      </c>
      <c r="AT206" s="821">
        <v>0</v>
      </c>
      <c r="AU206" s="821">
        <f t="shared" si="31"/>
        <v>98.5</v>
      </c>
      <c r="AV206" s="824"/>
      <c r="AW206" s="821"/>
      <c r="AX206" s="821"/>
      <c r="AY206" s="821"/>
      <c r="AZ206" s="821"/>
      <c r="BA206" s="821"/>
      <c r="BB206" s="821"/>
      <c r="BC206" s="821"/>
      <c r="BD206" s="821"/>
      <c r="BE206" s="821"/>
      <c r="BF206" s="821"/>
    </row>
    <row r="207" spans="13:58" ht="15" x14ac:dyDescent="0.2">
      <c r="AP207" s="822"/>
      <c r="AQ207" s="822">
        <f>+TradeSum!CD28</f>
        <v>320</v>
      </c>
      <c r="AR207" s="820">
        <v>37469</v>
      </c>
      <c r="AS207" s="821">
        <v>98.5</v>
      </c>
      <c r="AT207" s="821">
        <v>0</v>
      </c>
      <c r="AU207" s="821">
        <f t="shared" si="31"/>
        <v>98.5</v>
      </c>
      <c r="AV207" s="823" t="s">
        <v>339</v>
      </c>
      <c r="AW207" s="821">
        <f>AVERAGE(AU236:AU237)</f>
        <v>41.112863540649414</v>
      </c>
      <c r="AX207" s="821">
        <f>AVERAGE(AU238:AU239)</f>
        <v>32.248544692993164</v>
      </c>
      <c r="AY207" s="821">
        <f>+AU240</f>
        <v>34.253566741943359</v>
      </c>
      <c r="AZ207" s="821">
        <f>+AU241</f>
        <v>49.747856140136719</v>
      </c>
      <c r="BA207" s="821">
        <f>AVERAGE(AU242:AU243)</f>
        <v>73.247146606445313</v>
      </c>
      <c r="BB207" s="821">
        <f>+AU244</f>
        <v>34.002143859863281</v>
      </c>
      <c r="BC207" s="821">
        <f>AVERAGE(AU245:AU247)</f>
        <v>32.748931884765625</v>
      </c>
      <c r="BD207" s="821"/>
      <c r="BE207" s="821"/>
      <c r="BF207" s="821"/>
    </row>
    <row r="208" spans="13:58" ht="15" x14ac:dyDescent="0.2">
      <c r="AP208" s="822"/>
      <c r="AQ208" s="822">
        <f>+TradeSum!CD29</f>
        <v>336</v>
      </c>
      <c r="AR208" s="820">
        <v>37500</v>
      </c>
      <c r="AS208" s="821">
        <v>39.000003814697266</v>
      </c>
      <c r="AT208" s="821">
        <v>0</v>
      </c>
      <c r="AU208" s="821">
        <f t="shared" si="31"/>
        <v>39.000003814697266</v>
      </c>
      <c r="AV208" s="824"/>
      <c r="AW208" s="821">
        <f t="shared" ref="AW208:BC208" si="34">+AW207-AW204</f>
        <v>0</v>
      </c>
      <c r="AX208" s="821">
        <f t="shared" si="34"/>
        <v>0.25</v>
      </c>
      <c r="AY208" s="821">
        <f t="shared" si="34"/>
        <v>0.25</v>
      </c>
      <c r="AZ208" s="821">
        <f t="shared" si="34"/>
        <v>-3.25</v>
      </c>
      <c r="BA208" s="821">
        <f t="shared" si="34"/>
        <v>-4.75</v>
      </c>
      <c r="BB208" s="821">
        <f t="shared" si="34"/>
        <v>0.25</v>
      </c>
      <c r="BC208" s="821">
        <f t="shared" si="34"/>
        <v>0.25</v>
      </c>
      <c r="BD208" s="821"/>
      <c r="BE208" s="821"/>
      <c r="BF208" s="821"/>
    </row>
    <row r="209" spans="42:58" ht="15" x14ac:dyDescent="0.2">
      <c r="AP209" s="822"/>
      <c r="AQ209" s="822">
        <f>+TradeSum!CD30</f>
        <v>352</v>
      </c>
      <c r="AR209" s="820">
        <v>37530</v>
      </c>
      <c r="AS209" s="821">
        <v>37.404998779296875</v>
      </c>
      <c r="AT209" s="821">
        <v>0</v>
      </c>
      <c r="AU209" s="821">
        <f t="shared" si="31"/>
        <v>37.404998779296875</v>
      </c>
      <c r="AV209" s="824"/>
      <c r="AW209" s="821"/>
      <c r="AX209" s="821"/>
      <c r="AY209" s="821"/>
      <c r="AZ209" s="821"/>
      <c r="BA209" s="821"/>
      <c r="BB209" s="821"/>
      <c r="BC209" s="821"/>
      <c r="BD209" s="821"/>
      <c r="BE209" s="821"/>
      <c r="BF209" s="821"/>
    </row>
    <row r="210" spans="42:58" ht="15" x14ac:dyDescent="0.2">
      <c r="AP210" s="822"/>
      <c r="AQ210" s="822">
        <f>+TradeSum!CD31</f>
        <v>336</v>
      </c>
      <c r="AR210" s="820">
        <v>37561</v>
      </c>
      <c r="AS210" s="821">
        <v>37.504997253417969</v>
      </c>
      <c r="AT210" s="821">
        <v>0</v>
      </c>
      <c r="AU210" s="821">
        <f t="shared" si="31"/>
        <v>37.504997253417969</v>
      </c>
      <c r="AV210" s="823" t="s">
        <v>340</v>
      </c>
      <c r="AW210" s="821">
        <f>AVERAGE(AU248:AU249)</f>
        <v>41.612863540649414</v>
      </c>
      <c r="AX210" s="821">
        <f>AVERAGE(AU250:AU251)</f>
        <v>32.748544692993164</v>
      </c>
      <c r="AY210" s="821">
        <f>+AU252</f>
        <v>34.753566741943359</v>
      </c>
      <c r="AZ210" s="821">
        <f>+AU253</f>
        <v>47.997856140136719</v>
      </c>
      <c r="BA210" s="821">
        <f>AVERAGE(AU254:AU255)</f>
        <v>71.997146606445313</v>
      </c>
      <c r="BB210" s="821">
        <f>+AU256</f>
        <v>34.502143859863281</v>
      </c>
      <c r="BC210" s="821">
        <f>AVERAGE(AU257:AU259)</f>
        <v>33.248931884765625</v>
      </c>
      <c r="BD210" s="821"/>
      <c r="BE210" s="821"/>
      <c r="BF210" s="821"/>
    </row>
    <row r="211" spans="42:58" ht="15" x14ac:dyDescent="0.2">
      <c r="AP211" s="822"/>
      <c r="AQ211" s="822">
        <f>+TradeSum!CD32</f>
        <v>336</v>
      </c>
      <c r="AR211" s="820">
        <v>37591</v>
      </c>
      <c r="AS211" s="821">
        <v>37.604995727539063</v>
      </c>
      <c r="AT211" s="821">
        <v>0</v>
      </c>
      <c r="AU211" s="821">
        <f t="shared" si="31"/>
        <v>37.604995727539063</v>
      </c>
      <c r="AV211" s="824"/>
      <c r="AW211" s="821">
        <f t="shared" ref="AW211:BC211" si="35">+AW210-AW207</f>
        <v>0.5</v>
      </c>
      <c r="AX211" s="821">
        <f t="shared" si="35"/>
        <v>0.5</v>
      </c>
      <c r="AY211" s="821">
        <f t="shared" si="35"/>
        <v>0.5</v>
      </c>
      <c r="AZ211" s="821">
        <f t="shared" si="35"/>
        <v>-1.75</v>
      </c>
      <c r="BA211" s="821">
        <f t="shared" si="35"/>
        <v>-1.25</v>
      </c>
      <c r="BB211" s="821">
        <f t="shared" si="35"/>
        <v>0.5</v>
      </c>
      <c r="BC211" s="821">
        <f t="shared" si="35"/>
        <v>0.5</v>
      </c>
      <c r="BD211" s="821"/>
      <c r="BE211" s="821"/>
      <c r="BF211" s="821"/>
    </row>
    <row r="212" spans="42:58" ht="15" x14ac:dyDescent="0.2">
      <c r="AP212" s="822"/>
      <c r="AQ212" s="822">
        <f>+TradeSum!CD33</f>
        <v>352</v>
      </c>
      <c r="AR212" s="820">
        <v>37622</v>
      </c>
      <c r="AS212" s="821">
        <v>39.787864685058594</v>
      </c>
      <c r="AT212" s="821">
        <v>0</v>
      </c>
      <c r="AU212" s="821">
        <f t="shared" si="31"/>
        <v>39.787864685058594</v>
      </c>
      <c r="AV212" s="824"/>
      <c r="AW212" s="821"/>
      <c r="AX212" s="821"/>
      <c r="AY212" s="821"/>
      <c r="AZ212" s="821"/>
      <c r="BA212" s="821"/>
      <c r="BB212" s="821"/>
      <c r="BC212" s="821"/>
      <c r="BD212" s="821"/>
      <c r="BE212" s="821"/>
      <c r="BF212" s="821"/>
    </row>
    <row r="213" spans="42:58" ht="15" x14ac:dyDescent="0.2">
      <c r="AP213" s="822"/>
      <c r="AQ213" s="822">
        <f>+TradeSum!CD34</f>
        <v>336</v>
      </c>
      <c r="AR213" s="820">
        <v>37653</v>
      </c>
      <c r="AS213" s="821">
        <v>39.187862396240234</v>
      </c>
      <c r="AT213" s="821">
        <v>0</v>
      </c>
      <c r="AU213" s="821">
        <f t="shared" si="31"/>
        <v>39.187862396240234</v>
      </c>
      <c r="AV213" s="823" t="s">
        <v>341</v>
      </c>
      <c r="AW213" s="821">
        <f>AVERAGE(AU260:AU261)</f>
        <v>42.112863540649414</v>
      </c>
      <c r="AX213" s="821">
        <f>AVERAGE(AU262:AU263)</f>
        <v>33.248544692993164</v>
      </c>
      <c r="AY213" s="821">
        <f>+AU264</f>
        <v>35.253566741943359</v>
      </c>
      <c r="AZ213" s="821">
        <f>+AU265</f>
        <v>48.497856140136719</v>
      </c>
      <c r="BA213" s="821">
        <f>AVERAGE(AU266:AU267)</f>
        <v>72.497146606445313</v>
      </c>
      <c r="BB213" s="821">
        <f>+AU268</f>
        <v>35.002143859863281</v>
      </c>
      <c r="BC213" s="821">
        <f>AVERAGE(AU269:AU271)</f>
        <v>33.748931884765625</v>
      </c>
      <c r="BD213" s="821"/>
      <c r="BE213" s="821"/>
      <c r="BF213" s="821"/>
    </row>
    <row r="214" spans="42:58" ht="15" x14ac:dyDescent="0.2">
      <c r="AP214" s="822"/>
      <c r="AQ214" s="822">
        <f>+TradeSum!CD35</f>
        <v>336</v>
      </c>
      <c r="AR214" s="820">
        <v>37681</v>
      </c>
      <c r="AS214" s="821">
        <v>32.398544311523438</v>
      </c>
      <c r="AT214" s="821">
        <v>0</v>
      </c>
      <c r="AU214" s="821">
        <f t="shared" si="31"/>
        <v>32.398544311523438</v>
      </c>
      <c r="AV214" s="824"/>
      <c r="AW214" s="821">
        <f t="shared" ref="AW214:BC214" si="36">+AW213-AW210</f>
        <v>0.5</v>
      </c>
      <c r="AX214" s="821">
        <f t="shared" si="36"/>
        <v>0.5</v>
      </c>
      <c r="AY214" s="821">
        <f t="shared" si="36"/>
        <v>0.5</v>
      </c>
      <c r="AZ214" s="821">
        <f t="shared" si="36"/>
        <v>0.5</v>
      </c>
      <c r="BA214" s="821">
        <f t="shared" si="36"/>
        <v>0.5</v>
      </c>
      <c r="BB214" s="821">
        <f t="shared" si="36"/>
        <v>0.5</v>
      </c>
      <c r="BC214" s="821">
        <f t="shared" si="36"/>
        <v>0.5</v>
      </c>
      <c r="BD214" s="821"/>
      <c r="BE214" s="821"/>
      <c r="BF214" s="821"/>
    </row>
    <row r="215" spans="42:58" ht="15" x14ac:dyDescent="0.2">
      <c r="AP215" s="822"/>
      <c r="AQ215" s="822">
        <f>+TradeSum!CD36</f>
        <v>368</v>
      </c>
      <c r="AR215" s="820">
        <v>37712</v>
      </c>
      <c r="AS215" s="821">
        <v>32.598545074462891</v>
      </c>
      <c r="AT215" s="821">
        <v>0</v>
      </c>
      <c r="AU215" s="821">
        <f t="shared" si="31"/>
        <v>32.598545074462891</v>
      </c>
      <c r="AV215" s="824"/>
      <c r="AW215" s="821"/>
      <c r="AX215" s="821"/>
      <c r="AY215" s="821"/>
      <c r="AZ215" s="821"/>
      <c r="BA215" s="821"/>
      <c r="BB215" s="821"/>
      <c r="BC215" s="821"/>
      <c r="BD215" s="821"/>
      <c r="BE215" s="821"/>
      <c r="BF215" s="821"/>
    </row>
    <row r="216" spans="42:58" ht="15" x14ac:dyDescent="0.2">
      <c r="AP216" s="822"/>
      <c r="AQ216" s="822">
        <f>+TradeSum!CD37</f>
        <v>304</v>
      </c>
      <c r="AR216" s="820">
        <v>37742</v>
      </c>
      <c r="AS216" s="821">
        <v>34.503566741943359</v>
      </c>
      <c r="AT216" s="821">
        <v>0</v>
      </c>
      <c r="AU216" s="821">
        <f t="shared" si="31"/>
        <v>34.503566741943359</v>
      </c>
      <c r="AV216" s="823" t="s">
        <v>342</v>
      </c>
      <c r="AW216" s="821">
        <f>AVERAGE(AU272:AU273)</f>
        <v>42.612863540649414</v>
      </c>
      <c r="AX216" s="821">
        <f>AVERAGE(AU274:AU275)</f>
        <v>33.748544692993164</v>
      </c>
      <c r="AY216" s="821">
        <f>+AU276</f>
        <v>35.753566741943359</v>
      </c>
      <c r="AZ216" s="821">
        <f>+AU277</f>
        <v>49.247856140136719</v>
      </c>
      <c r="BA216" s="821">
        <f>AVERAGE(AU278:AU279)</f>
        <v>73.247146606445313</v>
      </c>
      <c r="BB216" s="821">
        <f>+AU280</f>
        <v>35.502143859863281</v>
      </c>
      <c r="BC216" s="821">
        <f>AVERAGE(AU281:AU283)</f>
        <v>34.248931884765625</v>
      </c>
      <c r="BD216" s="821"/>
      <c r="BE216" s="821"/>
      <c r="BF216" s="821"/>
    </row>
    <row r="217" spans="42:58" ht="15" x14ac:dyDescent="0.2">
      <c r="AP217" s="822"/>
      <c r="AQ217" s="822">
        <f>+TradeSum!CD38</f>
        <v>352</v>
      </c>
      <c r="AR217" s="820">
        <v>37773</v>
      </c>
      <c r="AS217" s="821">
        <v>58.497856140136719</v>
      </c>
      <c r="AT217" s="821">
        <v>0</v>
      </c>
      <c r="AU217" s="821">
        <f t="shared" si="31"/>
        <v>58.497856140136719</v>
      </c>
      <c r="AV217" s="824"/>
      <c r="AW217" s="821">
        <f t="shared" ref="AW217:BC217" si="37">+AW216-AW213</f>
        <v>0.5</v>
      </c>
      <c r="AX217" s="821">
        <f t="shared" si="37"/>
        <v>0.5</v>
      </c>
      <c r="AY217" s="821">
        <f t="shared" si="37"/>
        <v>0.5</v>
      </c>
      <c r="AZ217" s="821">
        <f t="shared" si="37"/>
        <v>0.75</v>
      </c>
      <c r="BA217" s="821">
        <f t="shared" si="37"/>
        <v>0.75</v>
      </c>
      <c r="BB217" s="821">
        <f t="shared" si="37"/>
        <v>0.5</v>
      </c>
      <c r="BC217" s="821">
        <f t="shared" si="37"/>
        <v>0.5</v>
      </c>
      <c r="BD217" s="821"/>
      <c r="BE217" s="821"/>
      <c r="BF217" s="821"/>
    </row>
    <row r="218" spans="42:58" ht="15" x14ac:dyDescent="0.2">
      <c r="AP218" s="822"/>
      <c r="AQ218" s="822">
        <f>+TradeSum!CD39</f>
        <v>336</v>
      </c>
      <c r="AR218" s="820">
        <v>37803</v>
      </c>
      <c r="AS218" s="821">
        <v>87.497146606445313</v>
      </c>
      <c r="AT218" s="821">
        <v>0</v>
      </c>
      <c r="AU218" s="821">
        <f t="shared" si="31"/>
        <v>87.497146606445313</v>
      </c>
      <c r="AV218" s="824"/>
      <c r="AW218" s="821"/>
      <c r="AX218" s="821"/>
      <c r="AY218" s="821"/>
      <c r="AZ218" s="821"/>
      <c r="BA218" s="821"/>
      <c r="BB218" s="821"/>
      <c r="BC218" s="821"/>
      <c r="BD218" s="821"/>
      <c r="BE218" s="821"/>
      <c r="BF218" s="821"/>
    </row>
    <row r="219" spans="42:58" ht="15" x14ac:dyDescent="0.2">
      <c r="AP219" s="822"/>
      <c r="AQ219" s="822">
        <f>+TradeSum!CD40</f>
        <v>320</v>
      </c>
      <c r="AR219" s="820">
        <v>37834</v>
      </c>
      <c r="AS219" s="821">
        <v>87.497146606445313</v>
      </c>
      <c r="AT219" s="821">
        <v>0</v>
      </c>
      <c r="AU219" s="821">
        <f t="shared" si="31"/>
        <v>87.497146606445313</v>
      </c>
      <c r="AV219" s="823" t="s">
        <v>343</v>
      </c>
      <c r="AW219" s="821">
        <f>AVERAGE(AU284:AU285)</f>
        <v>43.112863540649414</v>
      </c>
      <c r="AX219" s="821">
        <f>AVERAGE(AU286:AU287)</f>
        <v>34.248544692993164</v>
      </c>
      <c r="AY219" s="821">
        <f>+AU288</f>
        <v>36.253566741943359</v>
      </c>
      <c r="AZ219" s="821">
        <f>+AU289</f>
        <v>50.247856140136719</v>
      </c>
      <c r="BA219" s="821">
        <f>AVERAGE(AU290:AU291)</f>
        <v>75.247146606445313</v>
      </c>
      <c r="BB219" s="821">
        <f>+AU292</f>
        <v>36.002143859863281</v>
      </c>
      <c r="BC219" s="821">
        <f>AVERAGE(AU293:AU295)</f>
        <v>34.748931884765625</v>
      </c>
      <c r="BD219" s="821"/>
      <c r="BE219" s="821"/>
      <c r="BF219" s="821"/>
    </row>
    <row r="220" spans="42:58" ht="15" x14ac:dyDescent="0.2">
      <c r="AP220" s="822"/>
      <c r="AQ220" s="822">
        <f>+TradeSum!CD41</f>
        <v>368</v>
      </c>
      <c r="AR220" s="820">
        <v>37865</v>
      </c>
      <c r="AS220" s="821">
        <v>34.252143859863281</v>
      </c>
      <c r="AT220" s="821">
        <v>0</v>
      </c>
      <c r="AU220" s="821">
        <f t="shared" si="31"/>
        <v>34.252143859863281</v>
      </c>
      <c r="AV220" s="824"/>
      <c r="AW220" s="821">
        <f t="shared" ref="AW220:BC220" si="38">+AW219-AW216</f>
        <v>0.5</v>
      </c>
      <c r="AX220" s="821">
        <f t="shared" si="38"/>
        <v>0.5</v>
      </c>
      <c r="AY220" s="821">
        <f t="shared" si="38"/>
        <v>0.5</v>
      </c>
      <c r="AZ220" s="821">
        <f t="shared" si="38"/>
        <v>1</v>
      </c>
      <c r="BA220" s="821">
        <f t="shared" si="38"/>
        <v>2</v>
      </c>
      <c r="BB220" s="821">
        <f t="shared" si="38"/>
        <v>0.5</v>
      </c>
      <c r="BC220" s="821">
        <f t="shared" si="38"/>
        <v>0.5</v>
      </c>
      <c r="BD220" s="821"/>
      <c r="BE220" s="821"/>
      <c r="BF220" s="821"/>
    </row>
    <row r="221" spans="42:58" ht="15" x14ac:dyDescent="0.2">
      <c r="AP221" s="822"/>
      <c r="AQ221" s="822">
        <f>+TradeSum!CD42</f>
        <v>352</v>
      </c>
      <c r="AR221" s="820">
        <v>37895</v>
      </c>
      <c r="AS221" s="821">
        <v>32.898933410644531</v>
      </c>
      <c r="AT221" s="821">
        <v>0</v>
      </c>
      <c r="AU221" s="821">
        <f t="shared" si="31"/>
        <v>32.898933410644531</v>
      </c>
      <c r="AV221" s="824"/>
      <c r="AW221" s="821"/>
      <c r="AX221" s="821"/>
      <c r="AY221" s="821"/>
      <c r="AZ221" s="821"/>
      <c r="BA221" s="821"/>
      <c r="BB221" s="821"/>
      <c r="BC221" s="821"/>
      <c r="BD221" s="821"/>
      <c r="BE221" s="821"/>
      <c r="BF221" s="821"/>
    </row>
    <row r="222" spans="42:58" ht="15" x14ac:dyDescent="0.2">
      <c r="AP222" s="822"/>
      <c r="AQ222" s="822">
        <f>+TradeSum!CD43</f>
        <v>320</v>
      </c>
      <c r="AR222" s="820">
        <v>37926</v>
      </c>
      <c r="AS222" s="821">
        <v>32.998931884765625</v>
      </c>
      <c r="AT222" s="821">
        <v>0</v>
      </c>
      <c r="AU222" s="821">
        <f t="shared" si="31"/>
        <v>32.998931884765625</v>
      </c>
      <c r="AV222" s="823" t="s">
        <v>344</v>
      </c>
      <c r="AW222" s="821">
        <f>AVERAGE(AU296:AU297)</f>
        <v>43.612863540649414</v>
      </c>
      <c r="AX222" s="821">
        <f>AVERAGE(AU298:AU299)</f>
        <v>34.748544692993164</v>
      </c>
      <c r="AY222" s="821">
        <f>+AU300</f>
        <v>36.753566741943359</v>
      </c>
      <c r="AZ222" s="821">
        <f>+AU301</f>
        <v>51.247856140136719</v>
      </c>
      <c r="BA222" s="821">
        <f>AVERAGE(AU302:AU303)</f>
        <v>77.247146606445313</v>
      </c>
      <c r="BB222" s="821">
        <f>+AU304</f>
        <v>36.502143859863281</v>
      </c>
      <c r="BC222" s="821">
        <f>AVERAGE(AU305:AU307)</f>
        <v>35.248931884765625</v>
      </c>
      <c r="BD222" s="821"/>
      <c r="BE222" s="821"/>
      <c r="BF222" s="821"/>
    </row>
    <row r="223" spans="42:58" ht="15" x14ac:dyDescent="0.2">
      <c r="AP223" s="822"/>
      <c r="AQ223" s="822">
        <f>+TradeSum!CD44</f>
        <v>352</v>
      </c>
      <c r="AR223" s="820">
        <v>37956</v>
      </c>
      <c r="AS223" s="821">
        <v>33.098930358886719</v>
      </c>
      <c r="AT223" s="821">
        <v>0</v>
      </c>
      <c r="AU223" s="821">
        <f t="shared" si="31"/>
        <v>33.098930358886719</v>
      </c>
      <c r="AV223" s="824"/>
      <c r="AW223" s="821">
        <f t="shared" ref="AW223:BC223" si="39">+AW222-AW219</f>
        <v>0.5</v>
      </c>
      <c r="AX223" s="821">
        <f t="shared" si="39"/>
        <v>0.5</v>
      </c>
      <c r="AY223" s="821">
        <f t="shared" si="39"/>
        <v>0.5</v>
      </c>
      <c r="AZ223" s="821">
        <f t="shared" si="39"/>
        <v>1</v>
      </c>
      <c r="BA223" s="821">
        <f t="shared" si="39"/>
        <v>2</v>
      </c>
      <c r="BB223" s="821">
        <f t="shared" si="39"/>
        <v>0.5</v>
      </c>
      <c r="BC223" s="821">
        <f t="shared" si="39"/>
        <v>0.5</v>
      </c>
      <c r="BD223" s="821"/>
      <c r="BE223" s="821"/>
      <c r="BF223" s="821"/>
    </row>
    <row r="224" spans="42:58" ht="15" x14ac:dyDescent="0.2">
      <c r="AP224" s="822"/>
      <c r="AQ224" s="818"/>
      <c r="AR224" s="820">
        <v>37987</v>
      </c>
      <c r="AS224" s="821">
        <v>41.537864685058594</v>
      </c>
      <c r="AT224" s="821">
        <v>0</v>
      </c>
      <c r="AU224" s="821">
        <f t="shared" si="31"/>
        <v>41.537864685058594</v>
      </c>
      <c r="AV224" s="824"/>
      <c r="AW224" s="821"/>
      <c r="AX224" s="821"/>
      <c r="AY224" s="821"/>
      <c r="AZ224" s="821"/>
      <c r="BA224" s="821"/>
      <c r="BB224" s="821"/>
      <c r="BC224" s="821"/>
      <c r="BD224" s="821"/>
      <c r="BE224" s="821"/>
      <c r="BF224" s="821"/>
    </row>
    <row r="225" spans="42:58" ht="15" x14ac:dyDescent="0.2">
      <c r="AP225" s="822"/>
      <c r="AQ225" s="818"/>
      <c r="AR225" s="820">
        <v>38018</v>
      </c>
      <c r="AS225" s="821">
        <v>40.687862396240234</v>
      </c>
      <c r="AT225" s="821">
        <v>0</v>
      </c>
      <c r="AU225" s="821">
        <f t="shared" si="31"/>
        <v>40.687862396240234</v>
      </c>
      <c r="AV225" s="824"/>
      <c r="AW225" s="821"/>
      <c r="AX225" s="821"/>
      <c r="AY225" s="821"/>
      <c r="AZ225" s="821"/>
      <c r="BA225" s="821"/>
      <c r="BB225" s="821"/>
      <c r="BC225" s="821"/>
      <c r="BD225" s="821"/>
      <c r="BE225" s="821"/>
      <c r="BF225" s="821"/>
    </row>
    <row r="226" spans="42:58" ht="15" x14ac:dyDescent="0.2">
      <c r="AP226" s="822"/>
      <c r="AQ226" s="818"/>
      <c r="AR226" s="820">
        <v>38047</v>
      </c>
      <c r="AS226" s="821">
        <v>31.898544311523438</v>
      </c>
      <c r="AT226" s="821">
        <v>0</v>
      </c>
      <c r="AU226" s="821">
        <f t="shared" si="31"/>
        <v>31.898544311523438</v>
      </c>
      <c r="AV226" s="824"/>
      <c r="AW226" s="821"/>
      <c r="AX226" s="821"/>
      <c r="AY226" s="821"/>
      <c r="AZ226" s="821"/>
      <c r="BA226" s="821"/>
      <c r="BB226" s="821"/>
      <c r="BC226" s="821"/>
      <c r="BD226" s="821"/>
      <c r="BE226" s="821"/>
      <c r="BF226" s="821"/>
    </row>
    <row r="227" spans="42:58" ht="15" x14ac:dyDescent="0.2">
      <c r="AP227" s="822"/>
      <c r="AQ227" s="818"/>
      <c r="AR227" s="820">
        <v>38078</v>
      </c>
      <c r="AS227" s="821">
        <v>32.098545074462891</v>
      </c>
      <c r="AT227" s="821">
        <v>0</v>
      </c>
      <c r="AU227" s="821">
        <f t="shared" si="31"/>
        <v>32.098545074462891</v>
      </c>
      <c r="AV227" s="824"/>
      <c r="AW227" s="821"/>
      <c r="AX227" s="821"/>
      <c r="AY227" s="821"/>
      <c r="AZ227" s="821"/>
      <c r="BA227" s="821"/>
      <c r="BB227" s="821"/>
      <c r="BC227" s="821"/>
      <c r="BD227" s="821"/>
      <c r="BE227" s="821"/>
      <c r="BF227" s="821"/>
    </row>
    <row r="228" spans="42:58" ht="15" x14ac:dyDescent="0.2">
      <c r="AP228" s="822"/>
      <c r="AQ228" s="818"/>
      <c r="AR228" s="820">
        <v>38108</v>
      </c>
      <c r="AS228" s="821">
        <v>34.003566741943359</v>
      </c>
      <c r="AT228" s="821">
        <v>0</v>
      </c>
      <c r="AU228" s="821">
        <f t="shared" si="31"/>
        <v>34.003566741943359</v>
      </c>
      <c r="AV228" s="824"/>
      <c r="AW228" s="821"/>
      <c r="AX228" s="821"/>
      <c r="AY228" s="821"/>
      <c r="AZ228" s="821"/>
      <c r="BA228" s="821"/>
      <c r="BB228" s="821"/>
      <c r="BC228" s="821"/>
      <c r="BD228" s="821"/>
      <c r="BE228" s="821"/>
      <c r="BF228" s="821"/>
    </row>
    <row r="229" spans="42:58" ht="15" x14ac:dyDescent="0.2">
      <c r="AP229" s="822"/>
      <c r="AQ229" s="818"/>
      <c r="AR229" s="820">
        <v>38139</v>
      </c>
      <c r="AS229" s="821">
        <v>52.997856140136719</v>
      </c>
      <c r="AT229" s="821">
        <v>0</v>
      </c>
      <c r="AU229" s="821">
        <f t="shared" si="31"/>
        <v>52.997856140136719</v>
      </c>
      <c r="AV229" s="824"/>
      <c r="AW229" s="821"/>
      <c r="AX229" s="821"/>
      <c r="AY229" s="821"/>
      <c r="AZ229" s="821"/>
      <c r="BA229" s="821"/>
      <c r="BB229" s="821"/>
      <c r="BC229" s="821"/>
      <c r="BD229" s="821"/>
      <c r="BE229" s="821"/>
      <c r="BF229" s="821"/>
    </row>
    <row r="230" spans="42:58" ht="15" x14ac:dyDescent="0.2">
      <c r="AP230" s="822"/>
      <c r="AQ230" s="818"/>
      <c r="AR230" s="820">
        <v>38169</v>
      </c>
      <c r="AS230" s="821">
        <v>77.997146606445313</v>
      </c>
      <c r="AT230" s="821">
        <v>0</v>
      </c>
      <c r="AU230" s="821">
        <f t="shared" si="31"/>
        <v>77.997146606445313</v>
      </c>
      <c r="AV230" s="824"/>
      <c r="AW230" s="821"/>
      <c r="AX230" s="821"/>
      <c r="AY230" s="821"/>
      <c r="AZ230" s="821"/>
      <c r="BA230" s="821"/>
      <c r="BB230" s="821"/>
      <c r="BC230" s="821"/>
      <c r="BD230" s="821"/>
      <c r="BE230" s="821"/>
      <c r="BF230" s="821"/>
    </row>
    <row r="231" spans="42:58" ht="15" x14ac:dyDescent="0.2">
      <c r="AP231" s="822"/>
      <c r="AQ231" s="818"/>
      <c r="AR231" s="820">
        <v>38200</v>
      </c>
      <c r="AS231" s="821">
        <v>77.997146606445313</v>
      </c>
      <c r="AT231" s="821">
        <v>0</v>
      </c>
      <c r="AU231" s="821">
        <f t="shared" si="31"/>
        <v>77.997146606445313</v>
      </c>
      <c r="AV231" s="824"/>
      <c r="AW231" s="821"/>
      <c r="AX231" s="821"/>
      <c r="AY231" s="821"/>
      <c r="AZ231" s="821"/>
      <c r="BA231" s="821"/>
      <c r="BB231" s="821"/>
      <c r="BC231" s="821"/>
      <c r="BD231" s="821"/>
      <c r="BE231" s="821"/>
      <c r="BF231" s="821"/>
    </row>
    <row r="232" spans="42:58" ht="15" x14ac:dyDescent="0.2">
      <c r="AP232" s="822"/>
      <c r="AQ232" s="818"/>
      <c r="AR232" s="820">
        <v>38231</v>
      </c>
      <c r="AS232" s="821">
        <v>33.752143859863281</v>
      </c>
      <c r="AT232" s="821">
        <v>0</v>
      </c>
      <c r="AU232" s="821">
        <f t="shared" si="31"/>
        <v>33.752143859863281</v>
      </c>
      <c r="AV232" s="824"/>
      <c r="AW232" s="821"/>
      <c r="AX232" s="821"/>
      <c r="AY232" s="821"/>
      <c r="AZ232" s="821"/>
      <c r="BA232" s="821"/>
      <c r="BB232" s="821"/>
      <c r="BC232" s="821"/>
      <c r="BD232" s="821"/>
      <c r="BE232" s="821"/>
      <c r="BF232" s="821"/>
    </row>
    <row r="233" spans="42:58" ht="15" x14ac:dyDescent="0.2">
      <c r="AP233" s="822"/>
      <c r="AQ233" s="818"/>
      <c r="AR233" s="820">
        <v>38261</v>
      </c>
      <c r="AS233" s="821">
        <v>32.398933410644531</v>
      </c>
      <c r="AT233" s="821">
        <v>0</v>
      </c>
      <c r="AU233" s="821">
        <f t="shared" si="31"/>
        <v>32.398933410644531</v>
      </c>
      <c r="AV233" s="824"/>
      <c r="AW233" s="821"/>
      <c r="AX233" s="821"/>
      <c r="AY233" s="821"/>
      <c r="AZ233" s="821"/>
      <c r="BA233" s="821"/>
      <c r="BB233" s="821"/>
      <c r="BC233" s="821"/>
      <c r="BD233" s="821"/>
      <c r="BE233" s="821"/>
      <c r="BF233" s="821"/>
    </row>
    <row r="234" spans="42:58" ht="15" x14ac:dyDescent="0.2">
      <c r="AP234" s="822"/>
      <c r="AQ234" s="818"/>
      <c r="AR234" s="820">
        <v>38292</v>
      </c>
      <c r="AS234" s="821">
        <v>32.498931884765625</v>
      </c>
      <c r="AT234" s="821">
        <v>0</v>
      </c>
      <c r="AU234" s="821">
        <f t="shared" si="31"/>
        <v>32.498931884765625</v>
      </c>
      <c r="AV234" s="821"/>
      <c r="AW234" s="821"/>
      <c r="AX234" s="821"/>
      <c r="AY234" s="821"/>
      <c r="AZ234" s="821"/>
      <c r="BA234" s="821"/>
      <c r="BB234" s="821"/>
      <c r="BC234" s="821"/>
      <c r="BD234" s="821"/>
      <c r="BE234" s="821"/>
      <c r="BF234" s="821"/>
    </row>
    <row r="235" spans="42:58" ht="15" x14ac:dyDescent="0.2">
      <c r="AP235" s="822"/>
      <c r="AQ235" s="818"/>
      <c r="AR235" s="820">
        <v>38322</v>
      </c>
      <c r="AS235" s="821">
        <v>32.598930358886719</v>
      </c>
      <c r="AT235" s="821">
        <v>0</v>
      </c>
      <c r="AU235" s="821">
        <f t="shared" si="31"/>
        <v>32.598930358886719</v>
      </c>
      <c r="AV235" s="821"/>
      <c r="AW235" s="821"/>
      <c r="AX235" s="821"/>
      <c r="AY235" s="821"/>
      <c r="AZ235" s="821"/>
      <c r="BA235" s="821"/>
      <c r="BB235" s="821"/>
      <c r="BC235" s="821"/>
      <c r="BD235" s="821"/>
      <c r="BE235" s="821"/>
      <c r="BF235" s="821"/>
    </row>
    <row r="236" spans="42:58" ht="15" x14ac:dyDescent="0.2">
      <c r="AP236" s="822"/>
      <c r="AQ236" s="818"/>
      <c r="AR236" s="820">
        <v>38353</v>
      </c>
      <c r="AS236" s="821">
        <v>41.287864685058594</v>
      </c>
      <c r="AT236" s="821">
        <v>0</v>
      </c>
      <c r="AU236" s="821">
        <f t="shared" si="31"/>
        <v>41.287864685058594</v>
      </c>
      <c r="AV236" s="821"/>
      <c r="AW236" s="821"/>
      <c r="AX236" s="821"/>
      <c r="AY236" s="821"/>
      <c r="AZ236" s="821"/>
      <c r="BA236" s="821"/>
      <c r="BB236" s="821"/>
      <c r="BC236" s="821"/>
      <c r="BD236" s="821"/>
      <c r="BE236" s="821"/>
      <c r="BF236" s="821"/>
    </row>
    <row r="237" spans="42:58" ht="15" x14ac:dyDescent="0.2">
      <c r="AP237" s="822"/>
      <c r="AQ237" s="818"/>
      <c r="AR237" s="820">
        <v>38384</v>
      </c>
      <c r="AS237" s="821">
        <v>40.937862396240234</v>
      </c>
      <c r="AT237" s="821">
        <v>0</v>
      </c>
      <c r="AU237" s="821">
        <f t="shared" si="31"/>
        <v>40.937862396240234</v>
      </c>
      <c r="AV237" s="821"/>
      <c r="AW237" s="821"/>
      <c r="AX237" s="821"/>
      <c r="AY237" s="821"/>
      <c r="AZ237" s="821"/>
      <c r="BA237" s="821"/>
      <c r="BB237" s="821"/>
      <c r="BC237" s="821"/>
      <c r="BD237" s="821"/>
      <c r="BE237" s="821"/>
      <c r="BF237" s="821"/>
    </row>
    <row r="238" spans="42:58" ht="15" x14ac:dyDescent="0.2">
      <c r="AP238" s="822"/>
      <c r="AQ238" s="818"/>
      <c r="AR238" s="820">
        <v>38412</v>
      </c>
      <c r="AS238" s="821">
        <v>32.148544311523438</v>
      </c>
      <c r="AT238" s="821">
        <v>0</v>
      </c>
      <c r="AU238" s="821">
        <f t="shared" si="31"/>
        <v>32.148544311523438</v>
      </c>
      <c r="AV238" s="821"/>
      <c r="AW238" s="821"/>
      <c r="AX238" s="821"/>
      <c r="AY238" s="821"/>
      <c r="AZ238" s="821"/>
      <c r="BA238" s="821"/>
      <c r="BB238" s="821"/>
      <c r="BC238" s="821"/>
      <c r="BD238" s="821"/>
      <c r="BE238" s="821"/>
      <c r="BF238" s="821"/>
    </row>
    <row r="239" spans="42:58" ht="15" x14ac:dyDescent="0.2">
      <c r="AP239" s="822"/>
      <c r="AQ239" s="818"/>
      <c r="AR239" s="820">
        <v>38443</v>
      </c>
      <c r="AS239" s="821">
        <v>32.348545074462891</v>
      </c>
      <c r="AT239" s="821">
        <v>0</v>
      </c>
      <c r="AU239" s="821">
        <f t="shared" si="31"/>
        <v>32.348545074462891</v>
      </c>
      <c r="AV239" s="821"/>
      <c r="AW239" s="821"/>
      <c r="AX239" s="821"/>
      <c r="AY239" s="821"/>
      <c r="AZ239" s="821"/>
      <c r="BA239" s="821"/>
      <c r="BB239" s="821"/>
      <c r="BC239" s="821"/>
      <c r="BD239" s="821"/>
      <c r="BE239" s="821"/>
      <c r="BF239" s="821"/>
    </row>
    <row r="240" spans="42:58" ht="15" x14ac:dyDescent="0.2">
      <c r="AP240" s="822"/>
      <c r="AQ240" s="818"/>
      <c r="AR240" s="820">
        <v>38473</v>
      </c>
      <c r="AS240" s="821">
        <v>34.253566741943359</v>
      </c>
      <c r="AT240" s="821">
        <v>0</v>
      </c>
      <c r="AU240" s="821">
        <f t="shared" si="31"/>
        <v>34.253566741943359</v>
      </c>
      <c r="AV240" s="821"/>
      <c r="AW240" s="821"/>
      <c r="AX240" s="821"/>
      <c r="AY240" s="821"/>
      <c r="AZ240" s="821"/>
      <c r="BA240" s="821"/>
      <c r="BB240" s="821"/>
      <c r="BC240" s="821"/>
      <c r="BD240" s="821"/>
      <c r="BE240" s="821"/>
      <c r="BF240" s="821"/>
    </row>
    <row r="241" spans="42:58" ht="15" x14ac:dyDescent="0.2">
      <c r="AP241" s="822"/>
      <c r="AQ241" s="818"/>
      <c r="AR241" s="820">
        <v>38504</v>
      </c>
      <c r="AS241" s="821">
        <v>49.747856140136719</v>
      </c>
      <c r="AT241" s="821">
        <v>0</v>
      </c>
      <c r="AU241" s="821">
        <f t="shared" si="31"/>
        <v>49.747856140136719</v>
      </c>
      <c r="AV241" s="821"/>
      <c r="AW241" s="821"/>
      <c r="AX241" s="821"/>
      <c r="AY241" s="821"/>
      <c r="AZ241" s="821"/>
      <c r="BA241" s="821"/>
      <c r="BB241" s="821"/>
      <c r="BC241" s="821"/>
      <c r="BD241" s="821"/>
      <c r="BE241" s="821"/>
      <c r="BF241" s="821"/>
    </row>
    <row r="242" spans="42:58" ht="15" x14ac:dyDescent="0.2">
      <c r="AP242" s="822"/>
      <c r="AQ242" s="818"/>
      <c r="AR242" s="820">
        <v>38534</v>
      </c>
      <c r="AS242" s="821">
        <v>73.247146606445313</v>
      </c>
      <c r="AT242" s="821">
        <v>0</v>
      </c>
      <c r="AU242" s="821">
        <f t="shared" si="31"/>
        <v>73.247146606445313</v>
      </c>
      <c r="AV242" s="821"/>
      <c r="AW242" s="821"/>
      <c r="AX242" s="821"/>
      <c r="AY242" s="821"/>
      <c r="AZ242" s="821"/>
      <c r="BA242" s="821"/>
      <c r="BB242" s="821"/>
      <c r="BC242" s="821"/>
      <c r="BD242" s="821"/>
      <c r="BE242" s="821"/>
      <c r="BF242" s="821"/>
    </row>
    <row r="243" spans="42:58" ht="15" x14ac:dyDescent="0.2">
      <c r="AP243" s="822"/>
      <c r="AQ243" s="818"/>
      <c r="AR243" s="820">
        <v>38565</v>
      </c>
      <c r="AS243" s="821">
        <v>73.247146606445313</v>
      </c>
      <c r="AT243" s="821">
        <v>0</v>
      </c>
      <c r="AU243" s="821">
        <f t="shared" si="31"/>
        <v>73.247146606445313</v>
      </c>
      <c r="AV243" s="821"/>
      <c r="AW243" s="821"/>
      <c r="AX243" s="821"/>
      <c r="AY243" s="821"/>
      <c r="AZ243" s="821"/>
      <c r="BA243" s="821"/>
      <c r="BB243" s="821"/>
      <c r="BC243" s="821"/>
      <c r="BD243" s="821"/>
      <c r="BE243" s="821"/>
      <c r="BF243" s="821"/>
    </row>
    <row r="244" spans="42:58" ht="15" x14ac:dyDescent="0.2">
      <c r="AP244" s="822"/>
      <c r="AQ244" s="818"/>
      <c r="AR244" s="820">
        <v>38596</v>
      </c>
      <c r="AS244" s="821">
        <v>34.002143859863281</v>
      </c>
      <c r="AT244" s="821">
        <v>0</v>
      </c>
      <c r="AU244" s="821">
        <f t="shared" si="31"/>
        <v>34.002143859863281</v>
      </c>
      <c r="AV244" s="821"/>
      <c r="AW244" s="821"/>
      <c r="AX244" s="821"/>
      <c r="AY244" s="821"/>
      <c r="AZ244" s="821"/>
      <c r="BA244" s="821"/>
      <c r="BB244" s="821"/>
      <c r="BC244" s="821"/>
      <c r="BD244" s="821"/>
      <c r="BE244" s="821"/>
      <c r="BF244" s="821"/>
    </row>
    <row r="245" spans="42:58" ht="15" x14ac:dyDescent="0.2">
      <c r="AP245" s="822"/>
      <c r="AQ245" s="818"/>
      <c r="AR245" s="820">
        <v>38626</v>
      </c>
      <c r="AS245" s="821">
        <v>32.648933410644531</v>
      </c>
      <c r="AT245" s="821">
        <v>0</v>
      </c>
      <c r="AU245" s="821">
        <f t="shared" si="31"/>
        <v>32.648933410644531</v>
      </c>
      <c r="AV245" s="818"/>
      <c r="AW245" s="818"/>
      <c r="AX245" s="818"/>
      <c r="AY245" s="818"/>
      <c r="AZ245" s="818"/>
      <c r="BA245" s="818"/>
      <c r="BB245" s="818"/>
      <c r="BC245" s="818"/>
      <c r="BD245" s="821"/>
      <c r="BE245" s="821"/>
      <c r="BF245" s="821"/>
    </row>
    <row r="246" spans="42:58" ht="15" x14ac:dyDescent="0.2">
      <c r="AP246" s="822"/>
      <c r="AQ246" s="818"/>
      <c r="AR246" s="820">
        <v>38657</v>
      </c>
      <c r="AS246" s="821">
        <v>32.748931884765625</v>
      </c>
      <c r="AT246" s="821">
        <v>0</v>
      </c>
      <c r="AU246" s="821">
        <f t="shared" si="31"/>
        <v>32.748931884765625</v>
      </c>
      <c r="AV246" s="818"/>
      <c r="AW246" s="818"/>
      <c r="AX246" s="818"/>
      <c r="AY246" s="818"/>
      <c r="AZ246" s="818"/>
      <c r="BA246" s="818"/>
      <c r="BB246" s="818"/>
      <c r="BC246" s="818"/>
      <c r="BD246" s="821"/>
      <c r="BE246" s="821"/>
      <c r="BF246" s="821"/>
    </row>
    <row r="247" spans="42:58" ht="15" x14ac:dyDescent="0.2">
      <c r="AP247" s="822"/>
      <c r="AQ247" s="818"/>
      <c r="AR247" s="820">
        <v>38687</v>
      </c>
      <c r="AS247" s="821">
        <v>32.848930358886719</v>
      </c>
      <c r="AT247" s="821">
        <v>0</v>
      </c>
      <c r="AU247" s="821">
        <f t="shared" si="31"/>
        <v>32.848930358886719</v>
      </c>
      <c r="AV247" s="818"/>
      <c r="AW247" s="818"/>
      <c r="AX247" s="818"/>
      <c r="AY247" s="818"/>
      <c r="AZ247" s="818"/>
      <c r="BA247" s="818"/>
      <c r="BB247" s="818"/>
      <c r="BC247" s="818"/>
      <c r="BD247" s="821"/>
      <c r="BE247" s="821"/>
      <c r="BF247" s="821"/>
    </row>
    <row r="248" spans="42:58" ht="15" x14ac:dyDescent="0.2">
      <c r="AP248" s="822"/>
      <c r="AQ248" s="818"/>
      <c r="AR248" s="820">
        <v>38718</v>
      </c>
      <c r="AS248" s="821">
        <v>41.787864685058594</v>
      </c>
      <c r="AT248" s="821">
        <v>0</v>
      </c>
      <c r="AU248" s="821">
        <f t="shared" si="31"/>
        <v>41.787864685058594</v>
      </c>
      <c r="AV248" s="818"/>
      <c r="AW248" s="818"/>
      <c r="AX248" s="818"/>
      <c r="AY248" s="818"/>
      <c r="AZ248" s="818"/>
      <c r="BA248" s="818"/>
      <c r="BB248" s="818"/>
      <c r="BC248" s="818"/>
      <c r="BD248" s="821"/>
      <c r="BE248" s="821"/>
      <c r="BF248" s="821"/>
    </row>
    <row r="249" spans="42:58" ht="15" x14ac:dyDescent="0.2">
      <c r="AP249" s="822"/>
      <c r="AQ249" s="818"/>
      <c r="AR249" s="820">
        <v>38749</v>
      </c>
      <c r="AS249" s="821">
        <v>41.437862396240234</v>
      </c>
      <c r="AT249" s="821">
        <v>0</v>
      </c>
      <c r="AU249" s="821">
        <f t="shared" si="31"/>
        <v>41.437862396240234</v>
      </c>
      <c r="AV249" s="818"/>
      <c r="AW249" s="818"/>
      <c r="AX249" s="818"/>
      <c r="AY249" s="818"/>
      <c r="AZ249" s="818"/>
      <c r="BA249" s="818"/>
      <c r="BB249" s="818"/>
      <c r="BC249" s="818"/>
      <c r="BD249" s="821"/>
      <c r="BE249" s="821"/>
      <c r="BF249" s="821"/>
    </row>
    <row r="250" spans="42:58" ht="15" x14ac:dyDescent="0.2">
      <c r="AP250" s="822"/>
      <c r="AQ250" s="818"/>
      <c r="AR250" s="820">
        <v>38777</v>
      </c>
      <c r="AS250" s="821">
        <v>32.648544311523438</v>
      </c>
      <c r="AT250" s="821">
        <v>0</v>
      </c>
      <c r="AU250" s="821">
        <f t="shared" si="31"/>
        <v>32.648544311523438</v>
      </c>
      <c r="AV250" s="818"/>
      <c r="AW250" s="818"/>
      <c r="AX250" s="818"/>
      <c r="AY250" s="818"/>
      <c r="AZ250" s="818"/>
      <c r="BA250" s="818"/>
      <c r="BB250" s="818"/>
      <c r="BC250" s="818"/>
      <c r="BD250" s="821"/>
      <c r="BE250" s="821"/>
      <c r="BF250" s="821"/>
    </row>
    <row r="251" spans="42:58" ht="15" x14ac:dyDescent="0.2">
      <c r="AP251" s="822"/>
      <c r="AQ251" s="818"/>
      <c r="AR251" s="820">
        <v>38808</v>
      </c>
      <c r="AS251" s="821">
        <v>32.848545074462891</v>
      </c>
      <c r="AT251" s="821">
        <v>0</v>
      </c>
      <c r="AU251" s="821">
        <f t="shared" si="31"/>
        <v>32.848545074462891</v>
      </c>
      <c r="BD251" s="821"/>
      <c r="BE251" s="821"/>
      <c r="BF251" s="821"/>
    </row>
    <row r="252" spans="42:58" ht="15" x14ac:dyDescent="0.2">
      <c r="AP252" s="822"/>
      <c r="AQ252" s="818"/>
      <c r="AR252" s="820">
        <v>38838</v>
      </c>
      <c r="AS252" s="821">
        <v>34.753566741943359</v>
      </c>
      <c r="AT252" s="821">
        <v>0</v>
      </c>
      <c r="AU252" s="821">
        <f t="shared" si="31"/>
        <v>34.753566741943359</v>
      </c>
      <c r="BD252" s="821"/>
      <c r="BE252" s="821"/>
      <c r="BF252" s="821"/>
    </row>
    <row r="253" spans="42:58" ht="15" x14ac:dyDescent="0.2">
      <c r="AP253" s="822"/>
      <c r="AQ253" s="818"/>
      <c r="AR253" s="820">
        <v>38869</v>
      </c>
      <c r="AS253" s="821">
        <v>47.997856140136719</v>
      </c>
      <c r="AT253" s="821">
        <v>0</v>
      </c>
      <c r="AU253" s="821">
        <f t="shared" si="31"/>
        <v>47.997856140136719</v>
      </c>
      <c r="BD253" s="821"/>
      <c r="BE253" s="821"/>
      <c r="BF253" s="821"/>
    </row>
    <row r="254" spans="42:58" ht="15" x14ac:dyDescent="0.2">
      <c r="AP254" s="822"/>
      <c r="AQ254" s="818"/>
      <c r="AR254" s="820">
        <v>38899</v>
      </c>
      <c r="AS254" s="821">
        <v>71.997146606445313</v>
      </c>
      <c r="AT254" s="821">
        <v>0</v>
      </c>
      <c r="AU254" s="821">
        <f t="shared" si="31"/>
        <v>71.997146606445313</v>
      </c>
      <c r="BD254" s="821"/>
      <c r="BE254" s="821"/>
      <c r="BF254" s="821"/>
    </row>
    <row r="255" spans="42:58" ht="15" x14ac:dyDescent="0.2">
      <c r="AP255" s="822"/>
      <c r="AQ255" s="818"/>
      <c r="AR255" s="820">
        <v>38930</v>
      </c>
      <c r="AS255" s="821">
        <v>71.997146606445313</v>
      </c>
      <c r="AT255" s="821">
        <v>0</v>
      </c>
      <c r="AU255" s="821">
        <f t="shared" si="31"/>
        <v>71.997146606445313</v>
      </c>
      <c r="BD255" s="821"/>
      <c r="BE255" s="821"/>
      <c r="BF255" s="821"/>
    </row>
    <row r="256" spans="42:58" ht="15" x14ac:dyDescent="0.2">
      <c r="AP256" s="822"/>
      <c r="AQ256" s="818"/>
      <c r="AR256" s="820">
        <v>38961</v>
      </c>
      <c r="AS256" s="821">
        <v>34.502143859863281</v>
      </c>
      <c r="AT256" s="821">
        <v>0</v>
      </c>
      <c r="AU256" s="821">
        <f t="shared" si="31"/>
        <v>34.502143859863281</v>
      </c>
      <c r="BD256" s="821"/>
      <c r="BE256" s="821"/>
      <c r="BF256" s="821"/>
    </row>
    <row r="257" spans="42:58" ht="15" x14ac:dyDescent="0.2">
      <c r="AP257" s="822"/>
      <c r="AQ257" s="818"/>
      <c r="AR257" s="820">
        <v>38991</v>
      </c>
      <c r="AS257" s="821">
        <v>33.148933410644531</v>
      </c>
      <c r="AT257" s="821">
        <v>0</v>
      </c>
      <c r="AU257" s="821">
        <f t="shared" si="31"/>
        <v>33.148933410644531</v>
      </c>
      <c r="BD257" s="821"/>
      <c r="BE257" s="821"/>
      <c r="BF257" s="821"/>
    </row>
    <row r="258" spans="42:58" ht="15" x14ac:dyDescent="0.2">
      <c r="AP258" s="822"/>
      <c r="AQ258" s="818"/>
      <c r="AR258" s="820">
        <v>39022</v>
      </c>
      <c r="AS258" s="821">
        <v>33.248931884765625</v>
      </c>
      <c r="AT258" s="821">
        <v>0</v>
      </c>
      <c r="AU258" s="821">
        <f t="shared" si="31"/>
        <v>33.248931884765625</v>
      </c>
      <c r="BD258" s="821"/>
      <c r="BE258" s="821"/>
      <c r="BF258" s="821"/>
    </row>
    <row r="259" spans="42:58" ht="15" x14ac:dyDescent="0.2">
      <c r="AP259" s="822"/>
      <c r="AQ259" s="818"/>
      <c r="AR259" s="820">
        <v>39052</v>
      </c>
      <c r="AS259" s="821">
        <v>33.348930358886719</v>
      </c>
      <c r="AT259" s="821">
        <v>0</v>
      </c>
      <c r="AU259" s="821">
        <f t="shared" si="31"/>
        <v>33.348930358886719</v>
      </c>
      <c r="BD259" s="821"/>
      <c r="BE259" s="821"/>
      <c r="BF259" s="821"/>
    </row>
    <row r="260" spans="42:58" ht="15" x14ac:dyDescent="0.2">
      <c r="AP260" s="822"/>
      <c r="AQ260" s="818"/>
      <c r="AR260" s="820">
        <v>39083</v>
      </c>
      <c r="AS260" s="821">
        <v>42.287864685058594</v>
      </c>
      <c r="AT260" s="821">
        <v>0</v>
      </c>
      <c r="AU260" s="821">
        <f t="shared" si="31"/>
        <v>42.287864685058594</v>
      </c>
      <c r="BD260" s="821"/>
      <c r="BE260" s="821"/>
      <c r="BF260" s="821"/>
    </row>
    <row r="261" spans="42:58" ht="15" x14ac:dyDescent="0.2">
      <c r="AP261" s="822"/>
      <c r="AQ261" s="818"/>
      <c r="AR261" s="820">
        <v>39114</v>
      </c>
      <c r="AS261" s="821">
        <v>41.937862396240234</v>
      </c>
      <c r="AT261" s="821">
        <v>0</v>
      </c>
      <c r="AU261" s="821">
        <f t="shared" si="31"/>
        <v>41.937862396240234</v>
      </c>
      <c r="BD261" s="821"/>
      <c r="BE261" s="821"/>
      <c r="BF261" s="821"/>
    </row>
    <row r="262" spans="42:58" ht="15" x14ac:dyDescent="0.2">
      <c r="AP262" s="822"/>
      <c r="AQ262" s="818"/>
      <c r="AR262" s="820">
        <v>39142</v>
      </c>
      <c r="AS262" s="821">
        <v>33.148544311523438</v>
      </c>
      <c r="AT262" s="821">
        <v>0</v>
      </c>
      <c r="AU262" s="821">
        <f t="shared" si="31"/>
        <v>33.148544311523438</v>
      </c>
      <c r="BD262" s="821"/>
      <c r="BE262" s="821"/>
      <c r="BF262" s="821"/>
    </row>
    <row r="263" spans="42:58" ht="15" x14ac:dyDescent="0.2">
      <c r="AP263" s="822"/>
      <c r="AQ263" s="818"/>
      <c r="AR263" s="820">
        <v>39173</v>
      </c>
      <c r="AS263" s="821">
        <v>33.348545074462891</v>
      </c>
      <c r="AT263" s="821">
        <v>0</v>
      </c>
      <c r="AU263" s="821">
        <f t="shared" si="31"/>
        <v>33.348545074462891</v>
      </c>
      <c r="BD263" s="821"/>
      <c r="BE263" s="821"/>
      <c r="BF263" s="821"/>
    </row>
    <row r="264" spans="42:58" ht="15" x14ac:dyDescent="0.2">
      <c r="AP264" s="822"/>
      <c r="AQ264" s="818"/>
      <c r="AR264" s="820">
        <v>39203</v>
      </c>
      <c r="AS264" s="821">
        <v>35.253566741943359</v>
      </c>
      <c r="AT264" s="821">
        <v>0</v>
      </c>
      <c r="AU264" s="821">
        <f t="shared" si="31"/>
        <v>35.253566741943359</v>
      </c>
      <c r="BD264" s="821"/>
      <c r="BE264" s="821"/>
      <c r="BF264" s="821"/>
    </row>
    <row r="265" spans="42:58" ht="15" x14ac:dyDescent="0.2">
      <c r="AP265" s="822"/>
      <c r="AQ265" s="818"/>
      <c r="AR265" s="820">
        <v>39234</v>
      </c>
      <c r="AS265" s="821">
        <v>48.497856140136719</v>
      </c>
      <c r="AT265" s="821">
        <v>0</v>
      </c>
      <c r="AU265" s="821">
        <f t="shared" ref="AU265:AU307" si="40">+AT265+AS265</f>
        <v>48.497856140136719</v>
      </c>
      <c r="BD265" s="821"/>
      <c r="BE265" s="821"/>
      <c r="BF265" s="821"/>
    </row>
    <row r="266" spans="42:58" ht="15" x14ac:dyDescent="0.2">
      <c r="AP266" s="822"/>
      <c r="AQ266" s="818"/>
      <c r="AR266" s="820">
        <v>39264</v>
      </c>
      <c r="AS266" s="821">
        <v>72.497146606445313</v>
      </c>
      <c r="AT266" s="821">
        <v>0</v>
      </c>
      <c r="AU266" s="821">
        <f t="shared" si="40"/>
        <v>72.497146606445313</v>
      </c>
      <c r="BD266" s="821"/>
      <c r="BE266" s="821"/>
      <c r="BF266" s="821"/>
    </row>
    <row r="267" spans="42:58" ht="15" x14ac:dyDescent="0.2">
      <c r="AP267" s="822"/>
      <c r="AQ267" s="818"/>
      <c r="AR267" s="820">
        <v>39295</v>
      </c>
      <c r="AS267" s="821">
        <v>72.497146606445313</v>
      </c>
      <c r="AT267" s="821">
        <v>0</v>
      </c>
      <c r="AU267" s="821">
        <f t="shared" si="40"/>
        <v>72.497146606445313</v>
      </c>
      <c r="BD267" s="821"/>
      <c r="BE267" s="821"/>
      <c r="BF267" s="821"/>
    </row>
    <row r="268" spans="42:58" ht="15" x14ac:dyDescent="0.2">
      <c r="AP268" s="822"/>
      <c r="AQ268" s="818"/>
      <c r="AR268" s="820">
        <v>39326</v>
      </c>
      <c r="AS268" s="821">
        <v>35.002143859863281</v>
      </c>
      <c r="AT268" s="821">
        <v>0</v>
      </c>
      <c r="AU268" s="821">
        <f t="shared" si="40"/>
        <v>35.002143859863281</v>
      </c>
      <c r="BD268" s="821"/>
      <c r="BE268" s="821"/>
      <c r="BF268" s="821"/>
    </row>
    <row r="269" spans="42:58" ht="15" x14ac:dyDescent="0.2">
      <c r="AP269" s="822"/>
      <c r="AQ269" s="818"/>
      <c r="AR269" s="820">
        <v>39356</v>
      </c>
      <c r="AS269" s="821">
        <v>33.648933410644531</v>
      </c>
      <c r="AT269" s="821">
        <v>0</v>
      </c>
      <c r="AU269" s="821">
        <f t="shared" si="40"/>
        <v>33.648933410644531</v>
      </c>
      <c r="BD269" s="821"/>
      <c r="BE269" s="821"/>
      <c r="BF269" s="821"/>
    </row>
    <row r="270" spans="42:58" ht="15" x14ac:dyDescent="0.2">
      <c r="AP270" s="822"/>
      <c r="AQ270" s="818"/>
      <c r="AR270" s="820">
        <v>39387</v>
      </c>
      <c r="AS270" s="821">
        <v>33.748931884765625</v>
      </c>
      <c r="AT270" s="821">
        <v>0</v>
      </c>
      <c r="AU270" s="821">
        <f t="shared" si="40"/>
        <v>33.748931884765625</v>
      </c>
      <c r="BD270" s="821"/>
      <c r="BE270" s="821"/>
      <c r="BF270" s="821"/>
    </row>
    <row r="271" spans="42:58" ht="15" x14ac:dyDescent="0.2">
      <c r="AP271" s="822"/>
      <c r="AQ271" s="818"/>
      <c r="AR271" s="820">
        <v>39417</v>
      </c>
      <c r="AS271" s="821">
        <v>33.848930358886719</v>
      </c>
      <c r="AT271" s="821">
        <v>0</v>
      </c>
      <c r="AU271" s="821">
        <f t="shared" si="40"/>
        <v>33.848930358886719</v>
      </c>
      <c r="BD271" s="821"/>
      <c r="BE271" s="821"/>
      <c r="BF271" s="821"/>
    </row>
    <row r="272" spans="42:58" ht="15" x14ac:dyDescent="0.2">
      <c r="AP272" s="822"/>
      <c r="AQ272" s="818"/>
      <c r="AR272" s="820">
        <v>39448</v>
      </c>
      <c r="AS272" s="821">
        <v>42.787864685058594</v>
      </c>
      <c r="AT272" s="821">
        <v>0</v>
      </c>
      <c r="AU272" s="821">
        <f t="shared" si="40"/>
        <v>42.787864685058594</v>
      </c>
      <c r="BD272" s="821"/>
      <c r="BE272" s="821"/>
      <c r="BF272" s="821"/>
    </row>
    <row r="273" spans="42:58" ht="15" x14ac:dyDescent="0.2">
      <c r="AP273" s="822"/>
      <c r="AQ273" s="818"/>
      <c r="AR273" s="820">
        <v>39479</v>
      </c>
      <c r="AS273" s="821">
        <v>42.437862396240234</v>
      </c>
      <c r="AT273" s="821">
        <v>0</v>
      </c>
      <c r="AU273" s="821">
        <f t="shared" si="40"/>
        <v>42.437862396240234</v>
      </c>
      <c r="BD273" s="821"/>
      <c r="BE273" s="821"/>
      <c r="BF273" s="821"/>
    </row>
    <row r="274" spans="42:58" ht="15" x14ac:dyDescent="0.2">
      <c r="AP274" s="822"/>
      <c r="AQ274" s="818"/>
      <c r="AR274" s="820">
        <v>39508</v>
      </c>
      <c r="AS274" s="821">
        <v>33.648544311523438</v>
      </c>
      <c r="AT274" s="821">
        <v>0</v>
      </c>
      <c r="AU274" s="821">
        <f t="shared" si="40"/>
        <v>33.648544311523438</v>
      </c>
      <c r="BD274" s="821"/>
      <c r="BE274" s="821"/>
      <c r="BF274" s="821"/>
    </row>
    <row r="275" spans="42:58" ht="15" x14ac:dyDescent="0.2">
      <c r="AP275" s="822"/>
      <c r="AQ275" s="818"/>
      <c r="AR275" s="820">
        <v>39539</v>
      </c>
      <c r="AS275" s="821">
        <v>33.848545074462891</v>
      </c>
      <c r="AT275" s="821">
        <v>0</v>
      </c>
      <c r="AU275" s="821">
        <f t="shared" si="40"/>
        <v>33.848545074462891</v>
      </c>
      <c r="BD275" s="821"/>
      <c r="BE275" s="821"/>
      <c r="BF275" s="821"/>
    </row>
    <row r="276" spans="42:58" ht="15" x14ac:dyDescent="0.2">
      <c r="AP276" s="822"/>
      <c r="AQ276" s="818"/>
      <c r="AR276" s="820">
        <v>39569</v>
      </c>
      <c r="AS276" s="821">
        <v>35.753566741943359</v>
      </c>
      <c r="AT276" s="821">
        <v>0</v>
      </c>
      <c r="AU276" s="821">
        <f t="shared" si="40"/>
        <v>35.753566741943359</v>
      </c>
      <c r="BD276" s="821"/>
      <c r="BE276" s="821"/>
      <c r="BF276" s="821"/>
    </row>
    <row r="277" spans="42:58" ht="15" x14ac:dyDescent="0.2">
      <c r="AP277" s="822"/>
      <c r="AQ277" s="818"/>
      <c r="AR277" s="820">
        <v>39600</v>
      </c>
      <c r="AS277" s="821">
        <v>49.247856140136719</v>
      </c>
      <c r="AT277" s="821">
        <v>0</v>
      </c>
      <c r="AU277" s="821">
        <f t="shared" si="40"/>
        <v>49.247856140136719</v>
      </c>
      <c r="BD277" s="821"/>
      <c r="BE277" s="821"/>
      <c r="BF277" s="821"/>
    </row>
    <row r="278" spans="42:58" ht="15" x14ac:dyDescent="0.2">
      <c r="AP278" s="822"/>
      <c r="AQ278" s="818"/>
      <c r="AR278" s="820">
        <v>39630</v>
      </c>
      <c r="AS278" s="821">
        <v>73.247146606445313</v>
      </c>
      <c r="AT278" s="821">
        <v>0</v>
      </c>
      <c r="AU278" s="821">
        <f t="shared" si="40"/>
        <v>73.247146606445313</v>
      </c>
      <c r="BD278" s="821"/>
      <c r="BE278" s="821"/>
      <c r="BF278" s="821"/>
    </row>
    <row r="279" spans="42:58" ht="15" x14ac:dyDescent="0.2">
      <c r="AP279" s="822"/>
      <c r="AQ279" s="818"/>
      <c r="AR279" s="820">
        <v>39661</v>
      </c>
      <c r="AS279" s="821">
        <v>73.247146606445313</v>
      </c>
      <c r="AT279" s="821">
        <v>0</v>
      </c>
      <c r="AU279" s="821">
        <f t="shared" si="40"/>
        <v>73.247146606445313</v>
      </c>
      <c r="BD279" s="821"/>
      <c r="BE279" s="821"/>
      <c r="BF279" s="821"/>
    </row>
    <row r="280" spans="42:58" ht="15" x14ac:dyDescent="0.2">
      <c r="AP280" s="822"/>
      <c r="AQ280" s="818"/>
      <c r="AR280" s="820">
        <v>39692</v>
      </c>
      <c r="AS280" s="821">
        <v>35.502143859863281</v>
      </c>
      <c r="AT280" s="821">
        <v>0</v>
      </c>
      <c r="AU280" s="821">
        <f t="shared" si="40"/>
        <v>35.502143859863281</v>
      </c>
      <c r="BD280" s="821"/>
      <c r="BE280" s="821"/>
      <c r="BF280" s="821"/>
    </row>
    <row r="281" spans="42:58" ht="15" x14ac:dyDescent="0.2">
      <c r="AP281" s="822"/>
      <c r="AQ281" s="818"/>
      <c r="AR281" s="820">
        <v>39722</v>
      </c>
      <c r="AS281" s="821">
        <v>34.148933410644531</v>
      </c>
      <c r="AT281" s="821">
        <v>0</v>
      </c>
      <c r="AU281" s="821">
        <f t="shared" si="40"/>
        <v>34.148933410644531</v>
      </c>
      <c r="BD281" s="821"/>
      <c r="BE281" s="821"/>
      <c r="BF281" s="821"/>
    </row>
    <row r="282" spans="42:58" ht="15" x14ac:dyDescent="0.2">
      <c r="AP282" s="822"/>
      <c r="AQ282" s="818"/>
      <c r="AR282" s="820">
        <v>39753</v>
      </c>
      <c r="AS282" s="821">
        <v>34.248931884765625</v>
      </c>
      <c r="AT282" s="821">
        <v>0</v>
      </c>
      <c r="AU282" s="821">
        <f t="shared" si="40"/>
        <v>34.248931884765625</v>
      </c>
      <c r="BD282" s="821"/>
      <c r="BE282" s="821"/>
      <c r="BF282" s="821"/>
    </row>
    <row r="283" spans="42:58" ht="15" x14ac:dyDescent="0.2">
      <c r="AP283" s="822"/>
      <c r="AQ283" s="818"/>
      <c r="AR283" s="820">
        <v>39783</v>
      </c>
      <c r="AS283" s="821">
        <v>34.348930358886719</v>
      </c>
      <c r="AT283" s="821">
        <v>0</v>
      </c>
      <c r="AU283" s="821">
        <f t="shared" si="40"/>
        <v>34.348930358886719</v>
      </c>
      <c r="BD283" s="821"/>
      <c r="BE283" s="821"/>
      <c r="BF283" s="821"/>
    </row>
    <row r="284" spans="42:58" ht="15" x14ac:dyDescent="0.2">
      <c r="AP284" s="822"/>
      <c r="AQ284" s="818"/>
      <c r="AR284" s="820">
        <v>39814</v>
      </c>
      <c r="AS284" s="821">
        <v>43.287864685058594</v>
      </c>
      <c r="AT284" s="821">
        <v>0</v>
      </c>
      <c r="AU284" s="821">
        <f t="shared" si="40"/>
        <v>43.287864685058594</v>
      </c>
      <c r="BD284" s="821"/>
      <c r="BE284" s="821"/>
      <c r="BF284" s="821"/>
    </row>
    <row r="285" spans="42:58" ht="15" x14ac:dyDescent="0.2">
      <c r="AP285" s="822"/>
      <c r="AQ285" s="818"/>
      <c r="AR285" s="820">
        <v>39845</v>
      </c>
      <c r="AS285" s="821">
        <v>42.937862396240234</v>
      </c>
      <c r="AT285" s="821">
        <v>0</v>
      </c>
      <c r="AU285" s="821">
        <f t="shared" si="40"/>
        <v>42.937862396240234</v>
      </c>
      <c r="BD285" s="821"/>
      <c r="BE285" s="821"/>
      <c r="BF285" s="821"/>
    </row>
    <row r="286" spans="42:58" ht="15" x14ac:dyDescent="0.2">
      <c r="AP286" s="822"/>
      <c r="AQ286" s="818"/>
      <c r="AR286" s="820">
        <v>39873</v>
      </c>
      <c r="AS286" s="821">
        <v>34.148544311523438</v>
      </c>
      <c r="AT286" s="821">
        <v>0</v>
      </c>
      <c r="AU286" s="821">
        <f t="shared" si="40"/>
        <v>34.148544311523438</v>
      </c>
      <c r="BD286" s="821"/>
      <c r="BE286" s="821"/>
      <c r="BF286" s="821"/>
    </row>
    <row r="287" spans="42:58" ht="15" x14ac:dyDescent="0.2">
      <c r="AP287" s="822"/>
      <c r="AQ287" s="818"/>
      <c r="AR287" s="820">
        <v>39904</v>
      </c>
      <c r="AS287" s="821">
        <v>34.348545074462891</v>
      </c>
      <c r="AT287" s="821">
        <v>0</v>
      </c>
      <c r="AU287" s="821">
        <f t="shared" si="40"/>
        <v>34.348545074462891</v>
      </c>
      <c r="BD287" s="821"/>
      <c r="BE287" s="821"/>
      <c r="BF287" s="821"/>
    </row>
    <row r="288" spans="42:58" ht="15" x14ac:dyDescent="0.2">
      <c r="AP288" s="822"/>
      <c r="AQ288" s="818"/>
      <c r="AR288" s="820">
        <v>39934</v>
      </c>
      <c r="AS288" s="821">
        <v>36.253566741943359</v>
      </c>
      <c r="AT288" s="821">
        <v>0</v>
      </c>
      <c r="AU288" s="821">
        <f t="shared" si="40"/>
        <v>36.253566741943359</v>
      </c>
      <c r="BD288" s="821"/>
      <c r="BE288" s="821"/>
      <c r="BF288" s="821"/>
    </row>
    <row r="289" spans="42:58" ht="15" x14ac:dyDescent="0.2">
      <c r="AP289" s="822"/>
      <c r="AQ289" s="818"/>
      <c r="AR289" s="820">
        <v>39965</v>
      </c>
      <c r="AS289" s="821">
        <v>50.247856140136719</v>
      </c>
      <c r="AT289" s="821">
        <v>0</v>
      </c>
      <c r="AU289" s="821">
        <f t="shared" si="40"/>
        <v>50.247856140136719</v>
      </c>
      <c r="BD289" s="821"/>
      <c r="BE289" s="821"/>
      <c r="BF289" s="821"/>
    </row>
    <row r="290" spans="42:58" ht="15" x14ac:dyDescent="0.2">
      <c r="AP290" s="822"/>
      <c r="AQ290" s="818"/>
      <c r="AR290" s="820">
        <v>39995</v>
      </c>
      <c r="AS290" s="821">
        <v>75.247146606445313</v>
      </c>
      <c r="AT290" s="821">
        <v>0</v>
      </c>
      <c r="AU290" s="821">
        <f t="shared" si="40"/>
        <v>75.247146606445313</v>
      </c>
      <c r="BD290" s="821"/>
      <c r="BE290" s="821"/>
      <c r="BF290" s="821"/>
    </row>
    <row r="291" spans="42:58" ht="15" x14ac:dyDescent="0.2">
      <c r="AP291" s="822"/>
      <c r="AQ291" s="818"/>
      <c r="AR291" s="820">
        <v>40026</v>
      </c>
      <c r="AS291" s="821">
        <v>75.247146606445313</v>
      </c>
      <c r="AT291" s="821">
        <v>0</v>
      </c>
      <c r="AU291" s="821">
        <f t="shared" si="40"/>
        <v>75.247146606445313</v>
      </c>
      <c r="BD291" s="821"/>
      <c r="BE291" s="821"/>
      <c r="BF291" s="821"/>
    </row>
    <row r="292" spans="42:58" ht="15" x14ac:dyDescent="0.2">
      <c r="AP292" s="822"/>
      <c r="AQ292" s="818"/>
      <c r="AR292" s="820">
        <v>40057</v>
      </c>
      <c r="AS292" s="821">
        <v>36.002143859863281</v>
      </c>
      <c r="AT292" s="821">
        <v>0</v>
      </c>
      <c r="AU292" s="821">
        <f t="shared" si="40"/>
        <v>36.002143859863281</v>
      </c>
      <c r="BD292" s="821"/>
      <c r="BE292" s="821"/>
      <c r="BF292" s="821"/>
    </row>
    <row r="293" spans="42:58" ht="15" x14ac:dyDescent="0.2">
      <c r="AP293" s="822"/>
      <c r="AQ293" s="818"/>
      <c r="AR293" s="820">
        <v>40087</v>
      </c>
      <c r="AS293" s="821">
        <v>34.648933410644531</v>
      </c>
      <c r="AT293" s="821">
        <v>0</v>
      </c>
      <c r="AU293" s="821">
        <f t="shared" si="40"/>
        <v>34.648933410644531</v>
      </c>
      <c r="BD293" s="821"/>
      <c r="BE293" s="821"/>
      <c r="BF293" s="821"/>
    </row>
    <row r="294" spans="42:58" ht="15" x14ac:dyDescent="0.2">
      <c r="AP294" s="822"/>
      <c r="AQ294" s="818"/>
      <c r="AR294" s="820">
        <v>40118</v>
      </c>
      <c r="AS294" s="821">
        <v>34.748931884765625</v>
      </c>
      <c r="AT294" s="821">
        <v>0</v>
      </c>
      <c r="AU294" s="821">
        <f t="shared" si="40"/>
        <v>34.748931884765625</v>
      </c>
      <c r="BD294" s="821"/>
      <c r="BE294" s="821"/>
      <c r="BF294" s="821"/>
    </row>
    <row r="295" spans="42:58" ht="15" x14ac:dyDescent="0.2">
      <c r="AP295" s="822"/>
      <c r="AQ295" s="818"/>
      <c r="AR295" s="820">
        <v>40148</v>
      </c>
      <c r="AS295" s="821">
        <v>34.848930358886719</v>
      </c>
      <c r="AT295" s="821">
        <v>0</v>
      </c>
      <c r="AU295" s="821">
        <f t="shared" si="40"/>
        <v>34.848930358886719</v>
      </c>
      <c r="BD295" s="821"/>
      <c r="BE295" s="821"/>
      <c r="BF295" s="821"/>
    </row>
    <row r="296" spans="42:58" ht="15" x14ac:dyDescent="0.2">
      <c r="AP296" s="822"/>
      <c r="AQ296" s="818"/>
      <c r="AR296" s="820">
        <v>40179</v>
      </c>
      <c r="AS296" s="821">
        <v>43.787864685058594</v>
      </c>
      <c r="AT296" s="821">
        <v>0</v>
      </c>
      <c r="AU296" s="821">
        <f t="shared" si="40"/>
        <v>43.787864685058594</v>
      </c>
      <c r="BD296" s="821"/>
      <c r="BE296" s="821"/>
      <c r="BF296" s="821"/>
    </row>
    <row r="297" spans="42:58" ht="15" x14ac:dyDescent="0.2">
      <c r="AP297" s="822"/>
      <c r="AQ297" s="818"/>
      <c r="AR297" s="820">
        <v>40210</v>
      </c>
      <c r="AS297" s="821">
        <v>43.437862396240234</v>
      </c>
      <c r="AT297" s="821">
        <v>0</v>
      </c>
      <c r="AU297" s="821">
        <f t="shared" si="40"/>
        <v>43.437862396240234</v>
      </c>
      <c r="BD297" s="821"/>
      <c r="BE297" s="821"/>
      <c r="BF297" s="821"/>
    </row>
    <row r="298" spans="42:58" ht="15" x14ac:dyDescent="0.2">
      <c r="AP298" s="822"/>
      <c r="AQ298" s="818"/>
      <c r="AR298" s="820">
        <v>40238</v>
      </c>
      <c r="AS298" s="821">
        <v>34.648544311523438</v>
      </c>
      <c r="AT298" s="821">
        <v>0</v>
      </c>
      <c r="AU298" s="821">
        <f t="shared" si="40"/>
        <v>34.648544311523438</v>
      </c>
      <c r="BD298" s="821"/>
      <c r="BE298" s="821"/>
      <c r="BF298" s="821"/>
    </row>
    <row r="299" spans="42:58" ht="15" x14ac:dyDescent="0.2">
      <c r="AP299" s="822"/>
      <c r="AQ299" s="818"/>
      <c r="AR299" s="820">
        <v>40269</v>
      </c>
      <c r="AS299" s="821">
        <v>34.848545074462891</v>
      </c>
      <c r="AT299" s="821">
        <v>0</v>
      </c>
      <c r="AU299" s="821">
        <f t="shared" si="40"/>
        <v>34.848545074462891</v>
      </c>
      <c r="BD299" s="821"/>
      <c r="BE299" s="821"/>
      <c r="BF299" s="821"/>
    </row>
    <row r="300" spans="42:58" ht="15" x14ac:dyDescent="0.2">
      <c r="AP300" s="822"/>
      <c r="AQ300" s="818"/>
      <c r="AR300" s="820">
        <v>40299</v>
      </c>
      <c r="AS300" s="821">
        <v>36.753566741943359</v>
      </c>
      <c r="AT300" s="821">
        <v>0</v>
      </c>
      <c r="AU300" s="821">
        <f t="shared" si="40"/>
        <v>36.753566741943359</v>
      </c>
      <c r="BD300" s="821"/>
      <c r="BE300" s="821"/>
      <c r="BF300" s="821"/>
    </row>
    <row r="301" spans="42:58" ht="15" x14ac:dyDescent="0.2">
      <c r="AP301" s="822"/>
      <c r="AQ301" s="818"/>
      <c r="AR301" s="820">
        <v>40330</v>
      </c>
      <c r="AS301" s="821">
        <v>51.247856140136719</v>
      </c>
      <c r="AT301" s="821">
        <v>0</v>
      </c>
      <c r="AU301" s="821">
        <f t="shared" si="40"/>
        <v>51.247856140136719</v>
      </c>
      <c r="BD301" s="821"/>
      <c r="BE301" s="821"/>
      <c r="BF301" s="821"/>
    </row>
    <row r="302" spans="42:58" ht="15" x14ac:dyDescent="0.2">
      <c r="AP302" s="822"/>
      <c r="AQ302" s="818"/>
      <c r="AR302" s="820">
        <v>40360</v>
      </c>
      <c r="AS302" s="821">
        <v>77.247146606445313</v>
      </c>
      <c r="AT302" s="821">
        <v>0</v>
      </c>
      <c r="AU302" s="821">
        <f t="shared" si="40"/>
        <v>77.247146606445313</v>
      </c>
      <c r="BD302" s="821"/>
      <c r="BE302" s="821"/>
      <c r="BF302" s="821"/>
    </row>
    <row r="303" spans="42:58" ht="15" x14ac:dyDescent="0.2">
      <c r="AP303" s="822"/>
      <c r="AQ303" s="818"/>
      <c r="AR303" s="820">
        <v>40391</v>
      </c>
      <c r="AS303" s="821">
        <v>77.247146606445313</v>
      </c>
      <c r="AT303" s="821">
        <v>0</v>
      </c>
      <c r="AU303" s="821">
        <f t="shared" si="40"/>
        <v>77.247146606445313</v>
      </c>
      <c r="BD303" s="821"/>
      <c r="BE303" s="821"/>
      <c r="BF303" s="821"/>
    </row>
    <row r="304" spans="42:58" ht="15" x14ac:dyDescent="0.2">
      <c r="AP304" s="822"/>
      <c r="AQ304" s="818"/>
      <c r="AR304" s="820">
        <v>40422</v>
      </c>
      <c r="AS304" s="821">
        <v>36.502143859863281</v>
      </c>
      <c r="AT304" s="821">
        <v>0</v>
      </c>
      <c r="AU304" s="821">
        <f t="shared" si="40"/>
        <v>36.502143859863281</v>
      </c>
      <c r="BD304" s="821"/>
      <c r="BE304" s="821"/>
      <c r="BF304" s="821"/>
    </row>
    <row r="305" spans="42:58" ht="15" x14ac:dyDescent="0.2">
      <c r="AP305" s="822"/>
      <c r="AQ305" s="818"/>
      <c r="AR305" s="820">
        <v>40452</v>
      </c>
      <c r="AS305" s="821">
        <v>35.148933410644531</v>
      </c>
      <c r="AT305" s="821">
        <v>0</v>
      </c>
      <c r="AU305" s="821">
        <f t="shared" si="40"/>
        <v>35.148933410644531</v>
      </c>
      <c r="BD305" s="821"/>
      <c r="BE305" s="821"/>
      <c r="BF305" s="821"/>
    </row>
    <row r="306" spans="42:58" ht="15" x14ac:dyDescent="0.2">
      <c r="AP306" s="822"/>
      <c r="AQ306" s="818"/>
      <c r="AR306" s="820">
        <v>40483</v>
      </c>
      <c r="AS306" s="821">
        <v>35.248931884765625</v>
      </c>
      <c r="AT306" s="821">
        <v>0</v>
      </c>
      <c r="AU306" s="821">
        <f t="shared" si="40"/>
        <v>35.248931884765625</v>
      </c>
      <c r="BD306" s="821"/>
      <c r="BE306" s="821"/>
      <c r="BF306" s="821"/>
    </row>
    <row r="307" spans="42:58" ht="15" x14ac:dyDescent="0.2">
      <c r="AP307" s="822"/>
      <c r="AQ307" s="818"/>
      <c r="AR307" s="820">
        <v>40513</v>
      </c>
      <c r="AS307" s="821">
        <v>35.348930358886719</v>
      </c>
      <c r="AT307" s="821">
        <v>0</v>
      </c>
      <c r="AU307" s="821">
        <f t="shared" si="40"/>
        <v>35.348930358886719</v>
      </c>
      <c r="BD307" s="821"/>
      <c r="BE307" s="821"/>
      <c r="BF307" s="821"/>
    </row>
    <row r="308" spans="42:58" ht="15" x14ac:dyDescent="0.2">
      <c r="AP308" s="818"/>
      <c r="AQ308" s="818"/>
      <c r="AR308" s="818"/>
      <c r="AS308" s="818"/>
      <c r="AT308" s="818"/>
      <c r="AU308" s="818"/>
      <c r="BD308" s="821"/>
      <c r="BE308" s="821"/>
      <c r="BF308" s="821"/>
    </row>
    <row r="309" spans="42:58" ht="15" x14ac:dyDescent="0.2">
      <c r="AP309" s="818"/>
      <c r="AQ309" s="818"/>
      <c r="AR309" s="818"/>
      <c r="AS309" s="818"/>
      <c r="AT309" s="818"/>
      <c r="AU309" s="818"/>
      <c r="BD309" s="821"/>
      <c r="BE309" s="821"/>
      <c r="BF309" s="821"/>
    </row>
    <row r="310" spans="42:58" ht="15" x14ac:dyDescent="0.2">
      <c r="AP310" s="818"/>
      <c r="AQ310" s="818"/>
      <c r="AR310" s="818"/>
      <c r="AS310" s="818"/>
      <c r="AT310" s="818"/>
      <c r="AU310" s="818"/>
      <c r="BD310" s="821"/>
      <c r="BE310" s="821"/>
      <c r="BF310" s="821"/>
    </row>
    <row r="311" spans="42:58" ht="15" x14ac:dyDescent="0.2">
      <c r="AP311" s="818"/>
      <c r="AQ311" s="818"/>
      <c r="AR311" s="818"/>
      <c r="AS311" s="818"/>
      <c r="AT311" s="818"/>
      <c r="AU311" s="818"/>
      <c r="BD311" s="821"/>
      <c r="BE311" s="821"/>
      <c r="BF311" s="821"/>
    </row>
    <row r="312" spans="42:58" ht="15" x14ac:dyDescent="0.2">
      <c r="AP312" s="818"/>
      <c r="AQ312" s="818"/>
      <c r="AR312" s="818"/>
      <c r="AS312" s="818"/>
      <c r="AT312" s="818"/>
      <c r="AU312" s="818"/>
      <c r="BD312" s="821"/>
      <c r="BE312" s="821"/>
      <c r="BF312" s="821"/>
    </row>
    <row r="313" spans="42:58" ht="15" x14ac:dyDescent="0.2">
      <c r="AP313" s="818"/>
      <c r="AQ313" s="818"/>
      <c r="AR313" s="818"/>
      <c r="AS313" s="818"/>
      <c r="AT313" s="818"/>
      <c r="AU313" s="818"/>
      <c r="BD313" s="821"/>
      <c r="BE313" s="821"/>
      <c r="BF313" s="821"/>
    </row>
    <row r="314" spans="42:58" ht="15" x14ac:dyDescent="0.2">
      <c r="AP314" s="818"/>
      <c r="AQ314" s="818"/>
      <c r="AR314" s="818"/>
      <c r="AS314" s="818"/>
      <c r="AT314" s="818"/>
      <c r="AU314" s="818"/>
      <c r="BD314" s="821"/>
      <c r="BE314" s="821"/>
      <c r="BF314" s="821"/>
    </row>
    <row r="315" spans="42:58" ht="15" x14ac:dyDescent="0.2">
      <c r="AP315" s="818"/>
      <c r="AQ315" s="818"/>
      <c r="AR315" s="818"/>
      <c r="AS315" s="818"/>
      <c r="AT315" s="818"/>
      <c r="AU315" s="818"/>
      <c r="BD315" s="821"/>
      <c r="BE315" s="821"/>
      <c r="BF315" s="821"/>
    </row>
    <row r="316" spans="42:58" ht="15" x14ac:dyDescent="0.2">
      <c r="AP316" s="818"/>
      <c r="AQ316" s="818"/>
      <c r="AR316" s="818"/>
      <c r="AS316" s="818"/>
      <c r="AT316" s="818"/>
      <c r="AU316" s="818"/>
      <c r="BD316" s="821"/>
      <c r="BE316" s="821"/>
      <c r="BF316" s="821"/>
    </row>
    <row r="317" spans="42:58" ht="15" x14ac:dyDescent="0.2">
      <c r="AP317" s="818"/>
      <c r="AQ317" s="818"/>
      <c r="AR317" s="818"/>
      <c r="AS317" s="818"/>
      <c r="AT317" s="818"/>
      <c r="AU317" s="818"/>
      <c r="BD317" s="821"/>
      <c r="BE317" s="821"/>
      <c r="BF317" s="821"/>
    </row>
    <row r="318" spans="42:58" ht="15" x14ac:dyDescent="0.2">
      <c r="AP318" s="818"/>
      <c r="AQ318" s="818"/>
      <c r="AR318" s="818"/>
      <c r="AS318" s="818"/>
      <c r="AT318" s="818"/>
      <c r="AU318" s="818"/>
      <c r="BD318" s="821"/>
      <c r="BE318" s="821"/>
      <c r="BF318" s="821"/>
    </row>
    <row r="319" spans="42:58" x14ac:dyDescent="0.2">
      <c r="AP319" s="818"/>
      <c r="AQ319" s="818"/>
      <c r="AR319" s="818"/>
      <c r="AS319" s="818"/>
      <c r="AT319" s="818"/>
      <c r="AU319" s="818"/>
      <c r="BD319" s="818"/>
      <c r="BE319" s="818"/>
      <c r="BF319" s="818"/>
    </row>
    <row r="320" spans="42:58" x14ac:dyDescent="0.2">
      <c r="AP320" s="818"/>
      <c r="AQ320" s="818"/>
      <c r="AR320" s="818"/>
      <c r="AS320" s="818"/>
      <c r="AT320" s="818"/>
      <c r="AU320" s="818"/>
      <c r="BD320" s="818"/>
      <c r="BE320" s="818"/>
      <c r="BF320" s="818"/>
    </row>
    <row r="321" spans="42:58" x14ac:dyDescent="0.2">
      <c r="AP321" s="818"/>
      <c r="AQ321" s="818"/>
      <c r="AR321" s="818"/>
      <c r="AS321" s="818"/>
      <c r="AT321" s="818"/>
      <c r="AU321" s="818"/>
      <c r="BD321" s="818"/>
      <c r="BE321" s="818"/>
      <c r="BF321" s="818"/>
    </row>
    <row r="322" spans="42:58" x14ac:dyDescent="0.2">
      <c r="AP322" s="818"/>
      <c r="AQ322" s="818"/>
      <c r="AR322" s="818"/>
      <c r="AS322" s="818"/>
      <c r="AT322" s="818"/>
      <c r="AU322" s="818"/>
      <c r="BD322" s="818"/>
      <c r="BE322" s="818"/>
      <c r="BF322" s="818"/>
    </row>
    <row r="323" spans="42:58" x14ac:dyDescent="0.2">
      <c r="AP323" s="818"/>
      <c r="AQ323" s="818"/>
      <c r="AR323" s="818"/>
      <c r="AS323" s="818"/>
      <c r="AT323" s="818"/>
      <c r="AU323" s="818"/>
      <c r="BD323" s="818"/>
      <c r="BE323" s="818"/>
      <c r="BF323" s="818"/>
    </row>
    <row r="324" spans="42:58" x14ac:dyDescent="0.2">
      <c r="AP324" s="818"/>
      <c r="AQ324" s="818"/>
      <c r="AR324" s="818"/>
      <c r="AS324" s="818"/>
      <c r="AT324" s="818"/>
      <c r="AU324" s="818"/>
      <c r="BD324" s="818"/>
      <c r="BE324" s="818"/>
      <c r="BF324" s="818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80" topLeftCell="A50"/>
      <selection pane="bottomLeft" activeCell="D60" sqref="D60:J60"/>
    </sheetView>
  </sheetViews>
  <sheetFormatPr defaultRowHeight="12.75" x14ac:dyDescent="0.2"/>
  <cols>
    <col min="1" max="1" width="11.7109375" style="563" customWidth="1"/>
    <col min="2" max="2" width="11.28515625" style="563" customWidth="1"/>
    <col min="3" max="3" width="11.5703125" style="563" customWidth="1"/>
    <col min="4" max="4" width="11.7109375" style="563" customWidth="1"/>
    <col min="5" max="5" width="11.5703125" style="563" customWidth="1"/>
    <col min="6" max="6" width="10.85546875" style="563" customWidth="1"/>
    <col min="7" max="7" width="11.7109375" style="563" customWidth="1"/>
    <col min="8" max="8" width="12.28515625" style="563" customWidth="1"/>
    <col min="9" max="9" width="11.42578125" style="563" customWidth="1"/>
    <col min="10" max="10" width="11.7109375" style="563" customWidth="1"/>
    <col min="11" max="11" width="10.42578125" style="563" customWidth="1"/>
    <col min="12" max="12" width="11.28515625" style="563" customWidth="1"/>
    <col min="13" max="13" width="11" style="563" customWidth="1"/>
    <col min="14" max="14" width="10.28515625" style="563" customWidth="1"/>
    <col min="15" max="16" width="10.7109375" style="563" customWidth="1"/>
    <col min="17" max="17" width="12.28515625" style="563" customWidth="1"/>
    <col min="18" max="22" width="10.7109375" style="563" customWidth="1"/>
    <col min="23" max="23" width="10.7109375" style="604" customWidth="1"/>
    <col min="24" max="24" width="12.42578125" style="567" customWidth="1"/>
    <col min="25" max="25" width="10.7109375" style="563" customWidth="1"/>
    <col min="26" max="27" width="10.7109375" style="585" customWidth="1"/>
    <col min="28" max="29" width="12.42578125" style="567" customWidth="1"/>
    <col min="30" max="32" width="10.7109375" style="563" customWidth="1"/>
    <col min="33" max="33" width="12.42578125" style="567" customWidth="1"/>
    <col min="34" max="36" width="10.7109375" style="563" customWidth="1"/>
    <col min="37" max="39" width="9.140625" style="563"/>
    <col min="40" max="40" width="10.42578125" style="563" hidden="1" customWidth="1"/>
    <col min="41" max="41" width="9.140625" style="563"/>
    <col min="42" max="42" width="10.42578125" style="563" customWidth="1"/>
    <col min="43" max="43" width="9.140625" style="563"/>
    <col min="44" max="44" width="9.140625" style="634"/>
    <col min="45" max="16384" width="9.140625" style="563"/>
  </cols>
  <sheetData>
    <row r="1" spans="1:52" ht="13.5" thickBot="1" x14ac:dyDescent="0.25">
      <c r="A1" s="969" t="s">
        <v>466</v>
      </c>
      <c r="B1" s="972">
        <f>+'EOL LINKS'!H35</f>
        <v>2.34</v>
      </c>
      <c r="C1" s="967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5"/>
      <c r="J1" s="859">
        <f ca="1">TradeSum!CF96+Term!E21+343697.5+57111-98758-199+100213-1558624.5</f>
        <v>249537.49047568976</v>
      </c>
      <c r="K1" s="859">
        <f ca="1">+J1*0.0009</f>
        <v>224.58374142812079</v>
      </c>
      <c r="L1" s="619">
        <f>SUM(C53:P58)+Total!AA44+Term!I21</f>
        <v>-1091.4999999999879</v>
      </c>
      <c r="M1" s="840">
        <f ca="1">+L1+K1</f>
        <v>-866.91625857186716</v>
      </c>
      <c r="N1" s="924">
        <f>+L2-N2</f>
        <v>-4.0000000000000036E-3</v>
      </c>
    </row>
    <row r="2" spans="1:52" x14ac:dyDescent="0.2">
      <c r="A2" s="968" t="s">
        <v>459</v>
      </c>
      <c r="B2" s="966" t="s">
        <v>6</v>
      </c>
      <c r="C2" s="657">
        <f>+A51+(J2*K2*10000)+(J3*K3*10000)+(J4*K4*10000)+(J5*K5*10000)+(M5*N5*10000)</f>
        <v>-98975.000000000815</v>
      </c>
      <c r="D2" s="658">
        <f>TradeSum!H4</f>
        <v>0</v>
      </c>
      <c r="E2" s="658">
        <f ca="1">TradeSum!I4</f>
        <v>1850210.6986907355</v>
      </c>
      <c r="F2" s="658">
        <f ca="1">TradeSum!J4+(B14*L14*368)</f>
        <v>422208.94263048476</v>
      </c>
      <c r="G2" s="658">
        <f>SUM([5]OtherPosn!$Q$3:$Q$255)</f>
        <v>0</v>
      </c>
      <c r="H2" s="706">
        <f ca="1">SUM(C2:G2)</f>
        <v>2173444.6413212195</v>
      </c>
      <c r="I2" s="765" t="s">
        <v>349</v>
      </c>
      <c r="J2" s="898">
        <f>AVERAGE(V63:V71)</f>
        <v>3.3333333333333331E-3</v>
      </c>
      <c r="K2" s="623">
        <f>SUM(Total!W53:W61)</f>
        <v>-1140</v>
      </c>
      <c r="L2" s="922">
        <v>3.16</v>
      </c>
      <c r="M2" s="860">
        <f ca="1">+Term!J21</f>
        <v>-1655.3665653177152</v>
      </c>
      <c r="N2" s="929">
        <v>3.1640000000000001</v>
      </c>
    </row>
    <row r="3" spans="1:52" ht="13.5" thickBot="1" x14ac:dyDescent="0.25">
      <c r="A3" s="971">
        <f>+'EOL LINKS'!H34</f>
        <v>2.2999999999999998</v>
      </c>
      <c r="B3" s="966" t="s">
        <v>7</v>
      </c>
      <c r="C3" s="657">
        <f>+A52+Total!AF44</f>
        <v>-143128.57142823806</v>
      </c>
      <c r="D3" s="658">
        <f>TradeSum!H5</f>
        <v>0</v>
      </c>
      <c r="E3" s="658">
        <f>TradeSum!I5</f>
        <v>1826.3004573959265</v>
      </c>
      <c r="F3" s="658">
        <f>TradeSum!J5</f>
        <v>54449.826010237499</v>
      </c>
      <c r="G3" s="658">
        <f>OthNewDeals!$G$3</f>
        <v>0</v>
      </c>
      <c r="H3" s="706">
        <f>SUM(C3:G3)</f>
        <v>-86852.444960604626</v>
      </c>
      <c r="I3" s="765" t="s">
        <v>272</v>
      </c>
      <c r="J3" s="898">
        <f>+L3-N3</f>
        <v>-3.0000000000001137E-3</v>
      </c>
      <c r="K3" s="623">
        <f>+Total!Y73</f>
        <v>723</v>
      </c>
      <c r="L3" s="922">
        <f>+L2+M3</f>
        <v>3.29</v>
      </c>
      <c r="M3" s="983">
        <v>0.13</v>
      </c>
      <c r="N3" s="930">
        <v>3.2930000000000001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78"/>
      <c r="AS3" s="598"/>
      <c r="AT3" s="598"/>
    </row>
    <row r="4" spans="1:52" ht="13.5" thickBot="1" x14ac:dyDescent="0.25">
      <c r="A4" s="793" t="s">
        <v>333</v>
      </c>
      <c r="B4" s="228" t="s">
        <v>8</v>
      </c>
      <c r="C4" s="659">
        <f>+C3+C2</f>
        <v>-242103.57142823888</v>
      </c>
      <c r="D4" s="660">
        <f>D2+D3</f>
        <v>0</v>
      </c>
      <c r="E4" s="660">
        <f ca="1">E2+E3</f>
        <v>1852036.9991481313</v>
      </c>
      <c r="F4" s="660">
        <f ca="1">F2+F3</f>
        <v>476658.76864072226</v>
      </c>
      <c r="G4" s="661">
        <f>G2+G3</f>
        <v>0</v>
      </c>
      <c r="H4" s="881">
        <f ca="1">SUM(H2:H3)+Q47+Term!J35</f>
        <v>272079.27755106654</v>
      </c>
      <c r="I4" s="707" t="s">
        <v>278</v>
      </c>
      <c r="J4" s="899">
        <f>+J3</f>
        <v>-3.0000000000001137E-3</v>
      </c>
      <c r="K4" s="768">
        <f>+Total!U85</f>
        <v>0</v>
      </c>
      <c r="L4" s="897">
        <f>((K12*336)+(K14*368))/704</f>
        <v>27.166136363636362</v>
      </c>
      <c r="M4" s="897">
        <f>((M12*TradeSum!$CD12)+(TradeSum!$CD13*Master!M14))/SUM(TradeSum!$CD12:$CD13)</f>
        <v>30.472727272727273</v>
      </c>
      <c r="N4" s="896">
        <f>+M4-L4</f>
        <v>3.3065909090909109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78"/>
      <c r="AS4" s="598"/>
      <c r="AT4" s="598"/>
    </row>
    <row r="5" spans="1:52" x14ac:dyDescent="0.2">
      <c r="A5" s="794">
        <f ca="1">NOW()</f>
        <v>37141.369434490742</v>
      </c>
      <c r="B5" s="576" t="s">
        <v>263</v>
      </c>
      <c r="C5" s="646"/>
      <c r="D5" s="647"/>
      <c r="E5" s="647"/>
      <c r="F5" s="647"/>
      <c r="G5" s="647"/>
      <c r="H5" s="647"/>
      <c r="I5" s="707" t="s">
        <v>314</v>
      </c>
      <c r="J5" s="898">
        <f>+J4</f>
        <v>-3.0000000000001137E-3</v>
      </c>
      <c r="K5" s="768">
        <f>+Total!Y97</f>
        <v>0</v>
      </c>
      <c r="L5" s="707" t="s">
        <v>376</v>
      </c>
      <c r="M5" s="898">
        <f>+J5</f>
        <v>-3.0000000000001137E-3</v>
      </c>
      <c r="N5" s="768">
        <f>SUM(Total!W98:W157)</f>
        <v>0</v>
      </c>
      <c r="R5" s="885">
        <f>[5]Top!$B$4</f>
        <v>37141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78"/>
      <c r="AS5" s="598"/>
      <c r="AT5" s="598"/>
    </row>
    <row r="6" spans="1:52" s="564" customFormat="1" x14ac:dyDescent="0.2">
      <c r="A6" s="575" t="s">
        <v>177</v>
      </c>
      <c r="B6" s="662" t="s">
        <v>93</v>
      </c>
      <c r="C6" s="571" t="s">
        <v>276</v>
      </c>
      <c r="D6" s="571" t="s">
        <v>271</v>
      </c>
      <c r="E6" s="571" t="s">
        <v>426</v>
      </c>
      <c r="F6" s="663"/>
      <c r="G6" s="652" t="s">
        <v>279</v>
      </c>
      <c r="H6" s="652" t="s">
        <v>306</v>
      </c>
      <c r="I6" s="652" t="s">
        <v>80</v>
      </c>
      <c r="J6" s="926">
        <f>+'EOL LINKS'!J20</f>
        <v>0</v>
      </c>
      <c r="K6" s="571" t="s">
        <v>276</v>
      </c>
      <c r="L6" s="575" t="s">
        <v>273</v>
      </c>
      <c r="M6" s="571" t="s">
        <v>271</v>
      </c>
      <c r="N6" s="576" t="s">
        <v>84</v>
      </c>
      <c r="O6" s="976">
        <f>+TradeSum!G56-'EOL LINKS'!H14</f>
        <v>-7.6293945028282906E-7</v>
      </c>
      <c r="P6" s="839"/>
      <c r="Q6" s="663"/>
      <c r="R6" s="663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5"/>
      <c r="AL6" s="888"/>
      <c r="AM6" s="979"/>
      <c r="AN6" s="979"/>
      <c r="AO6" s="979"/>
      <c r="AP6" s="705"/>
      <c r="AQ6" s="705"/>
      <c r="AR6" s="978"/>
      <c r="AS6" s="705"/>
      <c r="AT6" s="705"/>
    </row>
    <row r="7" spans="1:52" s="564" customFormat="1" hidden="1" x14ac:dyDescent="0.2">
      <c r="A7" s="610"/>
      <c r="B7" s="588"/>
      <c r="C7" s="572"/>
      <c r="D7" s="572"/>
      <c r="E7" s="572"/>
      <c r="F7" s="573"/>
      <c r="G7" s="767"/>
      <c r="H7" s="812"/>
      <c r="I7" s="597"/>
      <c r="J7" s="610"/>
      <c r="K7" s="582"/>
      <c r="L7" s="587"/>
      <c r="M7" s="582"/>
      <c r="N7" s="583"/>
      <c r="O7" s="767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5"/>
      <c r="AI7" s="705"/>
      <c r="AJ7" s="705"/>
      <c r="AK7" s="705"/>
      <c r="AL7" s="888"/>
      <c r="AM7" s="615"/>
      <c r="AN7" s="615"/>
      <c r="AO7" s="615"/>
      <c r="AP7" s="615"/>
      <c r="AQ7" s="705"/>
      <c r="AR7" s="978"/>
      <c r="AS7" s="980"/>
      <c r="AT7" s="705"/>
      <c r="AX7" s="564">
        <f>+AM7*$V9</f>
        <v>0</v>
      </c>
      <c r="AZ7" s="564">
        <f>+AO7*$V9</f>
        <v>0</v>
      </c>
    </row>
    <row r="8" spans="1:52" hidden="1" x14ac:dyDescent="0.2">
      <c r="A8" s="610" t="s">
        <v>281</v>
      </c>
      <c r="B8" s="588"/>
      <c r="C8" s="572"/>
      <c r="D8" s="572"/>
      <c r="E8" s="572"/>
      <c r="F8" s="573"/>
      <c r="G8" s="766"/>
      <c r="H8" s="656"/>
      <c r="I8" s="597"/>
      <c r="J8" s="610" t="s">
        <v>281</v>
      </c>
      <c r="K8" s="582"/>
      <c r="L8" s="587"/>
      <c r="M8" s="582"/>
      <c r="N8" s="583"/>
      <c r="O8" s="766"/>
      <c r="P8" s="573"/>
      <c r="Q8" s="584"/>
      <c r="R8" s="584"/>
      <c r="T8" s="603">
        <v>36923</v>
      </c>
      <c r="U8" s="602">
        <f>+TradeSum!CD12</f>
        <v>368</v>
      </c>
      <c r="V8" s="602"/>
      <c r="W8" s="605">
        <f>+TradeSum!CE13</f>
        <v>0.98969489580859615</v>
      </c>
      <c r="X8" s="613">
        <f>+U8*TradeSum!I12</f>
        <v>9549.6</v>
      </c>
      <c r="Y8" s="602"/>
      <c r="AB8" s="613">
        <f>+U8*TradeSum!I56</f>
        <v>8997.6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8"/>
      <c r="AM8" s="615"/>
      <c r="AN8" s="615"/>
      <c r="AO8" s="615"/>
      <c r="AP8" s="615"/>
      <c r="AQ8" s="598"/>
      <c r="AR8" s="978"/>
      <c r="AS8" s="597"/>
      <c r="AT8" s="598"/>
    </row>
    <row r="9" spans="1:52" hidden="1" x14ac:dyDescent="0.2">
      <c r="A9" s="610"/>
      <c r="B9" s="588"/>
      <c r="C9" s="572"/>
      <c r="D9" s="572"/>
      <c r="E9" s="572"/>
      <c r="F9" s="573"/>
      <c r="G9" s="766"/>
      <c r="H9" s="813" t="str">
        <f>IF(H7="Y","real-time HR"," ")</f>
        <v xml:space="preserve"> </v>
      </c>
      <c r="I9" s="656"/>
      <c r="J9" s="610"/>
      <c r="K9" s="582"/>
      <c r="L9" s="587"/>
      <c r="M9" s="582"/>
      <c r="N9" s="583"/>
      <c r="O9" s="766"/>
      <c r="P9" s="573"/>
      <c r="Q9" s="584"/>
      <c r="R9" s="584"/>
      <c r="T9" s="603">
        <v>36951</v>
      </c>
      <c r="U9" s="602">
        <f>+TradeSum!CD12</f>
        <v>368</v>
      </c>
      <c r="V9" s="602"/>
      <c r="W9" s="605">
        <f>+TradeSum!CE14</f>
        <v>0.98679579651441607</v>
      </c>
      <c r="X9" s="613">
        <f>+U9*TradeSum!I12</f>
        <v>9549.6</v>
      </c>
      <c r="Y9" s="602"/>
      <c r="AB9" s="613">
        <f>+U9*TradeSum!I56</f>
        <v>8997.6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8"/>
      <c r="AM9" s="615"/>
      <c r="AN9" s="615"/>
      <c r="AO9" s="615"/>
      <c r="AP9" s="615"/>
      <c r="AQ9" s="598"/>
      <c r="AR9" s="978"/>
      <c r="AS9" s="597"/>
      <c r="AT9" s="598"/>
    </row>
    <row r="10" spans="1:52" hidden="1" x14ac:dyDescent="0.2">
      <c r="A10" s="610" t="s">
        <v>288</v>
      </c>
      <c r="B10" s="588"/>
      <c r="C10" s="572"/>
      <c r="D10" s="572"/>
      <c r="E10" s="572"/>
      <c r="F10" s="573"/>
      <c r="G10" s="766"/>
      <c r="H10" s="656"/>
      <c r="I10" s="656"/>
      <c r="J10" s="652" t="s">
        <v>288</v>
      </c>
      <c r="K10" s="620"/>
      <c r="L10" s="620"/>
      <c r="M10" s="582"/>
      <c r="N10" s="583"/>
      <c r="O10" s="766"/>
      <c r="P10" s="573"/>
      <c r="Q10" s="584"/>
      <c r="R10" s="584"/>
      <c r="T10" s="603">
        <v>36982</v>
      </c>
      <c r="U10" s="602">
        <f>+TradeSum!CD12</f>
        <v>368</v>
      </c>
      <c r="V10" s="602"/>
      <c r="W10" s="605">
        <f>+TradeSum!CE12</f>
        <v>0.99255459641088606</v>
      </c>
      <c r="X10" s="613">
        <f>+U10*TradeSum!I12</f>
        <v>9549.6</v>
      </c>
      <c r="Y10" s="602"/>
      <c r="AB10" s="613">
        <f>+U10*TradeSum!I56</f>
        <v>8997.6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8"/>
      <c r="AM10" s="615"/>
      <c r="AN10" s="615"/>
      <c r="AO10" s="615"/>
      <c r="AP10" s="615"/>
      <c r="AQ10" s="598"/>
      <c r="AR10" s="978"/>
      <c r="AS10" s="980"/>
      <c r="AT10" s="598"/>
      <c r="AX10" s="563">
        <f>+AM10*$V11</f>
        <v>0</v>
      </c>
      <c r="AZ10" s="563">
        <f>+AO10*$V11</f>
        <v>0</v>
      </c>
    </row>
    <row r="11" spans="1:52" hidden="1" x14ac:dyDescent="0.2">
      <c r="A11" s="610" t="s">
        <v>283</v>
      </c>
      <c r="B11" s="588">
        <v>0</v>
      </c>
      <c r="C11" s="572"/>
      <c r="D11" s="572"/>
      <c r="E11" s="572"/>
      <c r="F11" s="573"/>
      <c r="G11" s="766"/>
      <c r="H11" s="656">
        <f>+G11*B11/10000</f>
        <v>0</v>
      </c>
      <c r="I11" s="656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5">
        <v>0</v>
      </c>
      <c r="P11" s="573"/>
      <c r="Q11" s="584"/>
      <c r="R11" s="584"/>
      <c r="T11" s="603">
        <v>37012</v>
      </c>
      <c r="U11" s="602">
        <f>+TradeSum!CD56</f>
        <v>368</v>
      </c>
      <c r="V11" s="602"/>
      <c r="W11" s="605">
        <f>+TradeSum!CE12</f>
        <v>0.99255459641088606</v>
      </c>
      <c r="X11" s="613">
        <f>+U11*TradeSum!I12</f>
        <v>9549.6</v>
      </c>
      <c r="Y11" s="602"/>
      <c r="AB11" s="613">
        <f>+U11*TradeSum!I56</f>
        <v>8997.6</v>
      </c>
      <c r="AC11" s="602"/>
      <c r="AD11" s="585"/>
      <c r="AE11" s="585"/>
      <c r="AF11" s="613">
        <f>+Y11*TradeSum!M60</f>
        <v>0</v>
      </c>
      <c r="AG11" s="613">
        <f>+U11*O12</f>
        <v>17873.759999999998</v>
      </c>
      <c r="AH11" s="596"/>
      <c r="AI11" s="596"/>
      <c r="AJ11" s="598"/>
      <c r="AK11" s="598"/>
      <c r="AL11" s="888"/>
      <c r="AM11" s="615"/>
      <c r="AN11" s="615"/>
      <c r="AO11" s="615"/>
      <c r="AP11" s="615"/>
      <c r="AQ11" s="598"/>
      <c r="AR11" s="978"/>
      <c r="AS11" s="980"/>
      <c r="AT11" s="598"/>
    </row>
    <row r="12" spans="1:52" hidden="1" x14ac:dyDescent="0.2">
      <c r="A12" s="610" t="s">
        <v>299</v>
      </c>
      <c r="B12" s="588">
        <f>SUM(C12:F12)</f>
        <v>0</v>
      </c>
      <c r="C12" s="572"/>
      <c r="D12" s="572"/>
      <c r="E12" s="572"/>
      <c r="F12" s="826"/>
      <c r="G12" s="934">
        <f>+K12/D65</f>
        <v>0</v>
      </c>
      <c r="H12" s="931">
        <f>+B12*336*G12/10000</f>
        <v>0</v>
      </c>
      <c r="I12" s="935">
        <f>+H12+D60</f>
        <v>1455.9000000000019</v>
      </c>
      <c r="J12" s="577" t="s">
        <v>299</v>
      </c>
      <c r="K12" s="937"/>
      <c r="L12" s="933">
        <v>-4.2366666666666646</v>
      </c>
      <c r="M12" s="582">
        <f>+TradeSum!S56-5.16-0.23+0.68-0.26-0.8+0.5-2.32+1.21-0.98</f>
        <v>17.09</v>
      </c>
      <c r="N12" s="583">
        <f>+M12-K12</f>
        <v>17.09</v>
      </c>
      <c r="O12" s="835">
        <v>48.57</v>
      </c>
      <c r="P12" s="573">
        <f>+R12*336</f>
        <v>0</v>
      </c>
      <c r="Q12" s="573">
        <f t="shared" ref="Q12:Q18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368</v>
      </c>
      <c r="V12" s="602"/>
      <c r="W12" s="605">
        <f>+TradeSum!CE12</f>
        <v>0.99255459641088606</v>
      </c>
      <c r="X12" s="613">
        <f>+U12*TradeSum!I12</f>
        <v>9549.6</v>
      </c>
      <c r="Y12" s="602"/>
      <c r="AB12" s="613">
        <f>+U12*TradeSum!I56</f>
        <v>8997.6</v>
      </c>
      <c r="AC12" s="602"/>
      <c r="AD12" s="585"/>
      <c r="AE12" s="585"/>
      <c r="AF12" s="613">
        <f>+Y12*TradeSum!M61</f>
        <v>0</v>
      </c>
      <c r="AG12" s="613">
        <f>+U12*Master!O14</f>
        <v>21167.360000000001</v>
      </c>
      <c r="AH12" s="596"/>
      <c r="AI12" s="596"/>
      <c r="AJ12" s="598"/>
      <c r="AK12" s="598"/>
      <c r="AL12" s="888"/>
      <c r="AM12" s="615"/>
      <c r="AN12" s="615"/>
      <c r="AO12" s="615"/>
      <c r="AP12" s="615"/>
      <c r="AQ12" s="598"/>
      <c r="AR12" s="978"/>
      <c r="AS12" s="980"/>
      <c r="AT12" s="598"/>
    </row>
    <row r="13" spans="1:52" hidden="1" x14ac:dyDescent="0.2">
      <c r="A13" s="575"/>
      <c r="B13" s="588">
        <f>SUM(C13:F13)</f>
        <v>0</v>
      </c>
      <c r="C13" s="606"/>
      <c r="D13" s="606"/>
      <c r="E13" s="606"/>
      <c r="F13" s="827"/>
      <c r="G13" s="934"/>
      <c r="H13" s="656">
        <f>+B13*336*G13/10000</f>
        <v>0</v>
      </c>
      <c r="I13" s="597">
        <f>+H13+E58</f>
        <v>0</v>
      </c>
      <c r="J13" s="577" t="s">
        <v>313</v>
      </c>
      <c r="K13" s="937">
        <f>+K11-K12</f>
        <v>34</v>
      </c>
      <c r="L13" s="936"/>
      <c r="M13" s="704"/>
      <c r="N13" s="704"/>
      <c r="O13" s="835">
        <v>-14.739997863769531</v>
      </c>
      <c r="P13" s="573"/>
      <c r="Q13" s="573">
        <f t="shared" si="0"/>
        <v>0</v>
      </c>
      <c r="R13" s="840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368</v>
      </c>
      <c r="V13" s="602"/>
      <c r="W13" s="605">
        <f>+TradeSum!CE12</f>
        <v>0.99255459641088606</v>
      </c>
      <c r="X13" s="613">
        <f>+U13*TradeSum!I12</f>
        <v>9549.6</v>
      </c>
      <c r="Y13" s="602"/>
      <c r="AB13" s="613">
        <f>+U13*TradeSum!I56</f>
        <v>8997.6</v>
      </c>
      <c r="AC13" s="602"/>
      <c r="AD13" s="585"/>
      <c r="AE13" s="585"/>
      <c r="AF13" s="613">
        <f>+Y13*TradeSum!M62</f>
        <v>0</v>
      </c>
      <c r="AG13" s="613">
        <f>+U13*Master!O15</f>
        <v>16412.8</v>
      </c>
      <c r="AH13" s="596"/>
      <c r="AI13" s="596"/>
      <c r="AJ13" s="598"/>
      <c r="AK13" s="598"/>
      <c r="AL13" s="888"/>
      <c r="AM13" s="615"/>
      <c r="AN13" s="615"/>
      <c r="AO13" s="615"/>
      <c r="AP13" s="615"/>
      <c r="AQ13" s="598"/>
      <c r="AR13" s="978"/>
      <c r="AS13" s="980"/>
      <c r="AT13" s="598"/>
      <c r="AX13" s="563">
        <f>+AM13*$U12</f>
        <v>0</v>
      </c>
      <c r="AZ13" s="563">
        <f>+AO13*$U12</f>
        <v>0</v>
      </c>
    </row>
    <row r="14" spans="1:52" hidden="1" x14ac:dyDescent="0.2">
      <c r="A14" s="610" t="s">
        <v>300</v>
      </c>
      <c r="B14" s="588"/>
      <c r="C14" s="572"/>
      <c r="D14" s="572"/>
      <c r="E14" s="572"/>
      <c r="F14" s="826"/>
      <c r="G14" s="986"/>
      <c r="H14" s="656"/>
      <c r="I14" s="597"/>
      <c r="J14" s="610" t="s">
        <v>300</v>
      </c>
      <c r="K14" s="582">
        <f>51.97+L14</f>
        <v>51.97</v>
      </c>
      <c r="L14" s="973">
        <v>0</v>
      </c>
      <c r="M14" s="582">
        <f>+TradeSum!I56+21-0.32</f>
        <v>45.13</v>
      </c>
      <c r="N14" s="583">
        <f>+M14-K14</f>
        <v>-6.8399999999999963</v>
      </c>
      <c r="O14" s="835">
        <v>57.52</v>
      </c>
      <c r="P14" s="573"/>
      <c r="Q14" s="573">
        <f t="shared" si="0"/>
        <v>0</v>
      </c>
      <c r="R14" s="573"/>
      <c r="S14" s="585">
        <f>+'EOL LINKS'!H11-Master!O14</f>
        <v>-3.7700000000000031</v>
      </c>
      <c r="T14" s="603">
        <v>37104</v>
      </c>
      <c r="U14" s="602">
        <f>+TradeSum!CD12</f>
        <v>368</v>
      </c>
      <c r="V14" s="602">
        <f>SUM(U13:U14)</f>
        <v>736</v>
      </c>
      <c r="W14" s="605">
        <f>+TradeSum!CE12</f>
        <v>0.99255459641088606</v>
      </c>
      <c r="X14" s="613">
        <f>+U14*TradeSum!I12</f>
        <v>9549.6</v>
      </c>
      <c r="Y14" s="602">
        <f>SUM(X13:X14)</f>
        <v>19099.2</v>
      </c>
      <c r="Z14" s="585">
        <f>+Y14/$V14</f>
        <v>25.95</v>
      </c>
      <c r="AB14" s="613">
        <f>+U14*TradeSum!I56</f>
        <v>8997.6</v>
      </c>
      <c r="AC14" s="602">
        <f>SUM(AB13:AB14)</f>
        <v>17995.2</v>
      </c>
      <c r="AD14" s="585">
        <f>+AC14/$V14</f>
        <v>24.45</v>
      </c>
      <c r="AE14" s="585"/>
      <c r="AF14" s="613">
        <f>+Y14*TradeSum!M63</f>
        <v>0</v>
      </c>
      <c r="AG14" s="613">
        <f>+U14*Master!O16</f>
        <v>20033.334170254795</v>
      </c>
      <c r="AH14" s="596"/>
      <c r="AI14" s="596"/>
      <c r="AJ14" s="598"/>
      <c r="AK14" s="598"/>
      <c r="AL14" s="888"/>
      <c r="AM14" s="615"/>
      <c r="AN14" s="615"/>
      <c r="AO14" s="615"/>
      <c r="AP14" s="615"/>
      <c r="AQ14" s="598"/>
      <c r="AR14" s="978"/>
      <c r="AS14" s="980"/>
      <c r="AT14" s="598"/>
      <c r="AX14" s="563">
        <f>+AM14*$U13</f>
        <v>0</v>
      </c>
      <c r="AZ14" s="563">
        <f>+AO14*$U13</f>
        <v>0</v>
      </c>
    </row>
    <row r="15" spans="1:52" hidden="1" x14ac:dyDescent="0.2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6"/>
      <c r="G15" s="986">
        <f>+(K15-1.25)/I65</f>
        <v>11.615541922290388</v>
      </c>
      <c r="H15" s="656">
        <f>+B15*336*G15/10000</f>
        <v>-204.89815950920243</v>
      </c>
      <c r="I15" s="597">
        <f>+H15+E60</f>
        <v>-916.89815950920035</v>
      </c>
      <c r="J15" s="610" t="s">
        <v>269</v>
      </c>
      <c r="K15" s="889">
        <f>46+L15</f>
        <v>29.65</v>
      </c>
      <c r="L15" s="973">
        <v>-16.350000000000001</v>
      </c>
      <c r="M15" s="582">
        <f>+K15+N15</f>
        <v>26.15</v>
      </c>
      <c r="N15" s="583">
        <v>-3.5</v>
      </c>
      <c r="O15" s="835">
        <v>44.6</v>
      </c>
      <c r="P15" s="573">
        <f>+R15*336</f>
        <v>172368</v>
      </c>
      <c r="Q15" s="573">
        <f t="shared" si="0"/>
        <v>-2818216.8000000003</v>
      </c>
      <c r="R15" s="573">
        <f t="shared" ref="R15:R20" si="1">+E15</f>
        <v>513</v>
      </c>
      <c r="S15" s="585">
        <f>+'EOL LINKS'!H13-Master!O15</f>
        <v>-18.075000000000003</v>
      </c>
      <c r="T15" s="603">
        <v>37135</v>
      </c>
      <c r="U15" s="602">
        <f>+TradeSum!CD12</f>
        <v>368</v>
      </c>
      <c r="V15" s="602"/>
      <c r="W15" s="605">
        <f>+TradeSum!CE12</f>
        <v>0.99255459641088606</v>
      </c>
      <c r="X15" s="613">
        <f>+U15*TradeSum!I12</f>
        <v>9549.6</v>
      </c>
      <c r="Y15" s="602"/>
      <c r="AB15" s="613">
        <f>+U15*TradeSum!I56</f>
        <v>8997.6</v>
      </c>
      <c r="AC15" s="602"/>
      <c r="AD15" s="585"/>
      <c r="AE15" s="585"/>
      <c r="AF15" s="613">
        <f>+Y15*TradeSum!M64</f>
        <v>0</v>
      </c>
      <c r="AG15" s="613">
        <f>+AG14</f>
        <v>20033.334170254795</v>
      </c>
      <c r="AH15" s="596"/>
      <c r="AI15" s="596"/>
      <c r="AJ15" s="598"/>
      <c r="AK15" s="598"/>
      <c r="AL15" s="888"/>
      <c r="AM15" s="615"/>
      <c r="AN15" s="615"/>
      <c r="AO15" s="615"/>
      <c r="AP15" s="615"/>
      <c r="AQ15" s="598"/>
      <c r="AR15" s="978"/>
      <c r="AS15" s="980"/>
      <c r="AT15" s="598"/>
      <c r="AX15" s="563">
        <f>+AM15*$V15</f>
        <v>0</v>
      </c>
      <c r="AZ15" s="563">
        <f>+AO15*$V15</f>
        <v>0</v>
      </c>
    </row>
    <row r="16" spans="1:52" hidden="1" x14ac:dyDescent="0.2">
      <c r="A16" s="610" t="s">
        <v>270</v>
      </c>
      <c r="B16" s="588"/>
      <c r="C16" s="572"/>
      <c r="D16" s="572"/>
      <c r="E16" s="572"/>
      <c r="F16" s="826"/>
      <c r="G16" s="986">
        <f>+K16/((I83+N83)/2)</f>
        <v>8.4429467813153618</v>
      </c>
      <c r="H16" s="656"/>
      <c r="I16" s="597"/>
      <c r="J16" s="610" t="s">
        <v>270</v>
      </c>
      <c r="K16" s="582">
        <f>+Z14</f>
        <v>25.95</v>
      </c>
      <c r="L16" s="973">
        <v>7.5615919286554529</v>
      </c>
      <c r="M16" s="582">
        <f>+AD14</f>
        <v>24.45</v>
      </c>
      <c r="N16" s="583">
        <f t="shared" ref="N16:N21" si="2">+M16-K16</f>
        <v>-1.5</v>
      </c>
      <c r="O16" s="835">
        <v>54.438408071344547</v>
      </c>
      <c r="P16" s="573">
        <f>+R16*704</f>
        <v>0</v>
      </c>
      <c r="Q16" s="573">
        <f t="shared" si="0"/>
        <v>0</v>
      </c>
      <c r="R16" s="573">
        <f t="shared" si="1"/>
        <v>0</v>
      </c>
      <c r="S16" s="585">
        <f>+'EOL LINKS'!H14-Master!O16</f>
        <v>-29.88840807134455</v>
      </c>
      <c r="T16" s="603">
        <v>37165</v>
      </c>
      <c r="U16" s="602">
        <f>+TradeSum!CD12</f>
        <v>368</v>
      </c>
      <c r="V16" s="602"/>
      <c r="W16" s="605">
        <f>+TradeSum!CE12</f>
        <v>0.99255459641088606</v>
      </c>
      <c r="X16" s="613">
        <f>+U16*TradeSum!I12</f>
        <v>9549.6</v>
      </c>
      <c r="Y16" s="602"/>
      <c r="AB16" s="613">
        <f>+U16*TradeSum!I57</f>
        <v>9236.7984558105472</v>
      </c>
      <c r="AC16" s="602"/>
      <c r="AD16" s="585"/>
      <c r="AE16" s="585"/>
      <c r="AF16" s="613">
        <f>+Y16*TradeSum!M65</f>
        <v>0</v>
      </c>
      <c r="AG16" s="613">
        <f>+U16*Master!O17</f>
        <v>9476</v>
      </c>
      <c r="AH16" s="596"/>
      <c r="AI16" s="596"/>
      <c r="AJ16" s="598"/>
      <c r="AK16" s="598"/>
      <c r="AL16" s="888"/>
      <c r="AM16" s="615"/>
      <c r="AN16" s="615"/>
      <c r="AO16" s="615"/>
      <c r="AP16" s="615"/>
      <c r="AQ16" s="598"/>
      <c r="AR16" s="978"/>
      <c r="AS16" s="980"/>
      <c r="AT16" s="598"/>
      <c r="AX16" s="563">
        <f>+AM16*$U16</f>
        <v>0</v>
      </c>
      <c r="AZ16" s="563">
        <f>+AO16*$U16</f>
        <v>0</v>
      </c>
    </row>
    <row r="17" spans="1:52" hidden="1" x14ac:dyDescent="0.2">
      <c r="A17" s="610" t="s">
        <v>257</v>
      </c>
      <c r="B17" s="588">
        <f ca="1">SUM(C17:F17)</f>
        <v>-1296.3343795416581</v>
      </c>
      <c r="C17" s="572">
        <f ca="1">+TradeSum!F12</f>
        <v>-527.37915233465037</v>
      </c>
      <c r="D17" s="572">
        <f ca="1">+TradeSum!F56</f>
        <v>280.04477279299238</v>
      </c>
      <c r="E17" s="572">
        <v>-1049</v>
      </c>
      <c r="F17" s="826"/>
      <c r="G17" s="986">
        <f>+K17/D65</f>
        <v>11.066098081023457</v>
      </c>
      <c r="H17" s="656">
        <f ca="1">+G17*304*B17/10000</f>
        <v>-436.09904705024456</v>
      </c>
      <c r="I17" s="597">
        <f ca="1">+H17+D60</f>
        <v>1019.8009529497574</v>
      </c>
      <c r="J17" s="610" t="s">
        <v>257</v>
      </c>
      <c r="K17" s="582">
        <f>+TradeSum!I12</f>
        <v>25.950000000000003</v>
      </c>
      <c r="L17" s="973"/>
      <c r="M17" s="582">
        <f>+TradeSum!I56</f>
        <v>24.450000000000003</v>
      </c>
      <c r="N17" s="583">
        <f t="shared" si="2"/>
        <v>-1.5</v>
      </c>
      <c r="O17" s="835">
        <v>25.75</v>
      </c>
      <c r="P17" s="573">
        <f>+R17*304</f>
        <v>-318896</v>
      </c>
      <c r="Q17" s="573">
        <f t="shared" si="0"/>
        <v>0</v>
      </c>
      <c r="R17" s="573">
        <f t="shared" si="1"/>
        <v>-1049</v>
      </c>
      <c r="S17" s="585">
        <f>+'EOL LINKS'!H12-Master!O17</f>
        <v>3</v>
      </c>
      <c r="T17" s="603">
        <v>37196</v>
      </c>
      <c r="U17" s="602">
        <f>+TradeSum!CD13</f>
        <v>336</v>
      </c>
      <c r="V17" s="602"/>
      <c r="W17" s="605">
        <f>+TradeSum!CE13</f>
        <v>0.98969489580859615</v>
      </c>
      <c r="X17" s="613">
        <f>+U17*TradeSum!I13</f>
        <v>8803.2000000000007</v>
      </c>
      <c r="Y17" s="602"/>
      <c r="AB17" s="613">
        <f>+U17*TradeSum!I58</f>
        <v>8937.6007690429688</v>
      </c>
      <c r="AC17" s="602"/>
      <c r="AD17" s="585"/>
      <c r="AE17" s="585"/>
      <c r="AF17" s="613">
        <f>+Y17*TradeSum!M66</f>
        <v>0</v>
      </c>
      <c r="AG17" s="613">
        <f>+U17*O18</f>
        <v>8752.7997436523438</v>
      </c>
      <c r="AH17" s="596"/>
      <c r="AI17" s="596"/>
      <c r="AJ17" s="598"/>
      <c r="AK17" s="598"/>
      <c r="AL17" s="888"/>
      <c r="AM17" s="615"/>
      <c r="AN17" s="615"/>
      <c r="AO17" s="615"/>
      <c r="AP17" s="615"/>
      <c r="AQ17" s="598"/>
      <c r="AR17" s="978"/>
      <c r="AS17" s="980"/>
      <c r="AT17" s="598"/>
      <c r="AX17" s="563">
        <f>+AM17*$V19</f>
        <v>0</v>
      </c>
      <c r="AZ17" s="563">
        <f>+AO17*$V19</f>
        <v>0</v>
      </c>
    </row>
    <row r="18" spans="1:52" x14ac:dyDescent="0.2">
      <c r="A18" s="610" t="s">
        <v>301</v>
      </c>
      <c r="B18" s="588">
        <f ca="1">SUM(C18:F18)</f>
        <v>53.665620458342005</v>
      </c>
      <c r="C18" s="572">
        <f ca="1">+TradeSum!F12</f>
        <v>-527.37915233465037</v>
      </c>
      <c r="D18" s="572">
        <f ca="1">+TradeSum!F56</f>
        <v>280.04477279299238</v>
      </c>
      <c r="E18" s="572">
        <v>301</v>
      </c>
      <c r="F18" s="826"/>
      <c r="G18" s="986">
        <f>+K18/I65</f>
        <v>10.613496932515339</v>
      </c>
      <c r="H18" s="656">
        <f ca="1">+G18*368*B18/10000</f>
        <v>20.960540250674146</v>
      </c>
      <c r="I18" s="597">
        <f ca="1">+H18+E60</f>
        <v>-691.03945974932378</v>
      </c>
      <c r="J18" s="610" t="s">
        <v>301</v>
      </c>
      <c r="K18" s="582">
        <f>+TradeSum!I12</f>
        <v>25.950000000000003</v>
      </c>
      <c r="L18" s="973">
        <f>+S18</f>
        <v>-9.9999237060544033E-2</v>
      </c>
      <c r="M18" s="582">
        <f>+K18+N18</f>
        <v>24.950000000000003</v>
      </c>
      <c r="N18" s="583">
        <v>-1</v>
      </c>
      <c r="O18" s="835">
        <v>26.049999237060547</v>
      </c>
      <c r="P18" s="573">
        <f>+R18*1024</f>
        <v>308224</v>
      </c>
      <c r="Q18" s="573">
        <f t="shared" si="0"/>
        <v>-30822.164843749124</v>
      </c>
      <c r="R18" s="573">
        <f t="shared" si="1"/>
        <v>301</v>
      </c>
      <c r="S18" s="585">
        <f>+'EOL LINKS'!H26-Master!O18</f>
        <v>-9.9999237060544033E-2</v>
      </c>
      <c r="T18" s="603">
        <v>37226</v>
      </c>
      <c r="U18" s="602">
        <f>+TradeSum!CD14</f>
        <v>320</v>
      </c>
      <c r="V18" s="602">
        <f>SUM(U16:U18)</f>
        <v>1024</v>
      </c>
      <c r="W18" s="605">
        <f>+TradeSum!CE14</f>
        <v>0.98679579651441607</v>
      </c>
      <c r="X18" s="613">
        <f>+U18*TradeSum!I14</f>
        <v>8800</v>
      </c>
      <c r="Y18" s="602">
        <f>SUM(X16:X18)</f>
        <v>27152.800000000003</v>
      </c>
      <c r="Z18" s="585">
        <f>+Y18/$V18</f>
        <v>26.516406250000003</v>
      </c>
      <c r="AA18" s="585">
        <f>SUM(X12:X18)/SUM($U12:$U18)</f>
        <v>26.182371794871795</v>
      </c>
      <c r="AB18" s="613">
        <f>+U18*TradeSum!I59</f>
        <v>8980.6939115978421</v>
      </c>
      <c r="AC18" s="602">
        <f>SUM(AB16:AB18)</f>
        <v>27155.093136451356</v>
      </c>
      <c r="AD18" s="585">
        <f>+AC18/$V18</f>
        <v>26.518645641065778</v>
      </c>
      <c r="AE18" s="585">
        <f>SUM(AB12:AB18)/SUM($U12:$U18)</f>
        <v>25.29867513479622</v>
      </c>
      <c r="AF18" s="613">
        <f>+Y18*TradeSum!M67</f>
        <v>0</v>
      </c>
      <c r="AG18" s="613">
        <f>+U18*O18</f>
        <v>8335.999755859375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78"/>
      <c r="AS18" s="980"/>
      <c r="AT18" s="598"/>
    </row>
    <row r="19" spans="1:52" x14ac:dyDescent="0.2">
      <c r="A19" s="610" t="s">
        <v>168</v>
      </c>
      <c r="B19" s="588">
        <f ca="1">SUM(C19:F19)</f>
        <v>-638.18253312186357</v>
      </c>
      <c r="C19" s="572">
        <f ca="1">+TradeSum!F13</f>
        <v>-1469.2688209987768</v>
      </c>
      <c r="D19" s="572">
        <f ca="1">+TradeSum!F57</f>
        <v>430.08628787691333</v>
      </c>
      <c r="E19" s="572">
        <v>401</v>
      </c>
      <c r="F19" s="826"/>
      <c r="G19" s="986">
        <f>+K19/N65</f>
        <v>9.5795246800731277</v>
      </c>
      <c r="H19" s="656">
        <f ca="1">+G19*336*B19/10000</f>
        <v>-205.41310696813127</v>
      </c>
      <c r="I19" s="597">
        <f ca="1">+H19+F60</f>
        <v>-144.41310696812889</v>
      </c>
      <c r="J19" s="610" t="s">
        <v>168</v>
      </c>
      <c r="K19" s="582">
        <f>+TradeSum!I13</f>
        <v>26.200000000000003</v>
      </c>
      <c r="L19" s="973">
        <f>+S19</f>
        <v>5.0000381469729405E-2</v>
      </c>
      <c r="M19" s="582">
        <f>+'EOL LINKS'!H59</f>
        <v>25.4</v>
      </c>
      <c r="N19" s="583">
        <f t="shared" si="2"/>
        <v>-0.80000000000000426</v>
      </c>
      <c r="O19" s="835">
        <v>26.149999618530273</v>
      </c>
      <c r="P19" s="573"/>
      <c r="Q19" s="573"/>
      <c r="R19" s="573">
        <f t="shared" si="1"/>
        <v>401</v>
      </c>
      <c r="S19" s="585">
        <f>+'EOL LINKS'!H27-Master!O19</f>
        <v>5.0000381469729405E-2</v>
      </c>
      <c r="T19" s="603">
        <v>37257</v>
      </c>
      <c r="U19" s="602">
        <f>+TradeSum!CD15</f>
        <v>352</v>
      </c>
      <c r="V19" s="602"/>
      <c r="W19" s="605">
        <f>+TradeSum!CE15</f>
        <v>0.9840771870806414</v>
      </c>
      <c r="X19" s="613">
        <f>+U19*TradeSum!I15</f>
        <v>10354.66705031622</v>
      </c>
      <c r="Y19" s="602"/>
      <c r="AB19" s="613">
        <f>+U19*TradeSum!I60</f>
        <v>9756.2661103748142</v>
      </c>
      <c r="AC19" s="602"/>
      <c r="AD19" s="585"/>
      <c r="AE19" s="585"/>
      <c r="AF19" s="613">
        <f>+Y19*TradeSum!M68</f>
        <v>0</v>
      </c>
      <c r="AG19" s="613">
        <f>+U19*O18</f>
        <v>9169.5997314453125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78"/>
      <c r="AS19" s="980"/>
      <c r="AT19" s="598"/>
    </row>
    <row r="20" spans="1:52" x14ac:dyDescent="0.2">
      <c r="A20" s="610" t="s">
        <v>274</v>
      </c>
      <c r="B20" s="588">
        <f ca="1">SUM(C20:F20)</f>
        <v>269.85558468371892</v>
      </c>
      <c r="C20" s="572">
        <f ca="1">+TradeSum!F14</f>
        <v>-658.76731006975888</v>
      </c>
      <c r="D20" s="572">
        <f ca="1">+TradeSum!F58</f>
        <v>527.62289475347779</v>
      </c>
      <c r="E20" s="572">
        <v>401</v>
      </c>
      <c r="F20" s="826"/>
      <c r="G20" s="986">
        <f>+K20/U59</f>
        <v>9.0163934426229506</v>
      </c>
      <c r="H20" s="656">
        <f ca="1">+G20*320*B20/10000</f>
        <v>77.859971974318896</v>
      </c>
      <c r="I20" s="597">
        <f ca="1">+H20+G60</f>
        <v>32.85997197432129</v>
      </c>
      <c r="J20" s="932" t="s">
        <v>274</v>
      </c>
      <c r="K20" s="582">
        <f>+TradeSum!I14</f>
        <v>27.5</v>
      </c>
      <c r="L20" s="973">
        <f>+S20</f>
        <v>-0.14999961853027344</v>
      </c>
      <c r="M20" s="582">
        <f>+'EOL LINKS'!H57</f>
        <v>26.7</v>
      </c>
      <c r="N20" s="583">
        <f t="shared" si="2"/>
        <v>-0.80000000000000071</v>
      </c>
      <c r="O20" s="835">
        <v>27.649999618530273</v>
      </c>
      <c r="P20" s="573"/>
      <c r="Q20" s="573"/>
      <c r="R20" s="573">
        <f t="shared" si="1"/>
        <v>401</v>
      </c>
      <c r="S20" s="585">
        <f>+'EOL LINKS'!H28-Master!O20</f>
        <v>-0.14999961853027344</v>
      </c>
      <c r="T20" s="603">
        <v>37288</v>
      </c>
      <c r="U20" s="602">
        <f>+TradeSum!CD16</f>
        <v>320</v>
      </c>
      <c r="V20" s="602">
        <f>SUM(U19:U20)</f>
        <v>672</v>
      </c>
      <c r="W20" s="605">
        <f>+TradeSum!CE16</f>
        <v>0.98146048862368218</v>
      </c>
      <c r="X20" s="613">
        <f>+U20*TradeSum!I16</f>
        <v>9301.3329496837796</v>
      </c>
      <c r="Y20" s="602">
        <f>SUM(X19:X20)</f>
        <v>19656</v>
      </c>
      <c r="Z20" s="585">
        <f>+Y20/$V20</f>
        <v>29.25</v>
      </c>
      <c r="AB20" s="613">
        <f>+U20*TradeSum!I61</f>
        <v>8454.3265551190034</v>
      </c>
      <c r="AC20" s="602">
        <f>SUM(AB19:AB20)</f>
        <v>18210.592665493816</v>
      </c>
      <c r="AD20" s="585">
        <f>+AC20/$V20</f>
        <v>27.099096228413416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78"/>
      <c r="AS20" s="980"/>
      <c r="AT20" s="598"/>
    </row>
    <row r="21" spans="1:52" x14ac:dyDescent="0.2">
      <c r="A21" s="574" t="s">
        <v>264</v>
      </c>
      <c r="B21" s="606">
        <f ca="1">(B14+B17+B18+B19+B20)/5</f>
        <v>-322.19914150429219</v>
      </c>
      <c r="C21" s="606">
        <f ca="1">(C14+C17+C18+C19+C20)/5</f>
        <v>-636.55888714756725</v>
      </c>
      <c r="D21" s="606">
        <f ca="1">(D14+D17+D18+D19+D20)/5</f>
        <v>303.55974564327516</v>
      </c>
      <c r="E21" s="606">
        <f>(E14+E17+E18+E19+E20)/5</f>
        <v>10.8</v>
      </c>
      <c r="F21" s="982" t="s">
        <v>465</v>
      </c>
      <c r="G21" s="984">
        <f>AVERAGE(G18:G20)</f>
        <v>9.7364716850704713</v>
      </c>
      <c r="H21" s="606">
        <f ca="1">+H12+H14+H17+H18</f>
        <v>-415.13850679957039</v>
      </c>
      <c r="I21" s="1006">
        <f ca="1">+I20+I19+I18</f>
        <v>-802.59259474313137</v>
      </c>
      <c r="J21" s="882">
        <f>+K31-K44</f>
        <v>5.25</v>
      </c>
      <c r="K21" s="620">
        <f>(('EOL LINKS'!H26*368)+('EOL LINKS'!H27*336)+('EOL LINKS'!H28*320))/1024</f>
        <v>26.516406250000003</v>
      </c>
      <c r="L21" s="620">
        <f>+'EOL LINKS'!H13</f>
        <v>26.524999999999999</v>
      </c>
      <c r="M21" s="1004">
        <f>((M18*368)+(M19*336)+(M20*320))/1024</f>
        <v>25.64453125</v>
      </c>
      <c r="N21" s="1004">
        <f t="shared" si="2"/>
        <v>-0.87187500000000284</v>
      </c>
      <c r="O21" s="835"/>
      <c r="P21" s="606"/>
      <c r="Q21" s="586"/>
      <c r="R21" s="586"/>
      <c r="T21" s="603">
        <v>37316</v>
      </c>
      <c r="U21" s="602">
        <f>+TradeSum!CD17</f>
        <v>336</v>
      </c>
      <c r="V21" s="602"/>
      <c r="W21" s="605">
        <f>+TradeSum!CE17</f>
        <v>0.97857430619923447</v>
      </c>
      <c r="X21" s="613">
        <f>+U21*TradeSum!I17</f>
        <v>9246.6417293105005</v>
      </c>
      <c r="Y21" s="602"/>
      <c r="AB21" s="613">
        <f>+U21*TradeSum!I62</f>
        <v>9028.2418574843286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78"/>
      <c r="AS21" s="980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85"/>
      <c r="H22" s="656"/>
      <c r="I22" s="656"/>
      <c r="J22" s="611" t="s">
        <v>274</v>
      </c>
      <c r="K22" s="582"/>
      <c r="L22" s="974"/>
      <c r="M22" s="582"/>
      <c r="N22" s="600"/>
      <c r="O22" s="835">
        <v>0</v>
      </c>
      <c r="P22" s="595"/>
      <c r="Q22" s="601"/>
      <c r="R22" s="601">
        <v>51.114041676240809</v>
      </c>
      <c r="T22" s="603">
        <v>37347</v>
      </c>
      <c r="U22" s="602">
        <f>+TradeSum!CD18</f>
        <v>352</v>
      </c>
      <c r="V22" s="602">
        <f>SUM(U21:U22)</f>
        <v>688</v>
      </c>
      <c r="W22" s="605">
        <f>+TradeSum!CE18</f>
        <v>0.97576331188144427</v>
      </c>
      <c r="X22" s="613">
        <f>+U22*TradeSum!I18</f>
        <v>9845.3582706894977</v>
      </c>
      <c r="Y22" s="602">
        <f>SUM(X21:X22)</f>
        <v>19092</v>
      </c>
      <c r="Z22" s="585">
        <f>+Y22/$V22</f>
        <v>27.75</v>
      </c>
      <c r="AB22" s="613">
        <f>+U22*TradeSum!I63</f>
        <v>10771.198791503906</v>
      </c>
      <c r="AC22" s="602">
        <f>SUM(AB21:AB22)</f>
        <v>19799.440648988235</v>
      </c>
      <c r="AD22" s="585">
        <f>+AC22/$V22</f>
        <v>28.778256757250343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78"/>
      <c r="AS22" s="980"/>
      <c r="AT22" s="598"/>
    </row>
    <row r="23" spans="1:52" hidden="1" x14ac:dyDescent="0.2">
      <c r="A23" s="611" t="s">
        <v>281</v>
      </c>
      <c r="B23" s="588">
        <f ca="1">SUM(C23:H23)</f>
        <v>-1983.4236467741348</v>
      </c>
      <c r="C23" s="572">
        <f ca="1">+TradeSum!F21</f>
        <v>-1133.7651384287142</v>
      </c>
      <c r="D23" s="572">
        <f ca="1">+TradeSum!F65</f>
        <v>-849.65850834542073</v>
      </c>
      <c r="E23" s="572">
        <f>+TradeSum!B156/TradeSum!CD26</f>
        <v>0</v>
      </c>
      <c r="F23" s="573"/>
      <c r="G23" s="985"/>
      <c r="H23" s="656"/>
      <c r="I23" s="656"/>
      <c r="J23" s="611" t="s">
        <v>281</v>
      </c>
      <c r="K23" s="582">
        <f>+TradeSum!I18</f>
        <v>27.969767814458802</v>
      </c>
      <c r="L23" s="975">
        <v>0.5</v>
      </c>
      <c r="M23" s="582">
        <f>+TradeSum!I65</f>
        <v>53.625</v>
      </c>
      <c r="N23" s="583">
        <f>+M23-K23</f>
        <v>25.655232185541198</v>
      </c>
      <c r="O23" s="835">
        <v>38.537143707275391</v>
      </c>
      <c r="P23" s="573"/>
      <c r="Q23" s="584"/>
      <c r="R23" s="584">
        <v>45.935624881053535</v>
      </c>
      <c r="T23" s="603">
        <v>37377</v>
      </c>
      <c r="U23" s="602">
        <f>+TradeSum!CD19</f>
        <v>352</v>
      </c>
      <c r="V23" s="602"/>
      <c r="W23" s="605">
        <f>+TradeSum!CE19</f>
        <v>0.97281301051345392</v>
      </c>
      <c r="X23" s="613">
        <f>+U23*TradeSum!I19</f>
        <v>11000</v>
      </c>
      <c r="Y23" s="602"/>
      <c r="AB23" s="613">
        <f>+U23*TradeSum!I64</f>
        <v>14080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9" t="s">
        <v>288</v>
      </c>
      <c r="AJ23" s="927">
        <f>((TradeSum!G17*352)+(TradeSum!G18*320))/672</f>
        <v>27.984053838820685</v>
      </c>
      <c r="AK23" s="598"/>
      <c r="AL23" s="598"/>
      <c r="AM23" s="598"/>
      <c r="AN23" s="598"/>
      <c r="AO23" s="598"/>
      <c r="AP23" s="598"/>
      <c r="AQ23" s="598"/>
      <c r="AR23" s="978"/>
      <c r="AS23" s="980"/>
      <c r="AT23" s="598"/>
    </row>
    <row r="24" spans="1:52" hidden="1" x14ac:dyDescent="0.2">
      <c r="A24" s="611" t="s">
        <v>282</v>
      </c>
      <c r="B24" s="588">
        <f ca="1">SUM(C24:H24)</f>
        <v>-2014.8589813955473</v>
      </c>
      <c r="C24" s="572">
        <f ca="1">+TradeSum!F22</f>
        <v>-1165.2615210977538</v>
      </c>
      <c r="D24" s="572">
        <f ca="1">+TradeSum!F66</f>
        <v>-849.59746029779365</v>
      </c>
      <c r="E24" s="572">
        <f>+TradeSum!B157/TradeSum!CD27</f>
        <v>0</v>
      </c>
      <c r="F24" s="573"/>
      <c r="G24" s="985"/>
      <c r="H24" s="656"/>
      <c r="I24" s="656"/>
      <c r="J24" s="611" t="s">
        <v>282</v>
      </c>
      <c r="K24" s="582">
        <f>+TradeSum!I19</f>
        <v>31.25</v>
      </c>
      <c r="L24" s="975">
        <v>0.5</v>
      </c>
      <c r="M24" s="582">
        <f>+TradeSum!I66</f>
        <v>53.625</v>
      </c>
      <c r="N24" s="583">
        <f t="shared" ref="N24:N33" si="3">+M24-K24</f>
        <v>22.375</v>
      </c>
      <c r="O24" s="835">
        <v>37.937141418457031</v>
      </c>
      <c r="P24" s="573"/>
      <c r="Q24" s="584"/>
      <c r="R24" s="584"/>
      <c r="T24" s="603">
        <v>37408</v>
      </c>
      <c r="U24" s="602">
        <f>+TradeSum!CD20</f>
        <v>320</v>
      </c>
      <c r="V24" s="602"/>
      <c r="W24" s="605">
        <f>+TradeSum!CE20</f>
        <v>0.9699509717884377</v>
      </c>
      <c r="X24" s="613">
        <f>+U24*TradeSum!I20</f>
        <v>13120</v>
      </c>
      <c r="Y24" s="602"/>
      <c r="AB24" s="613">
        <f>+U24*TradeSum!I65</f>
        <v>17160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27"/>
      <c r="AK24" s="598"/>
      <c r="AL24" s="598"/>
      <c r="AM24" s="598"/>
      <c r="AN24" s="598"/>
      <c r="AO24" s="598"/>
      <c r="AP24" s="598"/>
      <c r="AQ24" s="598"/>
      <c r="AR24" s="978"/>
      <c r="AS24" s="980"/>
      <c r="AT24" s="598"/>
    </row>
    <row r="25" spans="1:52" x14ac:dyDescent="0.2">
      <c r="A25" s="611" t="s">
        <v>288</v>
      </c>
      <c r="B25" s="588">
        <f ca="1">SUM(C25:F25)</f>
        <v>-393.34511281265969</v>
      </c>
      <c r="C25" s="572">
        <f ca="1">AVERAGE(TradeSum!F15:F16)</f>
        <v>973.89429390581006</v>
      </c>
      <c r="D25" s="572">
        <f ca="1">AVERAGE(TradeSum!F59:F60)</f>
        <v>-1220.0394067184698</v>
      </c>
      <c r="E25" s="572">
        <v>-146</v>
      </c>
      <c r="F25" s="1002">
        <f>+'EOL LINKS'!H36</f>
        <v>-1.2000000000000002</v>
      </c>
      <c r="G25" s="987">
        <f>+K25/AVERAGE(U60:U61)</f>
        <v>9.1764705882352935</v>
      </c>
      <c r="H25" s="656">
        <f ca="1">+G25*672*B25/10000</f>
        <v>-242.55973450809847</v>
      </c>
      <c r="I25" s="656">
        <f ca="1">+H25+SUM(Total!T50:T51)</f>
        <v>1156.3582982787877</v>
      </c>
      <c r="J25" s="709" t="s">
        <v>288</v>
      </c>
      <c r="K25" s="708">
        <f>+Z20</f>
        <v>29.25</v>
      </c>
      <c r="L25" s="973">
        <f t="shared" ref="L25:L33" si="4">+S25</f>
        <v>-0.25000018165225057</v>
      </c>
      <c r="M25" s="582">
        <f>+AD20</f>
        <v>27.099096228413416</v>
      </c>
      <c r="N25" s="583">
        <f t="shared" si="3"/>
        <v>-2.1509037715865844</v>
      </c>
      <c r="O25" s="835">
        <v>29.500000181652251</v>
      </c>
      <c r="P25" s="573">
        <f>+R25*672</f>
        <v>-98112</v>
      </c>
      <c r="Q25" s="573">
        <f t="shared" ref="Q25:Q33" si="5">+P25*L25</f>
        <v>24528.017822265607</v>
      </c>
      <c r="R25" s="573">
        <f t="shared" ref="R25:R33" si="6">+E25</f>
        <v>-146</v>
      </c>
      <c r="S25" s="585">
        <f>+'EOL LINKS'!H2-Master!O25</f>
        <v>-0.25000018165225057</v>
      </c>
      <c r="T25" s="603">
        <v>37438</v>
      </c>
      <c r="U25" s="602">
        <f>+TradeSum!CD21</f>
        <v>352</v>
      </c>
      <c r="V25" s="602"/>
      <c r="W25" s="605">
        <f>+TradeSum!CE21</f>
        <v>0.96692976638675288</v>
      </c>
      <c r="X25" s="613">
        <f>+U25*TradeSum!I21</f>
        <v>19316</v>
      </c>
      <c r="Y25" s="602"/>
      <c r="AB25" s="613">
        <f>+U25*TradeSum!I66</f>
        <v>18876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27"/>
      <c r="AK25" s="598"/>
      <c r="AL25" s="598"/>
      <c r="AM25" s="598"/>
      <c r="AN25" s="598"/>
      <c r="AO25" s="598"/>
      <c r="AP25" s="598"/>
      <c r="AQ25" s="598"/>
      <c r="AR25" s="978"/>
      <c r="AS25" s="980"/>
      <c r="AT25" s="598"/>
    </row>
    <row r="26" spans="1:52" hidden="1" x14ac:dyDescent="0.2">
      <c r="A26" s="611" t="s">
        <v>283</v>
      </c>
      <c r="B26" s="588">
        <f ca="1">SUM(C26:H26)</f>
        <v>-549.69169411587802</v>
      </c>
      <c r="C26" s="572">
        <f ca="1">+TradeSum!F23</f>
        <v>-849.5067105854049</v>
      </c>
      <c r="D26" s="572">
        <f ca="1">+TradeSum!F67</f>
        <v>299.81501646952688</v>
      </c>
      <c r="E26" s="572">
        <f>+TradeSum!B158/TradeSum!CD28</f>
        <v>0</v>
      </c>
      <c r="F26" s="1002"/>
      <c r="G26" s="988"/>
      <c r="H26" s="656"/>
      <c r="I26" s="656"/>
      <c r="J26" s="611" t="s">
        <v>283</v>
      </c>
      <c r="K26" s="708">
        <f>+TradeSum!I20</f>
        <v>41</v>
      </c>
      <c r="L26" s="973">
        <f t="shared" si="4"/>
        <v>0</v>
      </c>
      <c r="M26" s="582">
        <f>+TradeSum!I67</f>
        <v>27.249994277954102</v>
      </c>
      <c r="N26" s="583">
        <f t="shared" si="3"/>
        <v>-13.750005722045898</v>
      </c>
      <c r="O26" s="835">
        <v>30.75</v>
      </c>
      <c r="P26" s="573"/>
      <c r="Q26" s="573">
        <f t="shared" si="5"/>
        <v>0</v>
      </c>
      <c r="R26" s="573">
        <f t="shared" si="6"/>
        <v>0</v>
      </c>
      <c r="T26" s="603">
        <v>37469</v>
      </c>
      <c r="U26" s="602">
        <f>+TradeSum!CD22</f>
        <v>352</v>
      </c>
      <c r="V26" s="602">
        <f>SUM(U25:U26)</f>
        <v>704</v>
      </c>
      <c r="W26" s="605">
        <f>+TradeSum!CE22</f>
        <v>0.96377589818915066</v>
      </c>
      <c r="X26" s="613">
        <f>+U26*TradeSum!I22</f>
        <v>19316</v>
      </c>
      <c r="Y26" s="602">
        <f>SUM(X25:X26)</f>
        <v>38632</v>
      </c>
      <c r="Z26" s="585">
        <f>+Y26/$V26</f>
        <v>54.875</v>
      </c>
      <c r="AB26" s="613">
        <f>+U26*TradeSum!I67</f>
        <v>9591.9979858398438</v>
      </c>
      <c r="AC26" s="602">
        <f>SUM(AB25:AB26)</f>
        <v>28467.997985839844</v>
      </c>
      <c r="AD26" s="585">
        <f>+AC26/$V26</f>
        <v>40.437497138977051</v>
      </c>
      <c r="AE26" s="585"/>
      <c r="AF26" s="613">
        <f>+Y26*TradeSum!M75</f>
        <v>0</v>
      </c>
      <c r="AG26" s="613"/>
      <c r="AH26" s="596"/>
      <c r="AI26" s="611" t="s">
        <v>289</v>
      </c>
      <c r="AJ26" s="927">
        <f>((TradeSum!G19*336)+(TradeSum!G20*352))/688</f>
        <v>36.430232558139537</v>
      </c>
      <c r="AK26" s="598"/>
      <c r="AL26" s="598"/>
      <c r="AM26" s="598"/>
      <c r="AN26" s="598"/>
      <c r="AO26" s="598"/>
      <c r="AP26" s="598"/>
      <c r="AQ26" s="598"/>
      <c r="AR26" s="978"/>
      <c r="AS26" s="980"/>
      <c r="AT26" s="598"/>
    </row>
    <row r="27" spans="1:52" hidden="1" x14ac:dyDescent="0.2">
      <c r="A27" s="611" t="s">
        <v>284</v>
      </c>
      <c r="B27" s="588">
        <f ca="1">SUM(C27:H27)</f>
        <v>96.761976669125886</v>
      </c>
      <c r="C27" s="572">
        <f ca="1">+TradeSum!F24</f>
        <v>596.37715128731486</v>
      </c>
      <c r="D27" s="572">
        <f ca="1">+TradeSum!F68</f>
        <v>-499.61517461818897</v>
      </c>
      <c r="E27" s="572">
        <f>+TradeSum!B159/TradeSum!CD29</f>
        <v>0</v>
      </c>
      <c r="F27" s="1002"/>
      <c r="G27" s="987"/>
      <c r="H27" s="656"/>
      <c r="I27" s="656"/>
      <c r="J27" s="611" t="s">
        <v>284</v>
      </c>
      <c r="K27" s="708">
        <f>+TradeSum!I21</f>
        <v>54.875</v>
      </c>
      <c r="L27" s="973">
        <f t="shared" si="4"/>
        <v>0</v>
      </c>
      <c r="M27" s="582">
        <f>+TradeSum!I68</f>
        <v>28.256248146295547</v>
      </c>
      <c r="N27" s="583">
        <f t="shared" si="3"/>
        <v>-26.618751853704453</v>
      </c>
      <c r="O27" s="835">
        <v>41</v>
      </c>
      <c r="P27" s="573"/>
      <c r="Q27" s="573">
        <f t="shared" si="5"/>
        <v>0</v>
      </c>
      <c r="R27" s="573">
        <f t="shared" si="6"/>
        <v>0</v>
      </c>
      <c r="T27" s="603">
        <v>37500</v>
      </c>
      <c r="U27" s="602">
        <f>+TradeSum!CD23</f>
        <v>320</v>
      </c>
      <c r="V27" s="602"/>
      <c r="W27" s="605">
        <f>+TradeSum!CE23</f>
        <v>0.96068392174608619</v>
      </c>
      <c r="X27" s="613">
        <f>+U27*TradeSum!I23</f>
        <v>9040</v>
      </c>
      <c r="Y27" s="602"/>
      <c r="AB27" s="613">
        <f>+U27*TradeSum!I68</f>
        <v>9041.9994068145752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27">
        <f>+TradeSum!G21</f>
        <v>55.375</v>
      </c>
      <c r="AK27" s="598"/>
      <c r="AL27" s="598"/>
      <c r="AM27" s="598"/>
      <c r="AN27" s="598"/>
      <c r="AO27" s="598"/>
      <c r="AP27" s="598"/>
      <c r="AQ27" s="598"/>
      <c r="AR27" s="978"/>
      <c r="AS27" s="980"/>
      <c r="AT27" s="598"/>
    </row>
    <row r="28" spans="1:52" x14ac:dyDescent="0.2">
      <c r="A28" s="611" t="s">
        <v>289</v>
      </c>
      <c r="B28" s="588">
        <f t="shared" ref="B28:B33" ca="1" si="7">SUM(C28:F28)</f>
        <v>-343.25978283993982</v>
      </c>
      <c r="C28" s="572">
        <f ca="1">AVERAGE(TradeSum!F17:F18)</f>
        <v>22.830604859207227</v>
      </c>
      <c r="D28" s="572">
        <f ca="1">AVERAGE(TradeSum!F61:F62)</f>
        <v>-169.99038769914705</v>
      </c>
      <c r="E28" s="572">
        <v>-195</v>
      </c>
      <c r="F28" s="1002">
        <f>+'EOL LINKS'!H37</f>
        <v>-1.1000000000000001</v>
      </c>
      <c r="G28" s="987">
        <f>K28/AVERAGE(U62:U63)</f>
        <v>9.0909090909090899</v>
      </c>
      <c r="H28" s="656">
        <f ca="1">+G28*688*B28/10000</f>
        <v>-214.69339144898052</v>
      </c>
      <c r="I28" s="656">
        <f ca="1">+H28+SUM(Total!T52:T53)</f>
        <v>-1048.0048668588163</v>
      </c>
      <c r="J28" s="829" t="s">
        <v>289</v>
      </c>
      <c r="K28" s="708">
        <f>+Z22</f>
        <v>27.75</v>
      </c>
      <c r="L28" s="973">
        <f t="shared" si="4"/>
        <v>-0.25000070971112009</v>
      </c>
      <c r="M28" s="582">
        <f>+AD22</f>
        <v>28.778256757250343</v>
      </c>
      <c r="N28" s="583">
        <f t="shared" si="3"/>
        <v>1.0282567572503432</v>
      </c>
      <c r="O28" s="835">
        <v>28.00000070971112</v>
      </c>
      <c r="P28" s="573">
        <f>+R28*688</f>
        <v>-134160</v>
      </c>
      <c r="Q28" s="573">
        <f t="shared" si="5"/>
        <v>33540.095214843874</v>
      </c>
      <c r="R28" s="573">
        <f t="shared" si="6"/>
        <v>-195</v>
      </c>
      <c r="S28" s="585">
        <f>+'EOL LINKS'!H3-Master!O28</f>
        <v>-0.25000070971112009</v>
      </c>
      <c r="T28" s="603">
        <v>37530</v>
      </c>
      <c r="U28" s="602">
        <f>+TradeSum!CD24</f>
        <v>368</v>
      </c>
      <c r="V28" s="602"/>
      <c r="W28" s="605">
        <f>+TradeSum!CE24</f>
        <v>0.95741256964685173</v>
      </c>
      <c r="X28" s="613">
        <f>+U28*TradeSum!I24</f>
        <v>10600.69973897934</v>
      </c>
      <c r="Y28" s="602"/>
      <c r="AB28" s="613">
        <f>+U28*TradeSum!I69</f>
        <v>10471.898896694183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27">
        <f>+TradeSum!G22</f>
        <v>55.375</v>
      </c>
      <c r="AK28" s="598"/>
      <c r="AL28" s="598"/>
      <c r="AM28" s="598"/>
      <c r="AN28" s="598"/>
      <c r="AO28" s="598"/>
      <c r="AP28" s="598"/>
      <c r="AQ28" s="598"/>
      <c r="AR28" s="978"/>
      <c r="AS28" s="980"/>
      <c r="AT28" s="598"/>
    </row>
    <row r="29" spans="1:52" x14ac:dyDescent="0.2">
      <c r="A29" s="611" t="s">
        <v>268</v>
      </c>
      <c r="B29" s="588">
        <f t="shared" ca="1" si="7"/>
        <v>-1050.7490589131551</v>
      </c>
      <c r="C29" s="572">
        <f ca="1">+TradeSum!F19</f>
        <v>-487.1536882227719</v>
      </c>
      <c r="D29" s="572">
        <f ca="1">+TradeSum!F63</f>
        <v>-419.94537069038313</v>
      </c>
      <c r="E29" s="572">
        <v>-143</v>
      </c>
      <c r="F29" s="1002">
        <f>+'EOL LINKS'!H38</f>
        <v>-0.65</v>
      </c>
      <c r="G29" s="987">
        <f>+K29/U64</f>
        <v>10.347682119205299</v>
      </c>
      <c r="H29" s="656">
        <f ca="1">+G29*352*B29/10000</f>
        <v>-382.72316715379822</v>
      </c>
      <c r="I29" s="656">
        <f ca="1">+H29+Total!T54</f>
        <v>-866.35080181421949</v>
      </c>
      <c r="J29" s="829" t="s">
        <v>268</v>
      </c>
      <c r="K29" s="708">
        <f>+TradeSum!I19</f>
        <v>31.25</v>
      </c>
      <c r="L29" s="973">
        <f t="shared" si="4"/>
        <v>0</v>
      </c>
      <c r="M29" s="582">
        <f>+TradeSum!S64</f>
        <v>40</v>
      </c>
      <c r="N29" s="583">
        <f t="shared" si="3"/>
        <v>8.75</v>
      </c>
      <c r="O29" s="835">
        <v>31.25</v>
      </c>
      <c r="P29" s="573">
        <f>+R29*352</f>
        <v>-50336</v>
      </c>
      <c r="Q29" s="573">
        <f t="shared" si="5"/>
        <v>0</v>
      </c>
      <c r="R29" s="573">
        <f t="shared" si="6"/>
        <v>-143</v>
      </c>
      <c r="S29" s="585">
        <f>+'EOL LINKS'!H4-Master!O29</f>
        <v>0</v>
      </c>
      <c r="T29" s="603">
        <v>37561</v>
      </c>
      <c r="U29" s="602">
        <f>+TradeSum!CD25</f>
        <v>320</v>
      </c>
      <c r="V29" s="602"/>
      <c r="W29" s="605">
        <f>+TradeSum!CE25</f>
        <v>0.95408917815003869</v>
      </c>
      <c r="X29" s="613">
        <f>+U29*TradeSum!I25</f>
        <v>9282.0006275177002</v>
      </c>
      <c r="Y29" s="602"/>
      <c r="AB29" s="613">
        <f>+U29*TradeSum!I70</f>
        <v>9169.9992847442627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27">
        <f>+TradeSum!G23</f>
        <v>28.25</v>
      </c>
      <c r="AK29" s="598"/>
      <c r="AL29" s="598"/>
      <c r="AM29" s="598"/>
      <c r="AN29" s="598"/>
      <c r="AO29" s="598"/>
      <c r="AP29" s="598"/>
      <c r="AQ29" s="598"/>
      <c r="AR29" s="978"/>
      <c r="AS29" s="980"/>
      <c r="AT29" s="598"/>
    </row>
    <row r="30" spans="1:52" x14ac:dyDescent="0.2">
      <c r="A30" s="611" t="s">
        <v>269</v>
      </c>
      <c r="B30" s="588">
        <f t="shared" ca="1" si="7"/>
        <v>-1502.5923703410822</v>
      </c>
      <c r="C30" s="572">
        <f ca="1">+TradeSum!F20</f>
        <v>-1649.6449729940928</v>
      </c>
      <c r="D30" s="572">
        <f ca="1">+TradeSum!F64</f>
        <v>-199.94739734698939</v>
      </c>
      <c r="E30" s="572">
        <v>348</v>
      </c>
      <c r="F30" s="1002">
        <f>+'EOL LINKS'!H39</f>
        <v>-1</v>
      </c>
      <c r="G30" s="987">
        <f>+K30/U65</f>
        <v>13.398692810457517</v>
      </c>
      <c r="H30" s="656">
        <f ca="1">+G30*336*B30/10000</f>
        <v>-676.4611926084558</v>
      </c>
      <c r="I30" s="656">
        <f ca="1">+H30+Total!T55</f>
        <v>-905.08882726887714</v>
      </c>
      <c r="J30" s="829" t="s">
        <v>269</v>
      </c>
      <c r="K30" s="708">
        <f>+TradeSum!I20</f>
        <v>41</v>
      </c>
      <c r="L30" s="973">
        <f t="shared" si="4"/>
        <v>-0.375</v>
      </c>
      <c r="M30" s="582">
        <f>+TradeSum!S65</f>
        <v>53.625</v>
      </c>
      <c r="N30" s="583">
        <f t="shared" si="3"/>
        <v>12.625</v>
      </c>
      <c r="O30" s="835">
        <v>41.375</v>
      </c>
      <c r="P30" s="573">
        <f>+R30*336</f>
        <v>116928</v>
      </c>
      <c r="Q30" s="573">
        <f t="shared" si="5"/>
        <v>-43848</v>
      </c>
      <c r="R30" s="573">
        <f t="shared" si="6"/>
        <v>348</v>
      </c>
      <c r="S30" s="585">
        <f>+'EOL LINKS'!H5-Master!O30</f>
        <v>-0.375</v>
      </c>
      <c r="T30" s="603">
        <v>37591</v>
      </c>
      <c r="U30" s="602">
        <f>+TradeSum!CD26</f>
        <v>336</v>
      </c>
      <c r="V30" s="602">
        <f>SUM(U28:U30)</f>
        <v>1024</v>
      </c>
      <c r="W30" s="605">
        <f>+TradeSum!CE26</f>
        <v>0.95063610347622851</v>
      </c>
      <c r="X30" s="613">
        <f>+U30*TradeSum!I26</f>
        <v>9813.2996335029602</v>
      </c>
      <c r="Y30" s="602">
        <f>SUM(X28:X30)</f>
        <v>29696</v>
      </c>
      <c r="Z30" s="585">
        <f>+Y30/$V30</f>
        <v>29</v>
      </c>
      <c r="AA30" s="585">
        <f>SUM(X19:X30)/SUM($U19:$U30)</f>
        <v>34.371568627450984</v>
      </c>
      <c r="AB30" s="613">
        <f>+U30*TradeSum!I71</f>
        <v>9889.7266540527344</v>
      </c>
      <c r="AC30" s="602">
        <f>SUM(AB28:AB30)</f>
        <v>29531.62483549118</v>
      </c>
      <c r="AD30" s="585">
        <f>+AC30/$V30</f>
        <v>28.839477378409356</v>
      </c>
      <c r="AE30" s="585">
        <f>SUM(AB19:AB30)/SUM($U19:$U30)</f>
        <v>33.404817534957758</v>
      </c>
      <c r="AF30" s="613">
        <f>+Y30*TradeSum!M79</f>
        <v>0</v>
      </c>
      <c r="AG30" s="613"/>
      <c r="AH30" s="596"/>
      <c r="AI30" s="611" t="s">
        <v>257</v>
      </c>
      <c r="AJ30" s="927">
        <f>+TradeSum!G25</f>
        <v>29.006252288818359</v>
      </c>
      <c r="AK30" s="598"/>
      <c r="AL30" s="598"/>
      <c r="AM30" s="598"/>
      <c r="AN30" s="598"/>
      <c r="AO30" s="598"/>
      <c r="AP30" s="598"/>
      <c r="AQ30" s="598"/>
      <c r="AR30" s="978"/>
      <c r="AS30" s="597"/>
      <c r="AT30" s="598"/>
    </row>
    <row r="31" spans="1:52" x14ac:dyDescent="0.2">
      <c r="A31" s="611" t="s">
        <v>270</v>
      </c>
      <c r="B31" s="588">
        <f t="shared" ca="1" si="7"/>
        <v>1007.6086859151587</v>
      </c>
      <c r="C31" s="572">
        <f ca="1">AVERAGE(TradeSum!F21:F22)</f>
        <v>-1149.513329763234</v>
      </c>
      <c r="D31" s="572">
        <f ca="1">AVERAGE(TradeSum!F65:F66)</f>
        <v>-849.62798432160719</v>
      </c>
      <c r="E31" s="572">
        <v>3008</v>
      </c>
      <c r="F31" s="1002">
        <f>+'EOL LINKS'!H40</f>
        <v>-1.25</v>
      </c>
      <c r="G31" s="987">
        <f>+K31/AVERAGE(U66:U67)</f>
        <v>17.434471803018269</v>
      </c>
      <c r="H31" s="656">
        <f ca="1">+G31*704*B31/10000</f>
        <v>1236.7256157037145</v>
      </c>
      <c r="I31" s="656">
        <f ca="1">+H31+SUM(Total!T56:T57)</f>
        <v>759.47034638287198</v>
      </c>
      <c r="J31" s="829" t="s">
        <v>270</v>
      </c>
      <c r="K31" s="708">
        <f>+Z26</f>
        <v>54.875</v>
      </c>
      <c r="L31" s="973">
        <f t="shared" si="4"/>
        <v>-0.5</v>
      </c>
      <c r="M31" s="582">
        <f>+AD26</f>
        <v>40.437497138977051</v>
      </c>
      <c r="N31" s="583">
        <f t="shared" si="3"/>
        <v>-14.437502861022949</v>
      </c>
      <c r="O31" s="835">
        <v>55.375</v>
      </c>
      <c r="P31" s="573">
        <f>+R31*704</f>
        <v>2117632</v>
      </c>
      <c r="Q31" s="573">
        <f t="shared" si="5"/>
        <v>-1058816</v>
      </c>
      <c r="R31" s="573">
        <f t="shared" si="6"/>
        <v>3008</v>
      </c>
      <c r="S31" s="585">
        <f>+'EOL LINKS'!H6-Master!O31</f>
        <v>-0.5</v>
      </c>
      <c r="T31" s="603">
        <v>37622</v>
      </c>
      <c r="U31" s="602">
        <f>+TradeSum!CD27</f>
        <v>352</v>
      </c>
      <c r="V31" s="602"/>
      <c r="W31" s="605">
        <f>+TradeSum!CE27</f>
        <v>0.94705850164383509</v>
      </c>
      <c r="X31" s="613">
        <f>+U31*TradeSum!I27</f>
        <v>10660.572451636905</v>
      </c>
      <c r="Y31" s="602"/>
      <c r="AB31" s="613">
        <f>+U31*TradeSum!I72</f>
        <v>10150.164797828311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81" t="s">
        <v>98</v>
      </c>
      <c r="AJ31" s="927">
        <f>((TradeSum!G26*368)+(TradeSum!G27*320)+(TradeSum!G28*336))/1024</f>
        <v>29.700906276702881</v>
      </c>
      <c r="AK31" s="598"/>
      <c r="AL31" s="598"/>
      <c r="AM31" s="598"/>
      <c r="AN31" s="598"/>
      <c r="AO31" s="598"/>
      <c r="AP31" s="598"/>
      <c r="AQ31" s="598"/>
      <c r="AR31" s="978"/>
      <c r="AS31" s="597"/>
      <c r="AT31" s="598"/>
    </row>
    <row r="32" spans="1:52" ht="12.75" customHeight="1" x14ac:dyDescent="0.2">
      <c r="A32" s="611" t="s">
        <v>257</v>
      </c>
      <c r="B32" s="588">
        <f t="shared" ca="1" si="7"/>
        <v>-490.69169411587802</v>
      </c>
      <c r="C32" s="572">
        <f ca="1">+TradeSum!F23</f>
        <v>-849.5067105854049</v>
      </c>
      <c r="D32" s="572">
        <f ca="1">+TradeSum!F67</f>
        <v>299.81501646952688</v>
      </c>
      <c r="E32" s="572">
        <v>60</v>
      </c>
      <c r="F32" s="1002">
        <f>+'EOL LINKS'!H41</f>
        <v>-1</v>
      </c>
      <c r="G32" s="987">
        <f>K32/U68</f>
        <v>8.9682539682539684</v>
      </c>
      <c r="H32" s="656">
        <f ca="1">+G32*350*B32/10000</f>
        <v>-154.02267065303948</v>
      </c>
      <c r="I32" s="656">
        <f ca="1">+H32+Total!T58</f>
        <v>-381.65030531346076</v>
      </c>
      <c r="J32" s="829" t="s">
        <v>257</v>
      </c>
      <c r="K32" s="708">
        <f>+TradeSum!I23</f>
        <v>28.25</v>
      </c>
      <c r="L32" s="973">
        <f t="shared" si="4"/>
        <v>0</v>
      </c>
      <c r="M32" s="582">
        <f>+TradeSum!S68</f>
        <v>28.256248146295547</v>
      </c>
      <c r="N32" s="583">
        <f t="shared" si="3"/>
        <v>6.2481462955474854E-3</v>
      </c>
      <c r="O32" s="835">
        <v>28.25</v>
      </c>
      <c r="P32" s="573">
        <f>+R32*304</f>
        <v>18240</v>
      </c>
      <c r="Q32" s="573">
        <f t="shared" si="5"/>
        <v>0</v>
      </c>
      <c r="R32" s="573">
        <f t="shared" si="6"/>
        <v>60</v>
      </c>
      <c r="S32" s="585">
        <f>+'EOL LINKS'!H7-Master!O32</f>
        <v>0</v>
      </c>
      <c r="T32" s="603">
        <v>37653</v>
      </c>
      <c r="U32" s="602">
        <f>+TradeSum!CD28</f>
        <v>320</v>
      </c>
      <c r="V32" s="602">
        <f>SUM(U31:U32)</f>
        <v>672</v>
      </c>
      <c r="W32" s="605">
        <f>+TradeSum!CE28</f>
        <v>0.94364350339681324</v>
      </c>
      <c r="X32" s="613">
        <f>+U32*TradeSum!I28</f>
        <v>9499.4275483630954</v>
      </c>
      <c r="Y32" s="602">
        <f>SUM(X31:X32)</f>
        <v>20160</v>
      </c>
      <c r="Z32" s="585">
        <f>+Y32/$V32</f>
        <v>30</v>
      </c>
      <c r="AB32" s="613">
        <f>+U32*TradeSum!I73</f>
        <v>8831.2602340343401</v>
      </c>
      <c r="AC32" s="602">
        <f>SUM(AB31:AB32)</f>
        <v>18981.425031862651</v>
      </c>
      <c r="AD32" s="585">
        <f>+AC32/$V32</f>
        <v>28.246168202176563</v>
      </c>
      <c r="AE32" s="585"/>
      <c r="AF32" s="613">
        <f>+Y32*TradeSum!M81</f>
        <v>0</v>
      </c>
      <c r="AG32" s="613"/>
      <c r="AH32" s="596"/>
      <c r="AI32" s="574" t="s">
        <v>265</v>
      </c>
      <c r="AJ32" s="927">
        <f>((AJ23*672)+(AJ26*688)+(AJ27*352)+(AJ28*320)+(AJ29*704)+(AJ30*320)+(AJ31*1024))/4080</f>
        <v>34.476718857709102</v>
      </c>
      <c r="AK32" s="598"/>
      <c r="AL32" s="598"/>
      <c r="AM32" s="598"/>
      <c r="AN32" s="598"/>
      <c r="AO32" s="598"/>
      <c r="AP32" s="598"/>
      <c r="AQ32" s="598"/>
      <c r="AR32" s="978"/>
      <c r="AS32" s="597"/>
      <c r="AT32" s="598"/>
    </row>
    <row r="33" spans="1:46" ht="12.75" customHeight="1" x14ac:dyDescent="0.2">
      <c r="A33" s="611" t="s">
        <v>98</v>
      </c>
      <c r="B33" s="588">
        <f t="shared" ca="1" si="7"/>
        <v>251.19675458842181</v>
      </c>
      <c r="C33" s="572">
        <f ca="1">AVERAGE(TradeSum!F24:F26)</f>
        <v>596.31016645711077</v>
      </c>
      <c r="D33" s="572">
        <f ca="1">AVERAGE(TradeSum!F68:F70)</f>
        <v>-499.56341186868895</v>
      </c>
      <c r="E33" s="572">
        <v>155</v>
      </c>
      <c r="F33" s="1002">
        <f>+'EOL LINKS'!H42</f>
        <v>-0.55000000000000004</v>
      </c>
      <c r="G33" s="987">
        <f>K33/AVERAGE(U69:U71)</f>
        <v>8.7437185929648251</v>
      </c>
      <c r="H33" s="656">
        <f ca="1">+G33*1024*B33/10000</f>
        <v>224.9107183193299</v>
      </c>
      <c r="I33" s="656">
        <f ca="1">+H33+SUM(Total!T59:T61)</f>
        <v>110.74210005235122</v>
      </c>
      <c r="J33" s="830" t="s">
        <v>98</v>
      </c>
      <c r="K33" s="708">
        <f>+Z30</f>
        <v>29</v>
      </c>
      <c r="L33" s="973">
        <f t="shared" si="4"/>
        <v>-3.2782554626464844E-7</v>
      </c>
      <c r="M33" s="582">
        <f>+AD30</f>
        <v>28.839477378409356</v>
      </c>
      <c r="N33" s="583">
        <f t="shared" si="3"/>
        <v>-0.16052262159064412</v>
      </c>
      <c r="O33" s="835">
        <v>29.000000327825546</v>
      </c>
      <c r="P33" s="573">
        <f>+R33*1024</f>
        <v>158720</v>
      </c>
      <c r="Q33" s="573">
        <f t="shared" si="5"/>
        <v>-5.2032470703125E-2</v>
      </c>
      <c r="R33" s="573">
        <f t="shared" si="6"/>
        <v>155</v>
      </c>
      <c r="S33" s="585">
        <f>+'EOL LINKS'!H8-Master!O33</f>
        <v>-3.2782554626464844E-7</v>
      </c>
      <c r="T33" s="603">
        <v>37681</v>
      </c>
      <c r="U33" s="602">
        <f>+TradeSum!CD29</f>
        <v>336</v>
      </c>
      <c r="V33" s="602"/>
      <c r="W33" s="605">
        <f>+TradeSum!CE29</f>
        <v>0.93994656739890692</v>
      </c>
      <c r="X33" s="613">
        <f>+U33*TradeSum!I29</f>
        <v>9541.6197850426961</v>
      </c>
      <c r="Y33" s="602"/>
      <c r="AB33" s="613">
        <f>+U33*TradeSum!I74</f>
        <v>9340.0209386071492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27"/>
      <c r="AK33" s="598"/>
      <c r="AL33" s="598"/>
      <c r="AM33" s="598"/>
      <c r="AN33" s="598"/>
      <c r="AO33" s="598"/>
      <c r="AP33" s="598"/>
      <c r="AQ33" s="598"/>
      <c r="AR33" s="978"/>
      <c r="AS33" s="597"/>
      <c r="AT33" s="598"/>
    </row>
    <row r="34" spans="1:46" ht="12.75" customHeight="1" x14ac:dyDescent="0.2">
      <c r="A34" s="574" t="s">
        <v>265</v>
      </c>
      <c r="B34" s="606">
        <f ca="1">+C34+D34+E34</f>
        <v>-144.75293992331086</v>
      </c>
      <c r="C34" s="606">
        <f ca="1">(C25+C25+C28+C28+C29+C30+C31+C31+C32+C33+C33+C33)/12</f>
        <v>-125.24597786894753</v>
      </c>
      <c r="D34" s="606">
        <f ca="1">(D25+D25+D28+D28+D29+D30+D31+D31+D32+D33+D33+D33)/12</f>
        <v>-524.84029538769664</v>
      </c>
      <c r="E34" s="606">
        <f>(E25+E25+E28+E28+E29+E30+E31+E31+E32+E33+E33+E33)/12</f>
        <v>505.33333333333331</v>
      </c>
      <c r="F34" s="1003">
        <f>((F25*672)+(F28*688)+(F29*352)+(F30*320)+(F31*704)+(F32*320)+(F33*1024))/4080</f>
        <v>-0.94980392156862736</v>
      </c>
      <c r="G34" s="984">
        <f>+K34/L2</f>
        <v>10.877078679573096</v>
      </c>
      <c r="H34" s="606">
        <f ca="1">SUM(H25:H33)</f>
        <v>-208.82382234932797</v>
      </c>
      <c r="I34" s="1006">
        <f ca="1">+I33+I32+I31+I30+I29+I28+I25</f>
        <v>-1174.5240565413631</v>
      </c>
      <c r="J34" s="831" t="s">
        <v>265</v>
      </c>
      <c r="K34" s="620">
        <f>+AA30</f>
        <v>34.371568627450984</v>
      </c>
      <c r="L34" s="976">
        <f>+K34-O34</f>
        <v>-0.18843137254901876</v>
      </c>
      <c r="M34" s="586">
        <f>+AE30</f>
        <v>33.404817534957758</v>
      </c>
      <c r="N34" s="586">
        <f>+M34-K34</f>
        <v>-0.96675109249322588</v>
      </c>
      <c r="O34" s="586">
        <v>34.56</v>
      </c>
      <c r="P34" s="586"/>
      <c r="Q34" s="850"/>
      <c r="R34" s="586">
        <v>37.74</v>
      </c>
      <c r="T34" s="603">
        <v>37712</v>
      </c>
      <c r="U34" s="602">
        <f>+TradeSum!CD30</f>
        <v>352</v>
      </c>
      <c r="V34" s="602">
        <f>SUM(U33:U34)</f>
        <v>688</v>
      </c>
      <c r="W34" s="605">
        <f>+TradeSum!CE30</f>
        <v>0.9362330825622539</v>
      </c>
      <c r="X34" s="613">
        <f>+U34*TradeSum!I30</f>
        <v>10066.380214957304</v>
      </c>
      <c r="Y34" s="602">
        <f>SUM(X33:X34)</f>
        <v>19608</v>
      </c>
      <c r="Z34" s="585">
        <f>+Y34/$V34</f>
        <v>28.5</v>
      </c>
      <c r="AB34" s="613">
        <f>+U34*TradeSum!I75</f>
        <v>10471.998657226563</v>
      </c>
      <c r="AC34" s="602">
        <f>SUM(AB33:AB34)</f>
        <v>19812.019595833714</v>
      </c>
      <c r="AD34" s="585">
        <f>+AC34/$V34</f>
        <v>28.796540110223422</v>
      </c>
      <c r="AE34" s="585"/>
      <c r="AF34" s="613">
        <f>+Y34*TradeSum!M83</f>
        <v>0</v>
      </c>
      <c r="AG34" s="613"/>
      <c r="AH34" s="596"/>
      <c r="AI34" s="596"/>
      <c r="AJ34" s="927"/>
      <c r="AK34" s="598"/>
      <c r="AL34" s="598"/>
      <c r="AM34" s="598"/>
      <c r="AN34" s="598"/>
      <c r="AO34" s="598"/>
      <c r="AP34" s="598"/>
      <c r="AQ34" s="598"/>
      <c r="AR34" s="978"/>
      <c r="AS34" s="597"/>
      <c r="AT34" s="598"/>
    </row>
    <row r="35" spans="1:46" ht="12.75" hidden="1" customHeight="1" x14ac:dyDescent="0.2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8">
        <v>0</v>
      </c>
      <c r="G35" s="985"/>
      <c r="H35" s="637"/>
      <c r="I35" s="836"/>
      <c r="J35" s="832" t="s">
        <v>274</v>
      </c>
      <c r="K35" s="582"/>
      <c r="L35" s="974"/>
      <c r="M35" s="582"/>
      <c r="N35" s="600"/>
      <c r="O35" s="601"/>
      <c r="P35" s="601"/>
      <c r="Q35" s="601"/>
      <c r="R35" s="601"/>
      <c r="T35" s="603">
        <v>37742</v>
      </c>
      <c r="U35" s="602">
        <f>+TradeSum!CD31</f>
        <v>336</v>
      </c>
      <c r="V35" s="602"/>
      <c r="W35" s="605">
        <f>+TradeSum!CE31</f>
        <v>0.93241560000426249</v>
      </c>
      <c r="X35" s="613">
        <f>+U35*TradeSum!I31</f>
        <v>10248</v>
      </c>
      <c r="Y35" s="602"/>
      <c r="AB35" s="613">
        <f>+U35*TradeSum!I76</f>
        <v>13062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27"/>
      <c r="AK35" s="598"/>
      <c r="AL35" s="598"/>
      <c r="AM35" s="598"/>
      <c r="AN35" s="598"/>
      <c r="AO35" s="598"/>
      <c r="AP35" s="598"/>
      <c r="AQ35" s="598"/>
      <c r="AR35" s="978"/>
      <c r="AS35" s="598"/>
      <c r="AT35" s="598"/>
    </row>
    <row r="36" spans="1:46" ht="12.75" hidden="1" customHeight="1" x14ac:dyDescent="0.2">
      <c r="A36" s="612" t="s">
        <v>281</v>
      </c>
      <c r="B36" s="588">
        <f ca="1">SUM(C36:H36)</f>
        <v>-907.04193586331496</v>
      </c>
      <c r="C36" s="572">
        <f ca="1">+TradeSum!F33</f>
        <v>-8.3430179767698487</v>
      </c>
      <c r="D36" s="572">
        <f ca="1">+TradeSum!F77</f>
        <v>-898.69891788654513</v>
      </c>
      <c r="E36" s="572">
        <f ca="1">+TradeSum!B169/TradeSum!CD39</f>
        <v>0</v>
      </c>
      <c r="F36" s="826">
        <v>0</v>
      </c>
      <c r="G36" s="985"/>
      <c r="H36" s="637"/>
      <c r="I36" s="836"/>
      <c r="J36" s="832" t="s">
        <v>281</v>
      </c>
      <c r="K36" s="582">
        <f>+TradeSum!I30</f>
        <v>28.597671065219615</v>
      </c>
      <c r="L36" s="975">
        <v>-0.25142833164760248</v>
      </c>
      <c r="M36" s="582">
        <f>+TradeSum!I77</f>
        <v>48.875</v>
      </c>
      <c r="N36" s="583">
        <f>+M36-K36</f>
        <v>20.277328934780385</v>
      </c>
      <c r="O36" s="584">
        <v>28.247678756713867</v>
      </c>
      <c r="P36" s="584"/>
      <c r="Q36" s="584"/>
      <c r="R36" s="584"/>
      <c r="T36" s="603">
        <v>37773</v>
      </c>
      <c r="U36" s="602">
        <f>+TradeSum!CD32</f>
        <v>336</v>
      </c>
      <c r="V36" s="602"/>
      <c r="W36" s="605">
        <f>+TradeSum!CE32</f>
        <v>0.92861852935735956</v>
      </c>
      <c r="X36" s="613">
        <f>+U36*TradeSum!I32</f>
        <v>13398</v>
      </c>
      <c r="Y36" s="602"/>
      <c r="AB36" s="613">
        <f>+U36*TradeSum!I77</f>
        <v>16422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27">
        <f>((TradeSum!G29*352)+(TradeSum!G30*320))/672</f>
        <v>28.742913200741722</v>
      </c>
      <c r="AK36" s="598"/>
      <c r="AL36" s="598"/>
      <c r="AM36" s="598"/>
      <c r="AN36" s="598"/>
      <c r="AO36" s="598"/>
      <c r="AP36" s="598"/>
      <c r="AQ36" s="598"/>
      <c r="AR36" s="978"/>
      <c r="AS36" s="598"/>
      <c r="AT36" s="598"/>
    </row>
    <row r="37" spans="1:46" ht="12.75" hidden="1" customHeight="1" x14ac:dyDescent="0.2">
      <c r="A37" s="612" t="s">
        <v>282</v>
      </c>
      <c r="B37" s="588">
        <f ca="1">SUM(C37:H37)</f>
        <v>-932.70978552613417</v>
      </c>
      <c r="C37" s="572">
        <f ca="1">+TradeSum!F34</f>
        <v>-34.056173967939195</v>
      </c>
      <c r="D37" s="572">
        <f ca="1">+TradeSum!F78</f>
        <v>-898.65361155819494</v>
      </c>
      <c r="E37" s="572">
        <f ca="1">+TradeSum!B170/TradeSum!CD40</f>
        <v>0</v>
      </c>
      <c r="F37" s="826">
        <v>0</v>
      </c>
      <c r="G37" s="985"/>
      <c r="H37" s="637"/>
      <c r="I37" s="836"/>
      <c r="J37" s="832" t="s">
        <v>282</v>
      </c>
      <c r="K37" s="582">
        <f>+TradeSum!I31</f>
        <v>30.5</v>
      </c>
      <c r="L37" s="975">
        <v>-0.25142833164760248</v>
      </c>
      <c r="M37" s="582">
        <f>+TradeSum!I78</f>
        <v>48.875</v>
      </c>
      <c r="N37" s="583">
        <f t="shared" ref="N37:N46" si="8">+M37-K37</f>
        <v>18.375</v>
      </c>
      <c r="O37" s="584">
        <v>28.447671890258789</v>
      </c>
      <c r="P37" s="584"/>
      <c r="Q37" s="584"/>
      <c r="R37" s="584"/>
      <c r="T37" s="603">
        <v>37803</v>
      </c>
      <c r="U37" s="602">
        <f>+TradeSum!CD33</f>
        <v>352</v>
      </c>
      <c r="V37" s="602"/>
      <c r="W37" s="605">
        <f>+TradeSum!CE33</f>
        <v>0.92469329425747382</v>
      </c>
      <c r="X37" s="613">
        <f>+U37*TradeSum!I33</f>
        <v>17468</v>
      </c>
      <c r="Y37" s="602"/>
      <c r="AB37" s="613">
        <f>+U37*TradeSum!I78</f>
        <v>17204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27"/>
      <c r="AK37" s="598"/>
      <c r="AL37" s="598"/>
      <c r="AM37" s="598"/>
      <c r="AN37" s="598"/>
      <c r="AO37" s="598"/>
      <c r="AP37" s="598"/>
      <c r="AQ37" s="598"/>
      <c r="AR37" s="978"/>
      <c r="AS37" s="598"/>
      <c r="AT37" s="598"/>
    </row>
    <row r="38" spans="1:46" ht="15" customHeight="1" x14ac:dyDescent="0.2">
      <c r="A38" s="612" t="s">
        <v>288</v>
      </c>
      <c r="B38" s="588">
        <f ca="1">SUM(C38:F38)</f>
        <v>-1112.6325350306504</v>
      </c>
      <c r="C38" s="572">
        <f ca="1">AVERAGE(TradeSum!F27:F28)</f>
        <v>-1198.6354061727079</v>
      </c>
      <c r="D38" s="572">
        <f ca="1">AVERAGE(TradeSum!F71:F72)</f>
        <v>-749.14712885794256</v>
      </c>
      <c r="E38" s="572">
        <v>836</v>
      </c>
      <c r="F38" s="1002">
        <f>+'EOL LINKS'!H43</f>
        <v>-0.85</v>
      </c>
      <c r="G38" s="987">
        <f>+G25-0.3</f>
        <v>8.8764705882352928</v>
      </c>
      <c r="H38" s="656">
        <f ca="1">+G38*672*B38/10000</f>
        <v>-663.68399816632984</v>
      </c>
      <c r="I38" s="656">
        <f ca="1">+H38+SUM(Total!T62:T63)</f>
        <v>-546.68399816632984</v>
      </c>
      <c r="J38" s="833" t="s">
        <v>288</v>
      </c>
      <c r="K38" s="708">
        <f>+Z32</f>
        <v>30</v>
      </c>
      <c r="L38" s="973">
        <f t="shared" ref="L38:L46" si="9">+S38</f>
        <v>1.8165225057487078E-7</v>
      </c>
      <c r="M38" s="708">
        <f>+AD32</f>
        <v>28.246168202176563</v>
      </c>
      <c r="N38" s="583">
        <f t="shared" si="8"/>
        <v>-1.7538317978234375</v>
      </c>
      <c r="O38" s="835">
        <v>29.999999818347749</v>
      </c>
      <c r="P38" s="573">
        <f>+R38*672</f>
        <v>373632</v>
      </c>
      <c r="Q38" s="573">
        <f>+P38*L38</f>
        <v>6.7871093686790118E-2</v>
      </c>
      <c r="R38" s="573">
        <v>556</v>
      </c>
      <c r="S38" s="585">
        <f>+'EOL LINKS'!H29-Master!O38</f>
        <v>1.8165225057487078E-7</v>
      </c>
      <c r="T38" s="603">
        <v>37834</v>
      </c>
      <c r="U38" s="602">
        <f>+TradeSum!CD34</f>
        <v>336</v>
      </c>
      <c r="V38" s="602">
        <f>SUM(U37:U38)</f>
        <v>688</v>
      </c>
      <c r="W38" s="605">
        <f>+TradeSum!CE34</f>
        <v>0.92068878453030767</v>
      </c>
      <c r="X38" s="613">
        <f>+U38*TradeSum!I34</f>
        <v>16674</v>
      </c>
      <c r="Y38" s="602">
        <f>SUM(X37:X38)</f>
        <v>34142</v>
      </c>
      <c r="Z38" s="585">
        <f>+Y38/$V38</f>
        <v>49.625</v>
      </c>
      <c r="AB38" s="613">
        <f>+U38*TradeSum!I79</f>
        <v>9122.3985900878906</v>
      </c>
      <c r="AC38" s="602">
        <f>SUM(AB37:AB38)</f>
        <v>26326.398590087891</v>
      </c>
      <c r="AD38" s="585">
        <f>+AC38/$V38</f>
        <v>38.265114229778909</v>
      </c>
      <c r="AE38" s="585"/>
      <c r="AF38" s="613">
        <f>+Y38*TradeSum!M87</f>
        <v>0</v>
      </c>
      <c r="AG38" s="613"/>
      <c r="AH38" s="596"/>
      <c r="AI38" s="612" t="s">
        <v>284</v>
      </c>
      <c r="AJ38" s="927"/>
      <c r="AK38" s="598"/>
      <c r="AL38" s="598"/>
      <c r="AM38" s="598"/>
      <c r="AN38" s="598"/>
      <c r="AO38" s="598"/>
      <c r="AP38" s="598"/>
      <c r="AQ38" s="598"/>
      <c r="AR38" s="978"/>
      <c r="AS38" s="598"/>
      <c r="AT38" s="598"/>
    </row>
    <row r="39" spans="1:46" ht="12.75" hidden="1" customHeight="1" x14ac:dyDescent="0.2">
      <c r="A39" s="612" t="s">
        <v>283</v>
      </c>
      <c r="B39" s="588">
        <f ca="1">SUM(C39:H39)</f>
        <v>-898.65929659120593</v>
      </c>
      <c r="C39" s="572">
        <f ca="1">+TradeSum!F35</f>
        <v>-399.4041346364711</v>
      </c>
      <c r="D39" s="572">
        <f ca="1">+TradeSum!F79</f>
        <v>-499.25516195473477</v>
      </c>
      <c r="E39" s="572">
        <v>0</v>
      </c>
      <c r="F39" s="1002"/>
      <c r="G39" s="988"/>
      <c r="H39" s="656"/>
      <c r="I39" s="656"/>
      <c r="J39" s="832" t="s">
        <v>283</v>
      </c>
      <c r="K39" s="708">
        <f>+TradeSum!I32</f>
        <v>39.875</v>
      </c>
      <c r="L39" s="973">
        <f t="shared" si="9"/>
        <v>0</v>
      </c>
      <c r="M39" s="582">
        <f>+TradeSum!I79</f>
        <v>27.149995803833008</v>
      </c>
      <c r="N39" s="583">
        <f t="shared" si="8"/>
        <v>-12.725004196166992</v>
      </c>
      <c r="O39" s="835">
        <v>30.75</v>
      </c>
      <c r="P39" s="573"/>
      <c r="Q39" s="573"/>
      <c r="R39" s="573">
        <v>0</v>
      </c>
      <c r="T39" s="603">
        <v>37865</v>
      </c>
      <c r="U39" s="602">
        <f>+TradeSum!CD35</f>
        <v>336</v>
      </c>
      <c r="V39" s="602"/>
      <c r="W39" s="605">
        <f>+TradeSum!CE35</f>
        <v>0.91673328819057276</v>
      </c>
      <c r="X39" s="613">
        <f>+U39*TradeSum!I35</f>
        <v>9492</v>
      </c>
      <c r="Y39" s="602"/>
      <c r="AB39" s="613">
        <f>+U39*TradeSum!I80</f>
        <v>9544.6065044403076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27">
        <f>((TradeSum!G31*336)+(TradeSum!G32*352))/688</f>
        <v>35.552325581395351</v>
      </c>
      <c r="AK39" s="598"/>
      <c r="AL39" s="598"/>
      <c r="AM39" s="598"/>
      <c r="AN39" s="598"/>
      <c r="AO39" s="598"/>
      <c r="AP39" s="598"/>
      <c r="AQ39" s="598"/>
      <c r="AR39" s="978"/>
      <c r="AS39" s="598"/>
      <c r="AT39" s="598"/>
    </row>
    <row r="40" spans="1:46" ht="12.75" hidden="1" customHeight="1" x14ac:dyDescent="0.2">
      <c r="A40" s="612" t="s">
        <v>284</v>
      </c>
      <c r="B40" s="588">
        <f ca="1">SUM(C40:H40)</f>
        <v>-1447.745140823843</v>
      </c>
      <c r="C40" s="572">
        <f ca="1">+TradeSum!F36</f>
        <v>-948.52268007499902</v>
      </c>
      <c r="D40" s="572">
        <f ca="1">+TradeSum!F80</f>
        <v>-499.22246074884413</v>
      </c>
      <c r="E40" s="572">
        <v>0</v>
      </c>
      <c r="F40" s="1002"/>
      <c r="G40" s="987"/>
      <c r="H40" s="656"/>
      <c r="I40" s="656"/>
      <c r="J40" s="832" t="s">
        <v>284</v>
      </c>
      <c r="K40" s="708">
        <f>+TradeSum!I33</f>
        <v>49.625</v>
      </c>
      <c r="L40" s="973">
        <f t="shared" si="9"/>
        <v>0</v>
      </c>
      <c r="M40" s="582">
        <f>+TradeSum!I80</f>
        <v>28.406566977500916</v>
      </c>
      <c r="N40" s="583">
        <f t="shared" si="8"/>
        <v>-21.218433022499084</v>
      </c>
      <c r="O40" s="835">
        <v>40.625</v>
      </c>
      <c r="P40" s="573"/>
      <c r="Q40" s="573"/>
      <c r="R40" s="573">
        <v>0</v>
      </c>
      <c r="T40" s="603">
        <v>37895</v>
      </c>
      <c r="U40" s="602">
        <f>+TradeSum!CD36</f>
        <v>368</v>
      </c>
      <c r="V40" s="602"/>
      <c r="W40" s="605">
        <f>+TradeSum!CE36</f>
        <v>0.91267105843069118</v>
      </c>
      <c r="X40" s="613">
        <f>+U40*TradeSum!I36</f>
        <v>10729.615243911743</v>
      </c>
      <c r="Y40" s="602"/>
      <c r="AB40" s="613">
        <f>+U40*TradeSum!I81</f>
        <v>10490.414682388306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27">
        <f>+TradeSum!G33</f>
        <v>50.125</v>
      </c>
      <c r="AK40" s="598"/>
      <c r="AL40" s="598"/>
      <c r="AM40" s="598"/>
      <c r="AN40" s="598"/>
      <c r="AO40" s="598"/>
      <c r="AP40" s="598"/>
      <c r="AQ40" s="598"/>
      <c r="AR40" s="978"/>
      <c r="AS40" s="598"/>
      <c r="AT40" s="598"/>
    </row>
    <row r="41" spans="1:46" ht="13.5" customHeight="1" x14ac:dyDescent="0.2">
      <c r="A41" s="612" t="s">
        <v>289</v>
      </c>
      <c r="B41" s="588">
        <f t="shared" ref="B41:B46" ca="1" si="10">SUM(C41:F41)</f>
        <v>-922.45315031653422</v>
      </c>
      <c r="C41" s="572">
        <f ca="1">AVERAGE(TradeSum!F29:F30)</f>
        <v>-1298.3942698565352</v>
      </c>
      <c r="D41" s="572">
        <f ca="1">AVERAGE(TradeSum!F73:F74)</f>
        <v>-599.2588804599992</v>
      </c>
      <c r="E41" s="572">
        <v>976</v>
      </c>
      <c r="F41" s="1002">
        <f>+'EOL LINKS'!H44</f>
        <v>-0.8</v>
      </c>
      <c r="G41" s="987">
        <f>+G28-0.3</f>
        <v>8.7909090909090892</v>
      </c>
      <c r="H41" s="656">
        <f ca="1">+G41*688*B41/10000</f>
        <v>-557.91308281180807</v>
      </c>
      <c r="I41" s="656">
        <f ca="1">H41+SUM(Total!T64:T65)</f>
        <v>-438.91308281180807</v>
      </c>
      <c r="J41" s="832" t="s">
        <v>289</v>
      </c>
      <c r="K41" s="708">
        <f>+Z34</f>
        <v>28.5</v>
      </c>
      <c r="L41" s="973">
        <f t="shared" si="9"/>
        <v>-0.25000044356944784</v>
      </c>
      <c r="M41" s="582">
        <f>+AD34</f>
        <v>28.796540110223422</v>
      </c>
      <c r="N41" s="583">
        <f t="shared" si="8"/>
        <v>0.29654011022342175</v>
      </c>
      <c r="O41" s="835">
        <v>28.750000443569448</v>
      </c>
      <c r="P41" s="573">
        <f>+R41*688</f>
        <v>473344</v>
      </c>
      <c r="Q41" s="573">
        <f t="shared" ref="Q41:Q46" si="11">+P41*L41</f>
        <v>-118336.20996093671</v>
      </c>
      <c r="R41" s="573">
        <v>688</v>
      </c>
      <c r="S41" s="585">
        <f>+'EOL LINKS'!H30-Master!O41</f>
        <v>-0.25000044356944784</v>
      </c>
      <c r="T41" s="603">
        <v>37926</v>
      </c>
      <c r="U41" s="602">
        <f>+TradeSum!CD37</f>
        <v>304</v>
      </c>
      <c r="V41" s="602"/>
      <c r="W41" s="605">
        <f>+TradeSum!CE37</f>
        <v>0.90865834333486328</v>
      </c>
      <c r="X41" s="613">
        <f>+U41*TradeSum!I37</f>
        <v>8893.9947376251221</v>
      </c>
      <c r="Y41" s="602"/>
      <c r="AB41" s="613">
        <f>+U41*TradeSum!I82</f>
        <v>8696.3948535919189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27">
        <f>+TradeSum!G34</f>
        <v>50.125</v>
      </c>
      <c r="AK41" s="598"/>
      <c r="AL41" s="598"/>
      <c r="AM41" s="598"/>
      <c r="AN41" s="598"/>
      <c r="AO41" s="598"/>
      <c r="AP41" s="598"/>
      <c r="AQ41" s="598"/>
      <c r="AR41" s="978"/>
      <c r="AS41" s="598"/>
      <c r="AT41" s="598"/>
    </row>
    <row r="42" spans="1:46" ht="12.75" customHeight="1" x14ac:dyDescent="0.2">
      <c r="A42" s="612" t="s">
        <v>268</v>
      </c>
      <c r="B42" s="588">
        <f t="shared" ca="1" si="10"/>
        <v>-739.07904758049517</v>
      </c>
      <c r="C42" s="572">
        <f ca="1">+TradeSum!F31</f>
        <v>-1036.1245342860627</v>
      </c>
      <c r="D42" s="572">
        <f ca="1">+TradeSum!F75</f>
        <v>-599.20451329443256</v>
      </c>
      <c r="E42" s="572">
        <v>897</v>
      </c>
      <c r="F42" s="1002">
        <f>+'EOL LINKS'!H45</f>
        <v>-0.75</v>
      </c>
      <c r="G42" s="987">
        <f>+G29-0.4</f>
        <v>9.9476821192052984</v>
      </c>
      <c r="H42" s="656">
        <f ca="1">+G42*336*B42/10000</f>
        <v>-247.03134712353801</v>
      </c>
      <c r="I42" s="656">
        <f ca="1">+H42+Total!T66</f>
        <v>-187.03134712353801</v>
      </c>
      <c r="J42" s="832" t="s">
        <v>268</v>
      </c>
      <c r="K42" s="708">
        <f>+TradeSum!I31</f>
        <v>30.5</v>
      </c>
      <c r="L42" s="973">
        <f t="shared" si="9"/>
        <v>0</v>
      </c>
      <c r="M42" s="582">
        <f>+TradeSum!I76</f>
        <v>38.875</v>
      </c>
      <c r="N42" s="583">
        <f t="shared" si="8"/>
        <v>8.375</v>
      </c>
      <c r="O42" s="835">
        <v>30.5</v>
      </c>
      <c r="P42" s="573">
        <f>+R42*352</f>
        <v>128832</v>
      </c>
      <c r="Q42" s="573">
        <f t="shared" si="11"/>
        <v>0</v>
      </c>
      <c r="R42" s="573">
        <v>366</v>
      </c>
      <c r="S42" s="585">
        <f>+'EOL LINKS'!H31-Master!O42</f>
        <v>0</v>
      </c>
      <c r="T42" s="603">
        <v>37956</v>
      </c>
      <c r="U42" s="602">
        <f>+TradeSum!CD38</f>
        <v>352</v>
      </c>
      <c r="V42" s="602">
        <f>SUM(U40:U42)</f>
        <v>1024</v>
      </c>
      <c r="W42" s="605">
        <f>+TradeSum!CE38</f>
        <v>0.90452384405477593</v>
      </c>
      <c r="X42" s="613">
        <f>+U42*TradeSum!I38</f>
        <v>10333.509159088135</v>
      </c>
      <c r="Y42" s="602">
        <f>SUM(X40:X42)</f>
        <v>29957.119140625</v>
      </c>
      <c r="Z42" s="585">
        <f>+Y42/$V42</f>
        <v>29.254999160766602</v>
      </c>
      <c r="AA42" s="585">
        <f>SUM(X31:X42)/SUM($U31:$U42)</f>
        <v>33.579686063878675</v>
      </c>
      <c r="AB42" s="613">
        <f>+U42*TradeSum!I83</f>
        <v>10703.867495582217</v>
      </c>
      <c r="AC42" s="602">
        <f>SUM(AB40:AB42)</f>
        <v>29890.677031562442</v>
      </c>
      <c r="AD42" s="585">
        <f>+AC42/$V42</f>
        <v>29.190114288635197</v>
      </c>
      <c r="AE42" s="585">
        <f>SUM(AB31:AB42)/SUM($U31:$U42)</f>
        <v>32.852727145536029</v>
      </c>
      <c r="AF42" s="613">
        <f>+Y42*TradeSum!M91</f>
        <v>0</v>
      </c>
      <c r="AG42" s="613"/>
      <c r="AH42" s="596"/>
      <c r="AI42" s="612" t="s">
        <v>270</v>
      </c>
      <c r="AJ42" s="927">
        <f>+TradeSum!G35</f>
        <v>28.25</v>
      </c>
      <c r="AK42" s="598"/>
      <c r="AL42" s="598"/>
      <c r="AM42" s="598"/>
      <c r="AN42" s="598"/>
      <c r="AO42" s="598"/>
      <c r="AP42" s="598"/>
      <c r="AQ42" s="598"/>
      <c r="AR42" s="978"/>
      <c r="AS42" s="598"/>
      <c r="AT42" s="598"/>
    </row>
    <row r="43" spans="1:46" ht="12.75" customHeight="1" x14ac:dyDescent="0.2">
      <c r="A43" s="612" t="s">
        <v>269</v>
      </c>
      <c r="B43" s="588">
        <f t="shared" ca="1" si="10"/>
        <v>146.08545847496794</v>
      </c>
      <c r="C43" s="572">
        <f ca="1">TradeSum!F32</f>
        <v>-199.72863851110728</v>
      </c>
      <c r="D43" s="572">
        <f ca="1">+TradeSum!F76</f>
        <v>-599.18590301392476</v>
      </c>
      <c r="E43" s="572">
        <v>946</v>
      </c>
      <c r="F43" s="1002">
        <f>+'EOL LINKS'!H46</f>
        <v>-1</v>
      </c>
      <c r="G43" s="987">
        <f>+G30-0.4</f>
        <v>12.998692810457516</v>
      </c>
      <c r="H43" s="656">
        <f ca="1">+G43*336*B43/10000</f>
        <v>63.803711959376116</v>
      </c>
      <c r="I43" s="656">
        <f ca="1">+H43+Total!T67</f>
        <v>140.80371195937613</v>
      </c>
      <c r="J43" s="832" t="s">
        <v>269</v>
      </c>
      <c r="K43" s="708">
        <f>+TradeSum!I32</f>
        <v>39.875</v>
      </c>
      <c r="L43" s="973">
        <f t="shared" si="9"/>
        <v>-0.5</v>
      </c>
      <c r="M43" s="582">
        <f>+TradeSum!I77</f>
        <v>48.875</v>
      </c>
      <c r="N43" s="583">
        <f t="shared" si="8"/>
        <v>9</v>
      </c>
      <c r="O43" s="835">
        <v>40.375</v>
      </c>
      <c r="P43" s="573">
        <f>+R43*336</f>
        <v>122640</v>
      </c>
      <c r="Q43" s="573">
        <f t="shared" si="11"/>
        <v>-61320</v>
      </c>
      <c r="R43" s="573">
        <v>365</v>
      </c>
      <c r="S43" s="585">
        <f>+'EOL LINKS'!H20-Master!O43</f>
        <v>-0.5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27">
        <f>+TradeSum!G37</f>
        <v>29.621562957763672</v>
      </c>
      <c r="AR43" s="978"/>
      <c r="AS43" s="598"/>
      <c r="AT43" s="598"/>
    </row>
    <row r="44" spans="1:46" ht="12.75" customHeight="1" x14ac:dyDescent="0.2">
      <c r="A44" s="612" t="s">
        <v>270</v>
      </c>
      <c r="B44" s="588">
        <f t="shared" ca="1" si="10"/>
        <v>-405.62586069472445</v>
      </c>
      <c r="C44" s="572">
        <f ca="1">AVERAGE(TradeSum!F33:F34)</f>
        <v>-21.199595972354523</v>
      </c>
      <c r="D44" s="572">
        <f ca="1">AVERAGE(TradeSum!F77:F78)</f>
        <v>-898.67626472236998</v>
      </c>
      <c r="E44" s="572">
        <v>515</v>
      </c>
      <c r="F44" s="1002">
        <f>+'EOL LINKS'!H47</f>
        <v>-0.75</v>
      </c>
      <c r="G44" s="987">
        <f>+G31-1.5</f>
        <v>15.934471803018269</v>
      </c>
      <c r="H44" s="656">
        <f ca="1">+G44*688*B44/10000</f>
        <v>-444.68424817927911</v>
      </c>
      <c r="I44" s="656">
        <f ca="1">+H44+SUM(Total!T68:T69)</f>
        <v>-326.68424817927911</v>
      </c>
      <c r="J44" s="832" t="s">
        <v>270</v>
      </c>
      <c r="K44" s="708">
        <f>+Z38</f>
        <v>49.625</v>
      </c>
      <c r="L44" s="973">
        <f t="shared" si="9"/>
        <v>-0.5</v>
      </c>
      <c r="M44" s="708">
        <f>+AD38</f>
        <v>38.265114229778909</v>
      </c>
      <c r="N44" s="583">
        <f t="shared" si="8"/>
        <v>-11.359885770221091</v>
      </c>
      <c r="O44" s="835">
        <v>50.125</v>
      </c>
      <c r="P44" s="573">
        <f>+R44*704</f>
        <v>129536</v>
      </c>
      <c r="Q44" s="573">
        <f t="shared" si="11"/>
        <v>-64768</v>
      </c>
      <c r="R44" s="573">
        <v>184</v>
      </c>
      <c r="S44" s="585">
        <f>+'EOL LINKS'!H21-Master!O44</f>
        <v>-0.5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27">
        <f>((TradeSum!G38*368)+(TradeSum!G39*304)+(TradeSum!G40*352))/1024</f>
        <v>30.501329898834229</v>
      </c>
      <c r="AR44" s="978"/>
      <c r="AS44" s="598"/>
      <c r="AT44" s="598"/>
    </row>
    <row r="45" spans="1:46" ht="12.75" customHeight="1" x14ac:dyDescent="0.2">
      <c r="A45" s="612" t="s">
        <v>257</v>
      </c>
      <c r="B45" s="588">
        <f t="shared" ca="1" si="10"/>
        <v>-203.40929659120593</v>
      </c>
      <c r="C45" s="572">
        <f ca="1">+TradeSum!F35</f>
        <v>-399.4041346364711</v>
      </c>
      <c r="D45" s="572">
        <f ca="1">+TradeSum!F79</f>
        <v>-499.25516195473477</v>
      </c>
      <c r="E45" s="572">
        <v>696</v>
      </c>
      <c r="F45" s="1002">
        <f>+'EOL LINKS'!H48</f>
        <v>-0.75</v>
      </c>
      <c r="G45" s="987">
        <f>+G32-0.1</f>
        <v>8.8682539682539687</v>
      </c>
      <c r="H45" s="656">
        <f ca="1">+G45*336*B45/10000</f>
        <v>-60.61054613627028</v>
      </c>
      <c r="I45" s="656">
        <f ca="1">+H45+Total!T70</f>
        <v>-2.6105461362702798</v>
      </c>
      <c r="J45" s="832" t="s">
        <v>257</v>
      </c>
      <c r="K45" s="708">
        <f>+TradeSum!I35</f>
        <v>28.25</v>
      </c>
      <c r="L45" s="973">
        <f t="shared" si="9"/>
        <v>0</v>
      </c>
      <c r="M45" s="582">
        <f>+TradeSum!I80</f>
        <v>28.406566977500916</v>
      </c>
      <c r="N45" s="583">
        <f t="shared" si="8"/>
        <v>0.15656697750091553</v>
      </c>
      <c r="O45" s="835">
        <v>28.25</v>
      </c>
      <c r="P45" s="573">
        <f>+R45*304</f>
        <v>109440</v>
      </c>
      <c r="Q45" s="573">
        <f t="shared" si="11"/>
        <v>0</v>
      </c>
      <c r="R45" s="573">
        <v>360</v>
      </c>
      <c r="S45" s="585">
        <f>+'EOL LINKS'!H32-Master!O45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27">
        <f>((AJ36*672)+(AJ39*688)+(AJ40*336)+(AJ41*336)+(AJ42*688)+(AJ43*336)+(AJ44*1024))/4080</f>
        <v>33.843491333606195</v>
      </c>
    </row>
    <row r="46" spans="1:46" ht="12.75" customHeight="1" x14ac:dyDescent="0.2">
      <c r="A46" s="612" t="s">
        <v>98</v>
      </c>
      <c r="B46" s="588">
        <f t="shared" ca="1" si="10"/>
        <v>-422.24799314807711</v>
      </c>
      <c r="C46" s="572">
        <f ca="1">AVERAGE(TradeSum!F36:F38)</f>
        <v>-948.49178442562049</v>
      </c>
      <c r="D46" s="572">
        <f ca="1">AVERAGE(TradeSum!F80:F82)</f>
        <v>-499.20620872245655</v>
      </c>
      <c r="E46" s="572">
        <v>1026</v>
      </c>
      <c r="F46" s="1002">
        <f>+'EOL LINKS'!H49</f>
        <v>-0.55000000000000004</v>
      </c>
      <c r="G46" s="987">
        <f>+G33-0.5</f>
        <v>8.2437185929648251</v>
      </c>
      <c r="H46" s="656">
        <f ca="1">+G46*1024*B46/10000</f>
        <v>-356.44350791238526</v>
      </c>
      <c r="I46" s="656">
        <f ca="1">+H46+SUM(Total!T71:T73)</f>
        <v>-182.44350791238526</v>
      </c>
      <c r="J46" s="834" t="s">
        <v>98</v>
      </c>
      <c r="K46" s="708">
        <f>+Z42</f>
        <v>29.254999160766602</v>
      </c>
      <c r="L46" s="973">
        <f t="shared" si="9"/>
        <v>-0.36500132083892822</v>
      </c>
      <c r="M46" s="708">
        <f>+AD42</f>
        <v>29.190114288635197</v>
      </c>
      <c r="N46" s="583">
        <f t="shared" si="8"/>
        <v>-6.4884872131404592E-2</v>
      </c>
      <c r="O46" s="835">
        <v>29.615001320838928</v>
      </c>
      <c r="P46" s="573">
        <f>+R46*1024</f>
        <v>546816</v>
      </c>
      <c r="Q46" s="573">
        <f t="shared" si="11"/>
        <v>-199588.56225585938</v>
      </c>
      <c r="R46" s="573">
        <v>534</v>
      </c>
      <c r="S46" s="585">
        <f>+'EOL LINKS'!H33-Master!O46</f>
        <v>-0.36500132083892822</v>
      </c>
      <c r="T46" s="603"/>
      <c r="U46" s="602"/>
      <c r="V46" s="602"/>
      <c r="W46" s="605"/>
    </row>
    <row r="47" spans="1:46" x14ac:dyDescent="0.2">
      <c r="A47" s="574" t="s">
        <v>272</v>
      </c>
      <c r="B47" s="606">
        <f ca="1">+C47+D47+E47</f>
        <v>-577.96832976873191</v>
      </c>
      <c r="C47" s="606">
        <f ca="1">(C38+C38+C41+C41+C42+C43+C44+C44+C45+C46+C46+C46)/12</f>
        <v>-793.09926705947476</v>
      </c>
      <c r="D47" s="606">
        <f ca="1">(D38+D38+D41+D41+D42+D43+D44+D44+D45+D46+D46+D46)/12</f>
        <v>-640.78572937592378</v>
      </c>
      <c r="E47" s="606">
        <f>(E38+E38+E41+E41+E42+E43+E44+E44+E45+E46+E46+E46)/12</f>
        <v>855.91666666666663</v>
      </c>
      <c r="F47" s="1003">
        <f>((F38*672)+(F41*688)+(F42*336)+(F43*336)+(F44*688)+(F45*336)+(F46*1024))/4080</f>
        <v>-0.74529411764705888</v>
      </c>
      <c r="G47" s="984">
        <f>+K47/L3</f>
        <v>10.206591508777713</v>
      </c>
      <c r="H47" s="606">
        <f ca="1">SUM(H38:H46)</f>
        <v>-2266.5630183702347</v>
      </c>
      <c r="I47" s="1006">
        <f ca="1">+I46+I45+I44+I43+I42+I41+I38</f>
        <v>-1543.5630183702344</v>
      </c>
      <c r="J47" s="831" t="s">
        <v>272</v>
      </c>
      <c r="K47" s="620">
        <f>+AA42</f>
        <v>33.579686063878675</v>
      </c>
      <c r="L47" s="976">
        <f>+K47-O47</f>
        <v>-0.25031393612132291</v>
      </c>
      <c r="M47" s="586">
        <f>+AE42</f>
        <v>32.852727145536029</v>
      </c>
      <c r="N47" s="586">
        <f>+M47-K47</f>
        <v>-0.72695891834264614</v>
      </c>
      <c r="O47" s="586">
        <v>33.83</v>
      </c>
      <c r="P47" s="586"/>
      <c r="Q47" s="606">
        <f>+Q17+Q18+SUM(Q25:Q33)+SUM(Q38:Q46)</f>
        <v>-1519430.8081848128</v>
      </c>
      <c r="R47" s="586">
        <v>36.5</v>
      </c>
      <c r="U47" s="652" t="s">
        <v>304</v>
      </c>
      <c r="V47" s="654" t="s">
        <v>305</v>
      </c>
      <c r="W47" s="648"/>
      <c r="X47" s="649"/>
      <c r="Y47" s="650"/>
      <c r="Z47" s="651"/>
      <c r="AA47" s="651"/>
      <c r="AB47" s="649"/>
      <c r="AC47" s="649"/>
      <c r="AD47" s="650"/>
      <c r="AE47" s="650"/>
      <c r="AF47" s="650"/>
      <c r="AG47" s="649"/>
      <c r="AH47" s="650"/>
      <c r="AI47" s="650"/>
      <c r="AJ47" s="650"/>
      <c r="AK47" s="650"/>
      <c r="AL47" s="652"/>
      <c r="AM47" s="652"/>
      <c r="AN47" s="650"/>
      <c r="AO47" s="652"/>
    </row>
    <row r="48" spans="1:46" ht="3.75" customHeight="1" x14ac:dyDescent="0.2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4"/>
      <c r="M48" s="664"/>
      <c r="N48" s="664"/>
      <c r="O48" s="596"/>
      <c r="P48" s="596"/>
      <c r="Q48" s="596"/>
      <c r="R48" s="596"/>
      <c r="T48" s="642" t="s">
        <v>282</v>
      </c>
      <c r="U48" s="653"/>
      <c r="V48" s="655" t="str">
        <f>[3]!'NGG1 NET.CHNG'</f>
        <v>+NA+</v>
      </c>
      <c r="AL48" s="653" t="str">
        <f>[3]!'NGG1 LAST'</f>
        <v>+NA+</v>
      </c>
      <c r="AM48" s="653" t="str">
        <f>[3]!'NGG1 CLS'</f>
        <v>+NA+</v>
      </c>
      <c r="AN48" s="618"/>
      <c r="AO48" s="655">
        <v>0</v>
      </c>
      <c r="AP48" s="618"/>
    </row>
    <row r="49" spans="1:44" x14ac:dyDescent="0.2">
      <c r="A49" s="598"/>
      <c r="B49" s="597"/>
      <c r="C49" s="597"/>
      <c r="D49" s="597">
        <f t="shared" ref="D49:J49" si="12">+D50*D52</f>
        <v>7.2794999999999996</v>
      </c>
      <c r="E49" s="597">
        <f t="shared" si="12"/>
        <v>-3.56</v>
      </c>
      <c r="F49" s="597">
        <f t="shared" si="12"/>
        <v>-0.30499999999999999</v>
      </c>
      <c r="G49" s="597">
        <f t="shared" si="12"/>
        <v>0.45</v>
      </c>
      <c r="H49" s="597">
        <f t="shared" si="12"/>
        <v>-8.0649999999999995</v>
      </c>
      <c r="I49" s="597">
        <f t="shared" si="12"/>
        <v>0.27200000000000002</v>
      </c>
      <c r="J49" s="597">
        <f t="shared" si="12"/>
        <v>0</v>
      </c>
      <c r="K49" s="597"/>
      <c r="L49" s="597"/>
      <c r="M49" s="597"/>
      <c r="N49" s="597"/>
      <c r="O49" s="597"/>
      <c r="P49" s="597"/>
      <c r="Q49" s="597"/>
      <c r="R49" s="597"/>
      <c r="T49" s="643" t="s">
        <v>283</v>
      </c>
      <c r="U49" s="653"/>
      <c r="V49" s="655" t="str">
        <f>[3]!'NGH1 NET.CHNG'</f>
        <v>+NA+</v>
      </c>
      <c r="AL49" s="653" t="str">
        <f>[3]!'NGH1 LAST'</f>
        <v>+NA+</v>
      </c>
      <c r="AM49" s="653" t="str">
        <f>[3]!'NGH1 CLS'</f>
        <v>+NA+</v>
      </c>
      <c r="AN49" s="619"/>
      <c r="AO49" s="655">
        <v>0</v>
      </c>
      <c r="AP49" s="619"/>
      <c r="AQ49" s="618"/>
    </row>
    <row r="50" spans="1:44" x14ac:dyDescent="0.2">
      <c r="A50" s="616" t="s">
        <v>286</v>
      </c>
      <c r="B50" s="567"/>
      <c r="C50" s="664"/>
      <c r="D50" s="664">
        <f>+E50</f>
        <v>5.0000000000000001E-3</v>
      </c>
      <c r="E50" s="664">
        <f>+V57</f>
        <v>5.0000000000000001E-3</v>
      </c>
      <c r="F50" s="664">
        <f>+V58</f>
        <v>-5.0000000000000001E-3</v>
      </c>
      <c r="G50" s="664">
        <f>+V59</f>
        <v>-0.01</v>
      </c>
      <c r="H50" s="664">
        <f>+V60</f>
        <v>-5.0000000000000001E-3</v>
      </c>
      <c r="I50" s="664">
        <f>+V61</f>
        <v>-2E-3</v>
      </c>
      <c r="J50" s="664">
        <f>+V62</f>
        <v>0</v>
      </c>
      <c r="K50" s="664"/>
      <c r="L50" s="1027" t="s">
        <v>518</v>
      </c>
      <c r="M50" s="1028">
        <f>+'EOL LINKS'!H71</f>
        <v>25.774999999999999</v>
      </c>
      <c r="N50" s="664" t="s">
        <v>524</v>
      </c>
      <c r="O50" s="664"/>
      <c r="P50" s="664"/>
      <c r="Q50" s="664"/>
      <c r="R50" s="664"/>
      <c r="T50" s="643" t="s">
        <v>284</v>
      </c>
      <c r="U50" s="653" t="str">
        <f>IF([3]!'NGJ1 LAST'=0,AM50+W50,[3]!'NGJ1 LAST')</f>
        <v>+NA+</v>
      </c>
      <c r="V50" s="655" t="str">
        <f>[3]!'NGJ1 NET.CHNG'</f>
        <v>+NA+</v>
      </c>
      <c r="AL50" s="653" t="str">
        <f>[3]!'NGJ1 LAST'</f>
        <v>+NA+</v>
      </c>
      <c r="AM50" s="653" t="str">
        <f>[3]!'NGJ1 CLS'</f>
        <v>+NA+</v>
      </c>
      <c r="AN50" s="619"/>
      <c r="AO50" s="655">
        <v>0</v>
      </c>
      <c r="AP50" s="619"/>
      <c r="AQ50" s="619"/>
    </row>
    <row r="51" spans="1:44" s="618" customFormat="1" x14ac:dyDescent="0.2">
      <c r="A51" s="597">
        <f>SUM(D49:J49)*10000</f>
        <v>-39285</v>
      </c>
      <c r="B51" s="617" t="s">
        <v>302</v>
      </c>
      <c r="C51" s="1032" t="s">
        <v>526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29"/>
      <c r="M51" s="1030">
        <f>+TradeSum!CW18</f>
        <v>25.746875000000003</v>
      </c>
      <c r="N51" s="617" t="s">
        <v>525</v>
      </c>
      <c r="O51" s="617"/>
      <c r="P51" s="617"/>
      <c r="Q51" s="617"/>
      <c r="R51" s="617"/>
      <c r="T51" s="643" t="s">
        <v>268</v>
      </c>
      <c r="U51" s="653">
        <f>+C50</f>
        <v>0</v>
      </c>
      <c r="V51" s="655" t="str">
        <f>[3]!'NGK1 NET.CHNG'</f>
        <v>+NA+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3" t="str">
        <f>[3]!'NGK1 LAST'</f>
        <v>+NA+</v>
      </c>
      <c r="AM51" s="653" t="str">
        <f>[3]!'NGK1 CLS'</f>
        <v>+NA+</v>
      </c>
      <c r="AN51" s="619"/>
      <c r="AO51" s="655">
        <v>0</v>
      </c>
      <c r="AP51" s="619"/>
      <c r="AQ51" s="619"/>
      <c r="AR51" s="634"/>
    </row>
    <row r="52" spans="1:44" s="619" customFormat="1" x14ac:dyDescent="0.2">
      <c r="A52" s="597">
        <f>(+D78+I78+N78+D96+I96+N96)*10000</f>
        <v>-31428.571428235973</v>
      </c>
      <c r="B52" s="597" t="s">
        <v>303</v>
      </c>
      <c r="C52" s="1033">
        <f>+Term!H21</f>
        <v>1955.1587822014178</v>
      </c>
      <c r="D52" s="597">
        <f>63.3*23</f>
        <v>1455.8999999999999</v>
      </c>
      <c r="E52" s="597">
        <v>-712</v>
      </c>
      <c r="F52" s="597">
        <v>61</v>
      </c>
      <c r="G52" s="597">
        <v>-45</v>
      </c>
      <c r="H52" s="597">
        <v>1613</v>
      </c>
      <c r="I52" s="597">
        <v>-136</v>
      </c>
      <c r="J52" s="597">
        <v>-156</v>
      </c>
      <c r="K52" s="597"/>
      <c r="L52" s="1027" t="s">
        <v>519</v>
      </c>
      <c r="M52" s="1028">
        <f>+'EOL LINKS'!H67</f>
        <v>33.875</v>
      </c>
      <c r="N52" s="597" t="s">
        <v>524</v>
      </c>
      <c r="O52" s="597"/>
      <c r="P52" s="597"/>
      <c r="Q52" s="597"/>
      <c r="R52" s="597"/>
      <c r="T52" s="643" t="s">
        <v>269</v>
      </c>
      <c r="U52" s="653" t="str">
        <f>IF([3]!'NGM1 LAST'=0,AM52+W52,[3]!'NGM1 LAST')</f>
        <v>+NA+</v>
      </c>
      <c r="V52" s="655" t="str">
        <f>[3]!'NGM1 NET.CHNG'</f>
        <v>+NA+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3" t="str">
        <f>[3]!'NGM1 LAST'</f>
        <v>+NA+</v>
      </c>
      <c r="AM52" s="653" t="str">
        <f>[3]!'NGM1 CLS'</f>
        <v>+NA+</v>
      </c>
      <c r="AO52" s="655">
        <v>0</v>
      </c>
      <c r="AR52" s="634"/>
    </row>
    <row r="53" spans="1:44" s="619" customFormat="1" hidden="1" x14ac:dyDescent="0.2">
      <c r="A53" s="597" t="s">
        <v>87</v>
      </c>
      <c r="B53" s="637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7"/>
      <c r="M53" s="1000"/>
      <c r="N53" s="597"/>
      <c r="O53" s="597"/>
      <c r="P53" s="597"/>
      <c r="Q53" s="597"/>
      <c r="R53" s="597"/>
      <c r="T53" s="643" t="s">
        <v>299</v>
      </c>
      <c r="U53" s="653" t="str">
        <f>IF([3]!'NGN1 LAST'=0,AM53+W53,[3]!'NGN1 LAST')</f>
        <v>+NA+</v>
      </c>
      <c r="V53" s="655" t="str">
        <f>[3]!'NGN1 NET.CHNG'</f>
        <v>+NA+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3" t="str">
        <f>[3]!'NGN1 LAST'</f>
        <v>+NA+</v>
      </c>
      <c r="AM53" s="653" t="str">
        <f>[3]!'NGN1 CLS'</f>
        <v>+NA+</v>
      </c>
      <c r="AO53" s="655">
        <v>0</v>
      </c>
      <c r="AR53" s="634"/>
    </row>
    <row r="54" spans="1:44" s="619" customFormat="1" hidden="1" x14ac:dyDescent="0.2">
      <c r="A54" s="597" t="s">
        <v>256</v>
      </c>
      <c r="B54" s="637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7"/>
      <c r="M54" s="1000"/>
      <c r="N54" s="597"/>
      <c r="O54" s="597"/>
      <c r="P54" s="597"/>
      <c r="Q54" s="597"/>
      <c r="R54" s="597"/>
      <c r="T54" s="643" t="s">
        <v>300</v>
      </c>
      <c r="U54" s="653" t="str">
        <f>IF([3]!'NGQ1 LAST'=0,AM54+W54,[3]!'NGQ1 LAST')</f>
        <v>+NA+</v>
      </c>
      <c r="V54" s="655" t="str">
        <f>[3]!'NGQ1 NET.CHNG'</f>
        <v>+NA+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3" t="str">
        <f>[3]!'NGQ1 LAST'</f>
        <v>+NA+</v>
      </c>
      <c r="AM54" s="653" t="str">
        <f>[3]!'NGQ1 CLS'</f>
        <v>+NA+</v>
      </c>
      <c r="AO54" s="655">
        <v>0</v>
      </c>
      <c r="AR54" s="634"/>
    </row>
    <row r="55" spans="1:44" s="619" customFormat="1" hidden="1" x14ac:dyDescent="0.2">
      <c r="A55" s="597" t="s">
        <v>328</v>
      </c>
      <c r="B55" s="637"/>
      <c r="C55" s="597"/>
      <c r="D55" s="597"/>
      <c r="E55" s="597"/>
      <c r="F55" s="597">
        <f>+N77</f>
        <v>2E-12</v>
      </c>
      <c r="G55" s="597"/>
      <c r="H55" s="597"/>
      <c r="I55" s="597"/>
      <c r="J55" s="597"/>
      <c r="K55" s="597"/>
      <c r="L55" s="767"/>
      <c r="M55" s="1000"/>
      <c r="N55" s="597"/>
      <c r="O55" s="597"/>
      <c r="P55" s="597"/>
      <c r="Q55" s="597"/>
      <c r="R55" s="597"/>
      <c r="T55" s="643"/>
      <c r="U55" s="653"/>
      <c r="V55" s="655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3"/>
      <c r="AM55" s="653"/>
      <c r="AO55" s="655"/>
      <c r="AR55" s="634"/>
    </row>
    <row r="56" spans="1:44" s="619" customFormat="1" hidden="1" x14ac:dyDescent="0.2">
      <c r="A56" s="597" t="s">
        <v>312</v>
      </c>
      <c r="B56" s="637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7"/>
      <c r="M56" s="1000"/>
      <c r="N56" s="597"/>
      <c r="O56" s="597"/>
      <c r="P56" s="597"/>
      <c r="Q56" s="597"/>
      <c r="R56" s="597"/>
      <c r="T56" s="643" t="s">
        <v>257</v>
      </c>
      <c r="U56" s="653" t="str">
        <f>IF([3]!'NGU1 LAST'=0,AM56+W56,[3]!'NGU1 LAST')</f>
        <v>+NA+</v>
      </c>
      <c r="V56" s="655" t="str">
        <f>[3]!'NGU1 NET.CHNG'</f>
        <v>+NA+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3" t="str">
        <f>[3]!'NGU1 LAST'</f>
        <v>+NA+</v>
      </c>
      <c r="AM56" s="653" t="str">
        <f>[3]!'NGU1 CLS'</f>
        <v>+NA+</v>
      </c>
      <c r="AO56" s="655">
        <v>0</v>
      </c>
      <c r="AR56" s="634"/>
    </row>
    <row r="57" spans="1:44" s="619" customFormat="1" hidden="1" x14ac:dyDescent="0.2">
      <c r="A57" s="597" t="s">
        <v>488</v>
      </c>
      <c r="B57" s="637"/>
      <c r="C57" s="597"/>
      <c r="D57" s="597"/>
      <c r="E57" s="597"/>
      <c r="F57" s="597"/>
      <c r="G57" s="597"/>
      <c r="H57" s="597"/>
      <c r="I57" s="597"/>
      <c r="J57" s="597"/>
      <c r="K57" s="597"/>
      <c r="L57" s="767"/>
      <c r="M57" s="1000"/>
      <c r="N57" s="597"/>
      <c r="O57" s="597"/>
      <c r="P57" s="597"/>
      <c r="Q57" s="597"/>
      <c r="R57" s="597"/>
      <c r="T57" s="643" t="s">
        <v>301</v>
      </c>
      <c r="U57" s="653">
        <f>IF([3]!'NGV1 LAST'=0,AM57+W57,[3]!'NGV1 LAST')</f>
        <v>2.4449999999999998</v>
      </c>
      <c r="V57" s="655">
        <f>[3]!'NGV1 NET.CHNG'</f>
        <v>5.0000000000000001E-3</v>
      </c>
      <c r="W57" s="604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3">
        <f>[3]!'NGV1 LAST'</f>
        <v>2.4449999999999998</v>
      </c>
      <c r="AM57" s="653">
        <f>[3]!'NGV1 CLS'</f>
        <v>2.44</v>
      </c>
      <c r="AO57" s="655">
        <v>0</v>
      </c>
      <c r="AR57" s="634"/>
    </row>
    <row r="58" spans="1:44" s="619" customFormat="1" hidden="1" x14ac:dyDescent="0.2">
      <c r="A58" s="597" t="s">
        <v>329</v>
      </c>
      <c r="B58" s="645"/>
      <c r="C58" s="622"/>
      <c r="D58" s="622"/>
      <c r="E58" s="622"/>
      <c r="F58" s="622"/>
      <c r="G58" s="622">
        <f>+N95</f>
        <v>2E-12</v>
      </c>
      <c r="H58" s="622"/>
      <c r="I58" s="622"/>
      <c r="J58" s="622"/>
      <c r="K58" s="622"/>
      <c r="L58" s="1031"/>
      <c r="M58" s="1000"/>
      <c r="N58" s="597"/>
      <c r="O58" s="597"/>
      <c r="P58" s="597"/>
      <c r="Q58" s="597"/>
      <c r="R58" s="597"/>
      <c r="T58" s="643" t="s">
        <v>168</v>
      </c>
      <c r="U58" s="653">
        <f>IF([3]!'NGX1 LAST'=0,AM58+W58,[3]!'NGX1 LAST')</f>
        <v>2.7349999999999999</v>
      </c>
      <c r="V58" s="655">
        <f>[3]!'NGX1 NET.CHNG'</f>
        <v>-5.0000000000000001E-3</v>
      </c>
      <c r="W58" s="604"/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3">
        <f>[3]!'NGX1 LAST'</f>
        <v>2.7349999999999999</v>
      </c>
      <c r="AM58" s="653">
        <f>[3]!'NGX1 CLS'</f>
        <v>2.74</v>
      </c>
      <c r="AO58" s="655">
        <f>[3]!'NGX1 NET.CHNG'</f>
        <v>-5.0000000000000001E-3</v>
      </c>
      <c r="AP58" s="563"/>
      <c r="AR58" s="634"/>
    </row>
    <row r="59" spans="1:44" s="619" customFormat="1" hidden="1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7"/>
      <c r="M59" s="1000"/>
      <c r="N59" s="597"/>
      <c r="O59" s="597"/>
      <c r="P59" s="597"/>
      <c r="Q59" s="597"/>
      <c r="R59" s="597"/>
      <c r="T59" s="643" t="s">
        <v>274</v>
      </c>
      <c r="U59" s="653">
        <f>IF([3]!'NGZ1 LAST'=0,AM59+W59,[3]!'NGZ1 LAST')</f>
        <v>3.05</v>
      </c>
      <c r="V59" s="655">
        <f>[3]!'NGZ1 NET.CHNG'</f>
        <v>-0.01</v>
      </c>
      <c r="W59" s="604"/>
      <c r="X59" s="567"/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3">
        <f>[3]!'NGZ1 LAST'</f>
        <v>3.05</v>
      </c>
      <c r="AM59" s="653">
        <f>[3]!'NGZ1 CLS'</f>
        <v>3.06</v>
      </c>
      <c r="AO59" s="655">
        <f>[3]!'NGZ1 NET.CHNG'</f>
        <v>-0.01</v>
      </c>
      <c r="AP59" s="563"/>
      <c r="AR59" s="634"/>
    </row>
    <row r="60" spans="1:44" s="619" customFormat="1" x14ac:dyDescent="0.2">
      <c r="A60" s="621" t="s">
        <v>298</v>
      </c>
      <c r="B60" s="597">
        <f>SUM(C60:R60)</f>
        <v>2001.6703873352722</v>
      </c>
      <c r="C60" s="597"/>
      <c r="D60" s="597">
        <f t="shared" ref="D60:F60" si="13">SUM(D52:D58)</f>
        <v>1455.9000000000019</v>
      </c>
      <c r="E60" s="597">
        <f t="shared" si="13"/>
        <v>-711.99999999999795</v>
      </c>
      <c r="F60" s="597">
        <f t="shared" si="13"/>
        <v>61.000000000002395</v>
      </c>
      <c r="G60" s="597">
        <f>SUM(G52:G58)</f>
        <v>-44.999999999997605</v>
      </c>
      <c r="H60" s="597">
        <f>SUM(H52:H58)+Total!V50</f>
        <v>1647.7295081967218</v>
      </c>
      <c r="I60" s="597">
        <f>SUM(I52:I58)+Total!V51</f>
        <v>-209.7704918032783</v>
      </c>
      <c r="J60" s="597">
        <f>SUM(J52:J58)+Total!V52</f>
        <v>-229.7704918032783</v>
      </c>
      <c r="K60" s="597"/>
      <c r="L60" s="1031"/>
      <c r="M60" s="1030">
        <f>+TradeSum!CR28</f>
        <v>33.581862745098036</v>
      </c>
      <c r="N60" s="597" t="s">
        <v>525</v>
      </c>
      <c r="O60" s="597"/>
      <c r="P60" s="597"/>
      <c r="Q60" s="597"/>
      <c r="R60" s="597"/>
      <c r="T60" s="643" t="s">
        <v>310</v>
      </c>
      <c r="U60" s="653">
        <f>IF([3]!'NGF2 LAST'=0,AM60+W60,[3]!'NGF2 LAST')</f>
        <v>3.2</v>
      </c>
      <c r="V60" s="655">
        <f>[3]!'NGF2 NET.CHNG'</f>
        <v>-5.0000000000000001E-3</v>
      </c>
      <c r="W60" s="604"/>
      <c r="X60" s="567"/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3">
        <f>[3]!'NGF2 LAST'</f>
        <v>3.2</v>
      </c>
      <c r="AM60" s="653">
        <f>[3]!'NGF2 CLS'</f>
        <v>3.2050000000000001</v>
      </c>
      <c r="AO60" s="655">
        <f>[3]!'NGF2 NET.CHNG'</f>
        <v>-5.0000000000000001E-3</v>
      </c>
      <c r="AP60" s="563"/>
      <c r="AQ60" s="563"/>
      <c r="AR60" s="634"/>
    </row>
    <row r="61" spans="1:44" s="619" customFormat="1" hidden="1" x14ac:dyDescent="0.2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3" t="s">
        <v>311</v>
      </c>
      <c r="U61" s="653">
        <f>IF([3]!'NGG2 LAST'=0,AM61+W61,[3]!'NGG2 LAST')</f>
        <v>3.1749999999999998</v>
      </c>
      <c r="V61" s="655">
        <f>[3]!'NGG2 NET.CHNG'</f>
        <v>-2E-3</v>
      </c>
      <c r="W61" s="604"/>
      <c r="X61" s="567"/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3">
        <f>[3]!'NGG2 LAST'</f>
        <v>3.1749999999999998</v>
      </c>
      <c r="AM61" s="653">
        <f>[3]!'NGG2 CLS'</f>
        <v>3.177</v>
      </c>
      <c r="AO61" s="655">
        <f>[3]!'NGG2 NET.CHNG'</f>
        <v>-2E-3</v>
      </c>
      <c r="AP61" s="563"/>
      <c r="AQ61" s="563"/>
      <c r="AR61" s="634"/>
    </row>
    <row r="62" spans="1:44" hidden="1" x14ac:dyDescent="0.2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3" t="s">
        <v>309</v>
      </c>
      <c r="U62" s="653">
        <f>IF([3]!'NGH2 LAST'=0,AM62+W62,[3]!'NGH2 LAST')</f>
        <v>3.105</v>
      </c>
      <c r="V62" s="655">
        <f>[3]!'NGH2 NET.CHNG'</f>
        <v>0</v>
      </c>
      <c r="AL62" s="653">
        <f>[3]!'NGH2 LAST'</f>
        <v>3.105</v>
      </c>
      <c r="AM62" s="653">
        <f>[3]!'NGH2 CLS'</f>
        <v>3.105</v>
      </c>
      <c r="AN62" s="619"/>
      <c r="AO62" s="655">
        <f>[3]!'NGH2 NET.CHNG'</f>
        <v>0</v>
      </c>
    </row>
    <row r="63" spans="1:44" ht="7.5" customHeight="1" x14ac:dyDescent="0.2">
      <c r="A63" s="598"/>
      <c r="B63" s="597"/>
      <c r="C63" s="597"/>
      <c r="D63" s="597"/>
      <c r="E63" s="623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3" t="s">
        <v>350</v>
      </c>
      <c r="U63" s="653">
        <f>IF([3]!'NGJ2 LAST'=0,AM63+W63,[3]!'NGJ2 LAST')</f>
        <v>3</v>
      </c>
      <c r="V63" s="655">
        <f>[3]!'NGJ2 NET.CHNG'</f>
        <v>-1.2E-2</v>
      </c>
      <c r="Z63" s="585" t="s">
        <v>300</v>
      </c>
      <c r="AA63" s="567">
        <v>3.153</v>
      </c>
      <c r="AB63" s="567">
        <f>+I65</f>
        <v>2.4449999999999998</v>
      </c>
      <c r="AC63" s="567">
        <f>+AB63-AA63</f>
        <v>-0.70800000000000018</v>
      </c>
      <c r="AD63" s="567"/>
      <c r="AL63" s="653">
        <f>[3]!'NGJ2 LAST'</f>
        <v>3</v>
      </c>
      <c r="AM63" s="653">
        <f>[3]!'NGJ2 CLS'</f>
        <v>3.012</v>
      </c>
      <c r="AN63" s="619"/>
      <c r="AO63" s="655">
        <f>[3]!'NGJ2 NET.CHNG'</f>
        <v>-1.2E-2</v>
      </c>
    </row>
    <row r="64" spans="1:44" x14ac:dyDescent="0.2">
      <c r="A64" s="598"/>
      <c r="B64" s="927"/>
      <c r="C64" s="927"/>
      <c r="D64" s="624" t="s">
        <v>87</v>
      </c>
      <c r="E64" s="625" t="s">
        <v>296</v>
      </c>
      <c r="F64" s="626"/>
      <c r="G64" s="627" t="s">
        <v>297</v>
      </c>
      <c r="H64" s="626"/>
      <c r="I64" s="624" t="s">
        <v>256</v>
      </c>
      <c r="J64" s="625" t="s">
        <v>296</v>
      </c>
      <c r="K64" s="626"/>
      <c r="L64" s="627" t="s">
        <v>297</v>
      </c>
      <c r="M64" s="626"/>
      <c r="N64" s="624" t="s">
        <v>328</v>
      </c>
      <c r="O64" s="625" t="s">
        <v>296</v>
      </c>
      <c r="P64" s="626"/>
      <c r="Q64" s="627" t="s">
        <v>297</v>
      </c>
      <c r="R64" s="626"/>
      <c r="T64" s="643" t="s">
        <v>351</v>
      </c>
      <c r="U64" s="653">
        <f>IF([3]!'NGK2 LAST'=0,AM64+W64,[3]!'NGK2 LAST')</f>
        <v>3.02</v>
      </c>
      <c r="V64" s="655">
        <f>[3]!'NGK2 NET.CHNG'</f>
        <v>-1.4999999999999999E-2</v>
      </c>
      <c r="Z64" s="585" t="s">
        <v>257</v>
      </c>
      <c r="AA64" s="567">
        <v>3.2290000000000001</v>
      </c>
      <c r="AB64" s="567">
        <f>+I83</f>
        <v>3.097142857142857</v>
      </c>
      <c r="AC64" s="567">
        <f>+AB64-AA64</f>
        <v>-0.13185714285714312</v>
      </c>
      <c r="AD64" s="567"/>
      <c r="AL64" s="653">
        <f>[3]!'NGK2 LAST'</f>
        <v>3.02</v>
      </c>
      <c r="AM64" s="653">
        <f>[3]!'NGK2 CLS'</f>
        <v>3.0350000000000001</v>
      </c>
      <c r="AN64" s="619"/>
      <c r="AO64" s="655">
        <f>[3]!'NGK2 NET.CHNG'</f>
        <v>-1.4999999999999999E-2</v>
      </c>
    </row>
    <row r="65" spans="1:41" x14ac:dyDescent="0.2">
      <c r="A65" s="598" t="s">
        <v>256</v>
      </c>
      <c r="B65" s="596">
        <f>+'EOL LINKS'!H52</f>
        <v>17.5</v>
      </c>
      <c r="C65" s="927"/>
      <c r="D65" s="636">
        <f>+I65-0.1</f>
        <v>2.3449999999999998</v>
      </c>
      <c r="E65" s="630"/>
      <c r="F65" s="640"/>
      <c r="G65" s="630"/>
      <c r="H65" s="628"/>
      <c r="I65" s="636">
        <f>+U57</f>
        <v>2.4449999999999998</v>
      </c>
      <c r="J65" s="630"/>
      <c r="K65" s="640"/>
      <c r="L65" s="630"/>
      <c r="M65" s="628"/>
      <c r="N65" s="636">
        <f>+U58</f>
        <v>2.7349999999999999</v>
      </c>
      <c r="O65" s="630"/>
      <c r="P65" s="640"/>
      <c r="Q65" s="630"/>
      <c r="R65" s="628"/>
      <c r="T65" s="643" t="s">
        <v>352</v>
      </c>
      <c r="U65" s="653">
        <f>IF([3]!'NGM2 LAST'=0,AM65+W65,[3]!'NGM2 LAST')</f>
        <v>3.06</v>
      </c>
      <c r="V65" s="655">
        <f>[3]!'NGM2 NET.CHNG'</f>
        <v>-0.01</v>
      </c>
      <c r="Z65" s="585" t="s">
        <v>301</v>
      </c>
      <c r="AA65" s="567">
        <v>3.319</v>
      </c>
      <c r="AB65" s="567">
        <f>+N83</f>
        <v>3.05</v>
      </c>
      <c r="AC65" s="567">
        <f>+AB65-AA65</f>
        <v>-0.26900000000000013</v>
      </c>
      <c r="AD65" s="567"/>
      <c r="AL65" s="653">
        <f>[3]!'NGM2 LAST'</f>
        <v>3.06</v>
      </c>
      <c r="AM65" s="653">
        <f>[3]!'NGM2 CLS'</f>
        <v>3.07</v>
      </c>
      <c r="AN65" s="619"/>
      <c r="AO65" s="655">
        <f>[3]!'NGM2 NET.CHNG'</f>
        <v>-0.01</v>
      </c>
    </row>
    <row r="66" spans="1:41" x14ac:dyDescent="0.2">
      <c r="A66" s="598" t="s">
        <v>328</v>
      </c>
      <c r="B66" s="596">
        <f>+'EOL LINKS'!H53</f>
        <v>15.05</v>
      </c>
      <c r="C66" s="927"/>
      <c r="D66" s="637"/>
      <c r="E66" s="630"/>
      <c r="F66" s="640"/>
      <c r="G66" s="630"/>
      <c r="H66" s="628"/>
      <c r="I66" s="597"/>
      <c r="J66" s="630"/>
      <c r="K66" s="640"/>
      <c r="L66" s="630"/>
      <c r="M66" s="628"/>
      <c r="N66" s="597"/>
      <c r="O66" s="630"/>
      <c r="P66" s="640"/>
      <c r="Q66" s="630"/>
      <c r="R66" s="628"/>
      <c r="T66" s="643" t="s">
        <v>353</v>
      </c>
      <c r="U66" s="653">
        <f>IF([3]!'NGN2 LAST'=0,AM66+W66,[3]!'NGN2 LAST')</f>
        <v>3.1349999999999998</v>
      </c>
      <c r="V66" s="655">
        <f>[3]!'NGN2 NET.CHNG'</f>
        <v>2.3E-2</v>
      </c>
      <c r="Z66" s="585" t="s">
        <v>168</v>
      </c>
      <c r="AA66" s="567">
        <v>3.63</v>
      </c>
      <c r="AC66" s="567">
        <f>+AC65+0.005</f>
        <v>-0.26400000000000012</v>
      </c>
      <c r="AD66" s="567"/>
      <c r="AL66" s="653">
        <f>[3]!'NGN2 LAST'</f>
        <v>3.1349999999999998</v>
      </c>
      <c r="AM66" s="653">
        <f>[3]!'NGN2 CLS'</f>
        <v>3.1120000000000001</v>
      </c>
      <c r="AN66" s="619"/>
      <c r="AO66" s="655">
        <f>[3]!'NGN2 NET.CHNG'</f>
        <v>2.3E-2</v>
      </c>
    </row>
    <row r="67" spans="1:41" x14ac:dyDescent="0.2">
      <c r="A67" s="598" t="s">
        <v>329</v>
      </c>
      <c r="B67" s="596">
        <f>+'EOL LINKS'!H54</f>
        <v>18.625</v>
      </c>
      <c r="C67" s="927"/>
      <c r="D67" s="597"/>
      <c r="E67" s="835"/>
      <c r="F67" s="1026"/>
      <c r="G67" s="630"/>
      <c r="H67" s="628"/>
      <c r="I67" s="597"/>
      <c r="J67" s="835"/>
      <c r="K67" s="1026"/>
      <c r="L67" s="630"/>
      <c r="M67" s="628"/>
      <c r="N67" s="597"/>
      <c r="O67" s="835"/>
      <c r="P67" s="1026"/>
      <c r="Q67" s="630"/>
      <c r="R67" s="628"/>
      <c r="T67" s="643" t="s">
        <v>96</v>
      </c>
      <c r="U67" s="653">
        <f>IF([3]!'NGQ2 LAST'=0,AM67+W67,[3]!'NGQ2 LAST')</f>
        <v>3.16</v>
      </c>
      <c r="V67" s="655">
        <f>[3]!'NGQ2 NET.CHNG'</f>
        <v>1.2999999999999999E-2</v>
      </c>
      <c r="Z67" s="585" t="s">
        <v>274</v>
      </c>
      <c r="AA67" s="567">
        <v>3.93</v>
      </c>
      <c r="AC67" s="567">
        <f>+AC66</f>
        <v>-0.26400000000000012</v>
      </c>
      <c r="AD67" s="567"/>
      <c r="AL67" s="653">
        <f>[3]!'NGQ2 LAST'</f>
        <v>3.16</v>
      </c>
      <c r="AM67" s="653">
        <f>[3]!'NGQ2 CLS'</f>
        <v>3.1469999999999998</v>
      </c>
      <c r="AN67" s="619"/>
      <c r="AO67" s="655">
        <f>[3]!'NGQ2 NET.CHNG'</f>
        <v>1.2999999999999999E-2</v>
      </c>
    </row>
    <row r="68" spans="1:41" x14ac:dyDescent="0.2">
      <c r="A68" s="598" t="s">
        <v>494</v>
      </c>
      <c r="B68" s="620">
        <f>((B65*Total!AI50)+(B66*Total!AI51)+(B67*Total!AI52))/SUM(Total!AI50:AI52)</f>
        <v>17.108277027027029</v>
      </c>
      <c r="C68" s="620">
        <f>+'EOL LINKS'!H55</f>
        <v>16.875</v>
      </c>
      <c r="D68" s="597"/>
      <c r="E68" s="630"/>
      <c r="F68" s="640"/>
      <c r="G68" s="630"/>
      <c r="H68" s="628"/>
      <c r="I68" s="597"/>
      <c r="J68" s="630"/>
      <c r="K68" s="640"/>
      <c r="L68" s="630"/>
      <c r="M68" s="628"/>
      <c r="N68" s="597"/>
      <c r="O68" s="630"/>
      <c r="P68" s="640"/>
      <c r="Q68" s="630"/>
      <c r="R68" s="628"/>
      <c r="T68" s="643" t="s">
        <v>354</v>
      </c>
      <c r="U68" s="653">
        <f>IF([3]!'NGU2 LAST'=0,AM68+W68,[3]!'NGU2 LAST')</f>
        <v>3.15</v>
      </c>
      <c r="V68" s="655">
        <f>[3]!'NGU2 NET.CHNG'</f>
        <v>4.0000000000000001E-3</v>
      </c>
      <c r="Z68" s="585" t="s">
        <v>310</v>
      </c>
      <c r="AA68" s="567">
        <v>4.04</v>
      </c>
      <c r="AC68" s="567">
        <f>+AC67</f>
        <v>-0.26400000000000012</v>
      </c>
      <c r="AD68" s="977"/>
      <c r="AL68" s="653">
        <f>[3]!'NGU2 LAST'</f>
        <v>3.15</v>
      </c>
      <c r="AM68" s="653">
        <f>[3]!'NGU2 CLS'</f>
        <v>3.1459999999999999</v>
      </c>
      <c r="AN68" s="619"/>
      <c r="AO68" s="655">
        <f>[3]!'NGU2 NET.CHNG'</f>
        <v>4.0000000000000001E-3</v>
      </c>
    </row>
    <row r="69" spans="1:41" hidden="1" x14ac:dyDescent="0.2">
      <c r="A69" s="598"/>
      <c r="B69" s="638"/>
      <c r="C69" s="597"/>
      <c r="D69" s="596"/>
      <c r="E69" s="630"/>
      <c r="F69" s="640"/>
      <c r="G69" s="630"/>
      <c r="H69" s="628"/>
      <c r="I69" s="597"/>
      <c r="J69" s="630"/>
      <c r="K69" s="640"/>
      <c r="L69" s="630"/>
      <c r="M69" s="628"/>
      <c r="N69" s="597"/>
      <c r="O69" s="630"/>
      <c r="P69" s="640"/>
      <c r="Q69" s="630"/>
      <c r="R69" s="628"/>
      <c r="T69" s="643" t="s">
        <v>355</v>
      </c>
      <c r="U69" s="653">
        <f>IF([3]!'NGV2 LAST'=0,AM69+W69,[3]!'NGV2 LAST')</f>
        <v>3.1549999999999998</v>
      </c>
      <c r="V69" s="655">
        <f>[3]!'NGV2 NET.CHNG'</f>
        <v>-2E-3</v>
      </c>
      <c r="Z69" s="585" t="s">
        <v>311</v>
      </c>
      <c r="AA69" s="567">
        <v>3.9449999999999998</v>
      </c>
      <c r="AC69" s="567">
        <f>+AC68</f>
        <v>-0.26400000000000012</v>
      </c>
      <c r="AD69" s="567"/>
      <c r="AL69" s="653">
        <f>[3]!'NGV2 LAST'</f>
        <v>3.1549999999999998</v>
      </c>
      <c r="AM69" s="653">
        <f>[3]!'NGV2 CLS'</f>
        <v>3.157</v>
      </c>
      <c r="AN69" s="619"/>
      <c r="AO69" s="655">
        <f>[3]!'NGV2 NET.CHNG'</f>
        <v>-2E-3</v>
      </c>
    </row>
    <row r="70" spans="1:41" hidden="1" x14ac:dyDescent="0.2">
      <c r="A70" s="563" t="s">
        <v>435</v>
      </c>
      <c r="B70" s="585">
        <f>+'EOL LINKS'!J22</f>
        <v>3.3883647798742138</v>
      </c>
      <c r="D70" s="596"/>
      <c r="E70" s="630"/>
      <c r="F70" s="640"/>
      <c r="G70" s="630"/>
      <c r="H70" s="628"/>
      <c r="I70" s="597"/>
      <c r="J70" s="630"/>
      <c r="K70" s="640"/>
      <c r="L70" s="630"/>
      <c r="M70" s="628"/>
      <c r="N70" s="597"/>
      <c r="O70" s="630"/>
      <c r="P70" s="640"/>
      <c r="Q70" s="630"/>
      <c r="R70" s="628"/>
      <c r="T70" s="643" t="s">
        <v>356</v>
      </c>
      <c r="U70" s="653">
        <f>IF([3]!'NGX2 LAST'=0,AM70+W70,[3]!'NGX2 LAST')</f>
        <v>3.3170000000000002</v>
      </c>
      <c r="V70" s="655">
        <f>[3]!'NGX2 NET.CHNG'</f>
        <v>1.9E-2</v>
      </c>
      <c r="Z70" s="585" t="s">
        <v>309</v>
      </c>
      <c r="AA70" s="567">
        <v>3.79</v>
      </c>
      <c r="AC70" s="567">
        <f>+AC69</f>
        <v>-0.26400000000000012</v>
      </c>
      <c r="AD70" s="567">
        <f>AVERAGE(AA66:AA70)+AVERAGE(AC66:AC70)</f>
        <v>3.6029999999999998</v>
      </c>
      <c r="AL70" s="653">
        <f>[3]!'NGX2 LAST'</f>
        <v>0</v>
      </c>
      <c r="AM70" s="653">
        <f>[3]!'NGX2 CLS'</f>
        <v>3.3170000000000002</v>
      </c>
      <c r="AN70" s="619"/>
      <c r="AO70" s="655">
        <f>[3]!'NGX2 NET.CHNG'</f>
        <v>1.9E-2</v>
      </c>
    </row>
    <row r="71" spans="1:41" hidden="1" x14ac:dyDescent="0.2">
      <c r="A71" s="563" t="s">
        <v>436</v>
      </c>
      <c r="B71" s="585">
        <f>+'EOL LINKS'!J23</f>
        <v>7.9795597484276728</v>
      </c>
      <c r="D71" s="596"/>
      <c r="E71" s="630"/>
      <c r="F71" s="640"/>
      <c r="G71" s="630"/>
      <c r="H71" s="628"/>
      <c r="I71" s="597"/>
      <c r="J71" s="630"/>
      <c r="K71" s="640"/>
      <c r="L71" s="630"/>
      <c r="M71" s="628"/>
      <c r="N71" s="597"/>
      <c r="O71" s="630"/>
      <c r="P71" s="640"/>
      <c r="Q71" s="630"/>
      <c r="R71" s="628"/>
      <c r="T71" s="643" t="s">
        <v>357</v>
      </c>
      <c r="U71" s="653">
        <f>IF([3]!'NGZ2 LAST'=0,AM71+W71,[3]!'NGZ2 LAST')</f>
        <v>3.4780000000000002</v>
      </c>
      <c r="V71" s="655">
        <f>[3]!'NGZ2 NET.CHNG'</f>
        <v>0.01</v>
      </c>
      <c r="Z71" s="585" t="s">
        <v>350</v>
      </c>
      <c r="AA71" s="567">
        <v>3.56</v>
      </c>
      <c r="AD71" s="567"/>
      <c r="AL71" s="653">
        <f>[3]!'NGZ2 LAST'</f>
        <v>0</v>
      </c>
      <c r="AM71" s="653">
        <f>[3]!'NGZ2 CLS'</f>
        <v>3.4780000000000002</v>
      </c>
      <c r="AN71" s="619"/>
      <c r="AO71" s="655">
        <f>[3]!'NGZ2 NET.CHNG'</f>
        <v>0.01</v>
      </c>
    </row>
    <row r="72" spans="1:41" hidden="1" x14ac:dyDescent="0.2">
      <c r="A72" s="563" t="s">
        <v>439</v>
      </c>
      <c r="B72" s="585">
        <f>+'EOL LINKS'!J24</f>
        <v>3.3765723270440251</v>
      </c>
      <c r="D72" s="585"/>
      <c r="E72" s="630"/>
      <c r="F72" s="640"/>
      <c r="G72" s="630"/>
      <c r="H72" s="628"/>
      <c r="J72" s="630"/>
      <c r="K72" s="640"/>
      <c r="L72" s="630"/>
      <c r="M72" s="628"/>
      <c r="O72" s="630"/>
      <c r="P72" s="640"/>
      <c r="Q72" s="630"/>
      <c r="R72" s="628"/>
      <c r="T72" s="643" t="s">
        <v>294</v>
      </c>
      <c r="U72" s="653">
        <f>AVERAGE(U50:U57)</f>
        <v>1.2224999999999999</v>
      </c>
      <c r="V72" s="578"/>
      <c r="Z72" s="585" t="s">
        <v>351</v>
      </c>
      <c r="AA72" s="567">
        <v>3.56</v>
      </c>
      <c r="AD72" s="567"/>
      <c r="AL72" s="653"/>
      <c r="AM72" s="653"/>
      <c r="AN72" s="619"/>
      <c r="AO72" s="655"/>
    </row>
    <row r="73" spans="1:41" hidden="1" x14ac:dyDescent="0.2">
      <c r="A73" s="563" t="s">
        <v>440</v>
      </c>
      <c r="B73" s="585">
        <f>+'EOL LINKS'!J25</f>
        <v>2.7769230769230768</v>
      </c>
      <c r="E73" s="630"/>
      <c r="F73" s="640"/>
      <c r="G73" s="630"/>
      <c r="H73" s="628"/>
      <c r="J73" s="630"/>
      <c r="K73" s="640"/>
      <c r="L73" s="630"/>
      <c r="M73" s="628"/>
      <c r="O73" s="630"/>
      <c r="P73" s="640"/>
      <c r="Q73" s="630"/>
      <c r="R73" s="628"/>
      <c r="T73" s="643" t="s">
        <v>295</v>
      </c>
      <c r="U73" s="703">
        <f>AVERAGE(U58:U62)</f>
        <v>3.0529999999999999</v>
      </c>
      <c r="Z73" s="585" t="s">
        <v>352</v>
      </c>
      <c r="AA73" s="567">
        <v>3.61</v>
      </c>
      <c r="AD73" s="567"/>
      <c r="AL73" s="653"/>
      <c r="AM73" s="653"/>
      <c r="AN73" s="619"/>
      <c r="AO73" s="655"/>
    </row>
    <row r="74" spans="1:41" hidden="1" x14ac:dyDescent="0.2">
      <c r="E74" s="630"/>
      <c r="F74" s="640"/>
      <c r="G74" s="630"/>
      <c r="H74" s="628"/>
      <c r="J74" s="630"/>
      <c r="K74" s="640"/>
      <c r="L74" s="630"/>
      <c r="M74" s="628"/>
      <c r="O74" s="630"/>
      <c r="P74" s="640"/>
      <c r="Q74" s="630"/>
      <c r="R74" s="628"/>
      <c r="T74" s="643" t="s">
        <v>441</v>
      </c>
      <c r="U74" s="653">
        <f>IF([3]!'NGF3 LAST'=0,AM74+W74,[3]!'NGF3 LAST')</f>
        <v>0</v>
      </c>
      <c r="V74" s="655">
        <f>[3]!'NGH2 NET.CHNG'</f>
        <v>0</v>
      </c>
      <c r="Z74" s="585" t="s">
        <v>353</v>
      </c>
      <c r="AA74" s="567">
        <v>3.66</v>
      </c>
      <c r="AD74" s="567"/>
      <c r="AL74" s="653"/>
      <c r="AM74" s="653"/>
      <c r="AN74" s="619"/>
      <c r="AO74" s="655"/>
    </row>
    <row r="75" spans="1:41" hidden="1" x14ac:dyDescent="0.2">
      <c r="E75" s="630"/>
      <c r="F75" s="640"/>
      <c r="G75" s="630"/>
      <c r="H75" s="628"/>
      <c r="J75" s="630"/>
      <c r="K75" s="640"/>
      <c r="L75" s="630"/>
      <c r="M75" s="628"/>
      <c r="O75" s="630"/>
      <c r="P75" s="640"/>
      <c r="Q75" s="630"/>
      <c r="R75" s="628"/>
      <c r="T75" s="643" t="s">
        <v>442</v>
      </c>
      <c r="U75" s="653" t="e">
        <f>IF([3]!'NGG3 LAST'=0,AM75+W75,[3]!'NGG3 LAST')</f>
        <v>#DIV/0!</v>
      </c>
      <c r="V75" s="655">
        <f>[3]!'NGH2 NET.CHNG'</f>
        <v>0</v>
      </c>
      <c r="Z75" s="585" t="s">
        <v>96</v>
      </c>
      <c r="AA75" s="567">
        <v>3.6930000000000001</v>
      </c>
      <c r="AD75" s="567"/>
      <c r="AL75" s="653" t="e">
        <f>AVERAGE(AL48:AL49)</f>
        <v>#DIV/0!</v>
      </c>
      <c r="AM75" s="653" t="e">
        <f>AVERAGE(AM48:AM49)</f>
        <v>#DIV/0!</v>
      </c>
      <c r="AO75" s="578"/>
    </row>
    <row r="76" spans="1:41" x14ac:dyDescent="0.2">
      <c r="D76" s="577" t="s">
        <v>43</v>
      </c>
      <c r="E76" s="630"/>
      <c r="F76" s="640"/>
      <c r="G76" s="630"/>
      <c r="H76" s="628"/>
      <c r="I76" s="577" t="s">
        <v>43</v>
      </c>
      <c r="J76" s="630"/>
      <c r="K76" s="640"/>
      <c r="L76" s="630"/>
      <c r="M76" s="628"/>
      <c r="N76" s="577" t="s">
        <v>43</v>
      </c>
      <c r="O76" s="630"/>
      <c r="P76" s="640"/>
      <c r="Q76" s="630"/>
      <c r="R76" s="628"/>
      <c r="T76" s="643" t="s">
        <v>443</v>
      </c>
      <c r="U76" s="653">
        <f>IF([3]!'NGH3 LAST'=0,AM76+W76,[3]!'NGH3 LAST')</f>
        <v>2.44</v>
      </c>
      <c r="V76" s="655">
        <f>[3]!'NGH2 NET.CHNG'</f>
        <v>0</v>
      </c>
      <c r="Z76" s="585" t="s">
        <v>354</v>
      </c>
      <c r="AA76" s="567">
        <v>3.7149999999999999</v>
      </c>
      <c r="AD76" s="567"/>
      <c r="AL76" s="653">
        <f>AVERAGE(AL50:AL57)</f>
        <v>2.4449999999999998</v>
      </c>
      <c r="AM76" s="653">
        <f>AVERAGE(AM50:AM57)</f>
        <v>2.44</v>
      </c>
      <c r="AO76" s="578"/>
    </row>
    <row r="77" spans="1:41" x14ac:dyDescent="0.2">
      <c r="D77" s="633">
        <f>+E77+G77</f>
        <v>2E-12</v>
      </c>
      <c r="E77" s="631">
        <f>SUM(E65:E76)*30+0.000000000001</f>
        <v>9.9999999999999998E-13</v>
      </c>
      <c r="F77" s="641">
        <f>+E191</f>
        <v>0</v>
      </c>
      <c r="G77" s="631">
        <f>SUM(G65:G76)*30+0.000000000001</f>
        <v>9.9999999999999998E-13</v>
      </c>
      <c r="H77" s="629">
        <f>+G191</f>
        <v>0</v>
      </c>
      <c r="I77" s="633">
        <f>+J77+L77</f>
        <v>2E-12</v>
      </c>
      <c r="J77" s="631">
        <f>SUM(J65:J76)*31+0.000000000001</f>
        <v>9.9999999999999998E-13</v>
      </c>
      <c r="K77" s="641">
        <f>+J191</f>
        <v>0</v>
      </c>
      <c r="L77" s="631">
        <f>SUM(L65:L76)*31+0.000000000001</f>
        <v>9.9999999999999998E-13</v>
      </c>
      <c r="M77" s="629">
        <f>+L191</f>
        <v>0</v>
      </c>
      <c r="N77" s="633">
        <f>+O77+Q77</f>
        <v>2E-12</v>
      </c>
      <c r="O77" s="631">
        <f>SUM(O65:O76)*30+0.000000000001</f>
        <v>9.9999999999999998E-13</v>
      </c>
      <c r="P77" s="641">
        <f>+O191</f>
        <v>0</v>
      </c>
      <c r="Q77" s="631">
        <f>SUM(Q65:Q76)*30+0.000000000001</f>
        <v>9.9999999999999998E-13</v>
      </c>
      <c r="R77" s="629">
        <f>+Q191</f>
        <v>0</v>
      </c>
      <c r="T77" s="643" t="s">
        <v>444</v>
      </c>
      <c r="U77" s="653">
        <f>IF([3]!'NGJ3 LAST'=0,AM77+W77,[3]!'NGJ3 LAST')</f>
        <v>0</v>
      </c>
      <c r="V77" s="655">
        <f>[3]!'NGH2 NET.CHNG'</f>
        <v>0</v>
      </c>
      <c r="Z77" s="585" t="s">
        <v>355</v>
      </c>
      <c r="AA77" s="567">
        <v>3.7549999999999999</v>
      </c>
      <c r="AD77" s="567"/>
    </row>
    <row r="78" spans="1:41" x14ac:dyDescent="0.2">
      <c r="D78" s="644">
        <f>SUM(E78:H78)</f>
        <v>4.6899999999999996E-12</v>
      </c>
      <c r="E78" s="637">
        <f>(D65-F77)*E77</f>
        <v>2.3449999999999998E-12</v>
      </c>
      <c r="F78" s="597"/>
      <c r="G78" s="596">
        <f>(D65-H77)*G77</f>
        <v>2.3449999999999998E-12</v>
      </c>
      <c r="H78" s="597"/>
      <c r="I78" s="644">
        <f>SUM(J78:M78)</f>
        <v>4.8899999999999996E-12</v>
      </c>
      <c r="J78" s="637">
        <f>(I65-K77)*J77</f>
        <v>2.4449999999999998E-12</v>
      </c>
      <c r="K78" s="597"/>
      <c r="L78" s="596">
        <f>(I65-M77)*L77</f>
        <v>2.4449999999999998E-12</v>
      </c>
      <c r="M78" s="597"/>
      <c r="N78" s="644">
        <f>SUM(O78:R78)</f>
        <v>5.4699999999999999E-12</v>
      </c>
      <c r="O78" s="637">
        <f>(N65-P77)*O77</f>
        <v>2.735E-12</v>
      </c>
      <c r="P78" s="597"/>
      <c r="Q78" s="596">
        <f>(N65-R77)*Q77</f>
        <v>2.735E-12</v>
      </c>
      <c r="R78" s="597"/>
      <c r="T78" s="643" t="s">
        <v>445</v>
      </c>
      <c r="U78" s="653">
        <f>IF([3]!'NGK3 LAST'=0,AM78+W78,[3]!'NGK3 LAST')</f>
        <v>0</v>
      </c>
      <c r="V78" s="655">
        <f>[3]!'NGH2 NET.CHNG'</f>
        <v>0</v>
      </c>
      <c r="Z78" s="585" t="s">
        <v>356</v>
      </c>
      <c r="AA78" s="567">
        <v>3.919</v>
      </c>
      <c r="AD78" s="567"/>
    </row>
    <row r="79" spans="1:41" x14ac:dyDescent="0.2">
      <c r="D79" s="615"/>
      <c r="E79" s="596"/>
      <c r="F79" s="635"/>
      <c r="G79" s="596"/>
      <c r="H79" s="635"/>
      <c r="I79" s="615"/>
      <c r="J79" s="596"/>
      <c r="K79" s="635"/>
      <c r="L79" s="596"/>
      <c r="M79" s="635"/>
      <c r="N79" s="615"/>
      <c r="O79" s="596"/>
      <c r="P79" s="635"/>
      <c r="Q79" s="596"/>
      <c r="R79" s="635"/>
      <c r="T79" s="643" t="s">
        <v>446</v>
      </c>
      <c r="U79" s="653">
        <f>IF([3]!'NGM3 LAST'=0,AM79+W79,[3]!'NGM3 LAST')</f>
        <v>0</v>
      </c>
      <c r="V79" s="655">
        <f>[3]!'NGH2 NET.CHNG'</f>
        <v>0</v>
      </c>
      <c r="Z79" s="585" t="s">
        <v>357</v>
      </c>
      <c r="AA79" s="567">
        <v>4.0880000000000001</v>
      </c>
      <c r="AD79" s="567"/>
    </row>
    <row r="80" spans="1:41" x14ac:dyDescent="0.2">
      <c r="D80" s="615"/>
      <c r="E80" s="596"/>
      <c r="F80" s="635"/>
      <c r="G80" s="596"/>
      <c r="H80" s="635"/>
      <c r="I80" s="615"/>
      <c r="J80" s="596"/>
      <c r="K80" s="635"/>
      <c r="L80" s="596"/>
      <c r="M80" s="635"/>
      <c r="N80" s="615"/>
      <c r="O80" s="596"/>
      <c r="P80" s="635"/>
      <c r="Q80" s="596"/>
      <c r="R80" s="635"/>
      <c r="T80" s="643" t="s">
        <v>447</v>
      </c>
      <c r="U80" s="653">
        <f>IF([3]!'NGN3 LAST'=0,AM80+W80,[3]!'NGN3 LAST')</f>
        <v>0</v>
      </c>
      <c r="V80" s="655">
        <f>[3]!'NGH2 NET.CHNG'</f>
        <v>0</v>
      </c>
      <c r="AA80" s="567"/>
      <c r="AD80" s="567"/>
    </row>
    <row r="81" spans="4:30" x14ac:dyDescent="0.2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3" t="s">
        <v>97</v>
      </c>
      <c r="U81" s="653">
        <f>IF([3]!'NGQ3 LAST'=0,AM81+W81,[3]!'NGQ3 LAST')</f>
        <v>0</v>
      </c>
      <c r="V81" s="655">
        <f>[3]!'NGH2 NET.CHNG'</f>
        <v>0</v>
      </c>
      <c r="AA81" s="567"/>
      <c r="AD81" s="567"/>
    </row>
    <row r="82" spans="4:30" x14ac:dyDescent="0.2">
      <c r="D82" s="616" t="s">
        <v>312</v>
      </c>
      <c r="E82" s="625"/>
      <c r="F82" s="626"/>
      <c r="G82" s="627"/>
      <c r="H82" s="626"/>
      <c r="I82" s="624" t="s">
        <v>488</v>
      </c>
      <c r="J82" s="625" t="s">
        <v>296</v>
      </c>
      <c r="K82" s="626"/>
      <c r="L82" s="627" t="s">
        <v>297</v>
      </c>
      <c r="M82" s="626"/>
      <c r="N82" s="624" t="s">
        <v>329</v>
      </c>
      <c r="O82" s="625" t="s">
        <v>296</v>
      </c>
      <c r="P82" s="626"/>
      <c r="Q82" s="627" t="s">
        <v>297</v>
      </c>
      <c r="R82" s="626"/>
      <c r="T82" s="643" t="s">
        <v>448</v>
      </c>
      <c r="U82" s="653">
        <f>IF([3]!'NGU3 LAST'=0,AM82+W82,[3]!'NGU3 LAST')</f>
        <v>0</v>
      </c>
      <c r="V82" s="655">
        <f>[3]!'NGH2 NET.CHNG'</f>
        <v>0</v>
      </c>
    </row>
    <row r="83" spans="4:30" x14ac:dyDescent="0.2">
      <c r="D83" s="636">
        <f>+U73</f>
        <v>3.0529999999999999</v>
      </c>
      <c r="E83" s="630"/>
      <c r="F83" s="640"/>
      <c r="G83" s="630"/>
      <c r="H83" s="628"/>
      <c r="I83" s="636">
        <f>AVERAGE(U63:U69)</f>
        <v>3.097142857142857</v>
      </c>
      <c r="J83" s="630"/>
      <c r="K83" s="640"/>
      <c r="L83" s="630">
        <v>-1</v>
      </c>
      <c r="M83" s="628">
        <v>3.07</v>
      </c>
      <c r="N83" s="636">
        <f>+U59</f>
        <v>3.05</v>
      </c>
      <c r="O83" s="630"/>
      <c r="P83" s="640"/>
      <c r="Q83" s="630"/>
      <c r="R83" s="628"/>
      <c r="T83" s="643" t="s">
        <v>449</v>
      </c>
      <c r="U83" s="653">
        <f>IF([3]!'NGV3 LAST'=0,AM83+W83,[3]!'NGV3 LAST')</f>
        <v>0</v>
      </c>
      <c r="V83" s="655">
        <f>[3]!'NGH2 NET.CHNG'</f>
        <v>0</v>
      </c>
    </row>
    <row r="84" spans="4:30" x14ac:dyDescent="0.2">
      <c r="D84" s="597"/>
      <c r="E84" s="630"/>
      <c r="F84" s="640"/>
      <c r="G84" s="630"/>
      <c r="H84" s="628"/>
      <c r="I84" s="597"/>
      <c r="J84" s="630"/>
      <c r="K84" s="640"/>
      <c r="L84" s="630">
        <v>-0.5</v>
      </c>
      <c r="M84" s="628">
        <v>3.12</v>
      </c>
      <c r="N84" s="597"/>
      <c r="O84" s="630"/>
      <c r="P84" s="640"/>
      <c r="Q84" s="630"/>
      <c r="R84" s="628"/>
      <c r="T84" s="643" t="s">
        <v>450</v>
      </c>
      <c r="U84" s="653">
        <f>IF([3]!'NGX3 LAST'=0,AM84+W84,[3]!'NGX3 LAST')</f>
        <v>0</v>
      </c>
      <c r="V84" s="655">
        <f>[3]!'NGH2 NET.CHNG'</f>
        <v>0</v>
      </c>
    </row>
    <row r="85" spans="4:30" x14ac:dyDescent="0.2">
      <c r="D85" s="597"/>
      <c r="E85" s="835"/>
      <c r="F85" s="1026"/>
      <c r="G85" s="630"/>
      <c r="H85" s="628"/>
      <c r="I85" s="597"/>
      <c r="J85" s="835"/>
      <c r="K85" s="1026"/>
      <c r="L85" s="630"/>
      <c r="M85" s="628"/>
      <c r="N85" s="597"/>
      <c r="O85" s="835"/>
      <c r="P85" s="1026"/>
      <c r="Q85" s="630"/>
      <c r="R85" s="628"/>
      <c r="T85" s="643" t="s">
        <v>451</v>
      </c>
      <c r="U85" s="653">
        <f>IF([3]!'NGZ3 LAST'=0,AM85+W85,[3]!'NGZ3 LAST')</f>
        <v>0</v>
      </c>
      <c r="V85" s="655">
        <f>[3]!'NGH2 NET.CHNG'</f>
        <v>0</v>
      </c>
    </row>
    <row r="86" spans="4:30" hidden="1" x14ac:dyDescent="0.2">
      <c r="D86" s="597"/>
      <c r="E86" s="630"/>
      <c r="F86" s="640"/>
      <c r="G86" s="630"/>
      <c r="H86" s="628"/>
      <c r="I86" s="597"/>
      <c r="J86" s="630"/>
      <c r="K86" s="640"/>
      <c r="L86" s="630"/>
      <c r="M86" s="628"/>
      <c r="N86" s="597"/>
      <c r="O86" s="630"/>
      <c r="P86" s="640"/>
      <c r="Q86" s="630"/>
      <c r="R86" s="628"/>
      <c r="T86" s="643"/>
      <c r="U86" s="653"/>
      <c r="V86" s="655"/>
    </row>
    <row r="87" spans="4:30" x14ac:dyDescent="0.2">
      <c r="D87" s="597"/>
      <c r="E87" s="630"/>
      <c r="F87" s="640"/>
      <c r="G87" s="630"/>
      <c r="H87" s="628"/>
      <c r="I87" s="597"/>
      <c r="J87" s="630"/>
      <c r="K87" s="640"/>
      <c r="L87" s="630"/>
      <c r="M87" s="628"/>
      <c r="N87" s="597"/>
      <c r="O87" s="630"/>
      <c r="P87" s="640"/>
      <c r="Q87" s="630"/>
      <c r="R87" s="628"/>
      <c r="T87" s="643"/>
      <c r="U87" s="653"/>
      <c r="V87" s="655"/>
    </row>
    <row r="88" spans="4:30" hidden="1" x14ac:dyDescent="0.2">
      <c r="D88" s="597"/>
      <c r="E88" s="630"/>
      <c r="F88" s="640"/>
      <c r="G88" s="630"/>
      <c r="H88" s="628"/>
      <c r="I88" s="597"/>
      <c r="J88" s="630"/>
      <c r="K88" s="640"/>
      <c r="L88" s="630"/>
      <c r="M88" s="628"/>
      <c r="N88" s="597"/>
      <c r="O88" s="630"/>
      <c r="P88" s="640"/>
      <c r="Q88" s="630"/>
      <c r="R88" s="628"/>
    </row>
    <row r="89" spans="4:30" hidden="1" x14ac:dyDescent="0.2">
      <c r="D89" s="597"/>
      <c r="E89" s="630"/>
      <c r="F89" s="640"/>
      <c r="G89" s="630"/>
      <c r="H89" s="628"/>
      <c r="I89" s="597"/>
      <c r="J89" s="630"/>
      <c r="K89" s="640"/>
      <c r="L89" s="630"/>
      <c r="M89" s="628"/>
      <c r="N89" s="597"/>
      <c r="O89" s="630"/>
      <c r="P89" s="640"/>
      <c r="Q89" s="630"/>
      <c r="R89" s="628"/>
    </row>
    <row r="90" spans="4:30" hidden="1" x14ac:dyDescent="0.2">
      <c r="E90" s="630"/>
      <c r="F90" s="640"/>
      <c r="G90" s="630"/>
      <c r="H90" s="628"/>
      <c r="J90" s="630"/>
      <c r="K90" s="640"/>
      <c r="L90" s="630"/>
      <c r="M90" s="628"/>
      <c r="O90" s="630"/>
      <c r="P90" s="640"/>
      <c r="Q90" s="630"/>
      <c r="R90" s="628"/>
    </row>
    <row r="91" spans="4:30" hidden="1" x14ac:dyDescent="0.2">
      <c r="E91" s="630"/>
      <c r="F91" s="640"/>
      <c r="G91" s="630"/>
      <c r="H91" s="628"/>
      <c r="J91" s="630"/>
      <c r="K91" s="640"/>
      <c r="L91" s="630"/>
      <c r="M91" s="628"/>
      <c r="O91" s="630"/>
      <c r="P91" s="640"/>
      <c r="Q91" s="630"/>
      <c r="R91" s="628"/>
    </row>
    <row r="92" spans="4:30" hidden="1" x14ac:dyDescent="0.2">
      <c r="E92" s="630"/>
      <c r="F92" s="640"/>
      <c r="G92" s="630"/>
      <c r="H92" s="628"/>
      <c r="J92" s="630"/>
      <c r="K92" s="640"/>
      <c r="L92" s="630"/>
      <c r="M92" s="628"/>
      <c r="O92" s="630"/>
      <c r="P92" s="640"/>
      <c r="Q92" s="630"/>
      <c r="R92" s="628"/>
    </row>
    <row r="93" spans="4:30" hidden="1" x14ac:dyDescent="0.2">
      <c r="E93" s="630"/>
      <c r="F93" s="640"/>
      <c r="G93" s="630"/>
      <c r="H93" s="628"/>
      <c r="J93" s="630"/>
      <c r="K93" s="640"/>
      <c r="L93" s="630"/>
      <c r="M93" s="628"/>
      <c r="O93" s="630"/>
      <c r="P93" s="640"/>
      <c r="Q93" s="630"/>
      <c r="R93" s="628"/>
    </row>
    <row r="94" spans="4:30" x14ac:dyDescent="0.2">
      <c r="D94" s="577" t="s">
        <v>43</v>
      </c>
      <c r="E94" s="630"/>
      <c r="F94" s="640"/>
      <c r="G94" s="630"/>
      <c r="H94" s="628"/>
      <c r="I94" s="577" t="s">
        <v>43</v>
      </c>
      <c r="J94" s="630"/>
      <c r="K94" s="640"/>
      <c r="L94" s="630"/>
      <c r="M94" s="628"/>
      <c r="N94" s="577" t="s">
        <v>43</v>
      </c>
      <c r="O94" s="630"/>
      <c r="P94" s="640"/>
      <c r="Q94" s="630"/>
      <c r="R94" s="628"/>
    </row>
    <row r="95" spans="4:30" x14ac:dyDescent="0.2">
      <c r="D95" s="633">
        <f>+E95+G95</f>
        <v>2E-12</v>
      </c>
      <c r="E95" s="631">
        <f>SUM(E83:E94)*151+0.000000000001</f>
        <v>9.9999999999999998E-13</v>
      </c>
      <c r="F95" s="641">
        <f>+E206</f>
        <v>0</v>
      </c>
      <c r="G95" s="631">
        <f>SUM(G83:G94)*151+0.000000000001</f>
        <v>9.9999999999999998E-13</v>
      </c>
      <c r="H95" s="629">
        <f>+G206</f>
        <v>0</v>
      </c>
      <c r="I95" s="633">
        <f>+J95+L95</f>
        <v>-299.99999999999795</v>
      </c>
      <c r="J95" s="631">
        <f>SUM(J83:J94)*200+0.000000000001</f>
        <v>9.9999999999999998E-13</v>
      </c>
      <c r="K95" s="641">
        <f>+J206</f>
        <v>0</v>
      </c>
      <c r="L95" s="631">
        <f>SUM(L83:L94)*200+0.000000000001</f>
        <v>-299.99999999999898</v>
      </c>
      <c r="M95" s="629">
        <f>+L206</f>
        <v>3.0866666666666771</v>
      </c>
      <c r="N95" s="633">
        <f>+O95+Q95</f>
        <v>2E-12</v>
      </c>
      <c r="O95" s="631">
        <f>SUM(O83:O94)*31+0.000000000001</f>
        <v>9.9999999999999998E-13</v>
      </c>
      <c r="P95" s="641">
        <f>+O206</f>
        <v>0</v>
      </c>
      <c r="Q95" s="631">
        <f>SUM(Q83:Q94)*31+0.000000000001</f>
        <v>9.9999999999999998E-13</v>
      </c>
      <c r="R95" s="629">
        <f>+Q206</f>
        <v>0</v>
      </c>
    </row>
    <row r="96" spans="4:30" x14ac:dyDescent="0.2">
      <c r="D96" s="644">
        <f>SUM(E96:H96)</f>
        <v>6.106E-12</v>
      </c>
      <c r="E96" s="637">
        <f>(D83-F95)*E95</f>
        <v>3.053E-12</v>
      </c>
      <c r="F96" s="597"/>
      <c r="G96" s="596">
        <f>(D83-H95)*G95</f>
        <v>3.053E-12</v>
      </c>
      <c r="H96" s="597"/>
      <c r="I96" s="644">
        <f>SUM(J96:M96)</f>
        <v>-3.1428571428508532</v>
      </c>
      <c r="J96" s="637">
        <f>(I83-K95)*J95</f>
        <v>3.0971428571428568E-12</v>
      </c>
      <c r="K96" s="597"/>
      <c r="L96" s="596">
        <f>(I83-M95)*L95</f>
        <v>-3.1428571428539502</v>
      </c>
      <c r="M96" s="597"/>
      <c r="N96" s="644">
        <f>SUM(O96:R96)</f>
        <v>6.0999999999999995E-12</v>
      </c>
      <c r="O96" s="637">
        <f>(N83-P95)*O95</f>
        <v>3.0499999999999997E-12</v>
      </c>
      <c r="P96" s="597"/>
      <c r="Q96" s="596">
        <f>(N83-R95)*Q95</f>
        <v>3.0499999999999997E-12</v>
      </c>
      <c r="R96" s="597"/>
    </row>
    <row r="103" spans="1:18" x14ac:dyDescent="0.2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-7.5921401977539063</v>
      </c>
      <c r="O119" s="584"/>
      <c r="P119" s="584"/>
      <c r="Q119" s="584"/>
      <c r="R119" s="584">
        <v>45.140927782245711</v>
      </c>
    </row>
    <row r="120" spans="1:18" x14ac:dyDescent="0.2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-7.5953598022460938</v>
      </c>
      <c r="O132" s="584"/>
      <c r="P132" s="584"/>
      <c r="Q132" s="584"/>
      <c r="R132" s="584"/>
    </row>
    <row r="133" spans="1:18" x14ac:dyDescent="0.2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">
      <c r="D178" s="624" t="s">
        <v>87</v>
      </c>
      <c r="E178" s="625" t="s">
        <v>296</v>
      </c>
      <c r="F178" s="626"/>
      <c r="G178" s="627" t="s">
        <v>297</v>
      </c>
      <c r="H178" s="626"/>
      <c r="I178" s="624" t="s">
        <v>256</v>
      </c>
      <c r="J178" s="625" t="s">
        <v>296</v>
      </c>
      <c r="K178" s="626"/>
      <c r="L178" s="627" t="s">
        <v>297</v>
      </c>
      <c r="M178" s="626"/>
      <c r="N178" s="624" t="s">
        <v>329</v>
      </c>
      <c r="O178" s="625" t="s">
        <v>296</v>
      </c>
      <c r="P178" s="626"/>
      <c r="Q178" s="627" t="s">
        <v>297</v>
      </c>
      <c r="R178" s="626"/>
    </row>
    <row r="179" spans="4:18" x14ac:dyDescent="0.2">
      <c r="D179" s="597"/>
      <c r="E179" s="630"/>
      <c r="F179" s="628">
        <f>+E65*F65</f>
        <v>0</v>
      </c>
      <c r="G179" s="630"/>
      <c r="H179" s="628">
        <f>G65*H65</f>
        <v>0</v>
      </c>
      <c r="I179" s="597"/>
      <c r="J179" s="630"/>
      <c r="K179" s="628">
        <f>+J65*K65</f>
        <v>0</v>
      </c>
      <c r="L179" s="630"/>
      <c r="M179" s="628">
        <f>+L65*M65</f>
        <v>0</v>
      </c>
      <c r="N179" s="597"/>
      <c r="O179" s="630"/>
      <c r="P179" s="628">
        <f>+O65*P65</f>
        <v>0</v>
      </c>
      <c r="Q179" s="630"/>
      <c r="R179" s="628">
        <f>+Q65*R65</f>
        <v>0</v>
      </c>
    </row>
    <row r="180" spans="4:18" x14ac:dyDescent="0.2">
      <c r="D180" s="597"/>
      <c r="E180" s="630"/>
      <c r="F180" s="628">
        <f t="shared" ref="F180:F190" si="14">+E66*F66</f>
        <v>0</v>
      </c>
      <c r="G180" s="630"/>
      <c r="H180" s="628">
        <f t="shared" ref="H180:H190" si="15">+G66*H66</f>
        <v>0</v>
      </c>
      <c r="I180" s="597"/>
      <c r="J180" s="630"/>
      <c r="K180" s="628">
        <f t="shared" ref="K180:K190" si="16">+J66*K66</f>
        <v>0</v>
      </c>
      <c r="L180" s="630"/>
      <c r="M180" s="628">
        <f t="shared" ref="M180:M190" si="17">+L66*M66</f>
        <v>0</v>
      </c>
      <c r="N180" s="597"/>
      <c r="O180" s="630"/>
      <c r="P180" s="628">
        <f t="shared" ref="P180:P190" si="18">+O66*P66</f>
        <v>0</v>
      </c>
      <c r="Q180" s="630"/>
      <c r="R180" s="628">
        <f t="shared" ref="R180:R190" si="19">+Q66*R66</f>
        <v>0</v>
      </c>
    </row>
    <row r="181" spans="4:18" x14ac:dyDescent="0.2">
      <c r="D181" s="597"/>
      <c r="E181" s="630"/>
      <c r="F181" s="628">
        <f t="shared" si="14"/>
        <v>0</v>
      </c>
      <c r="G181" s="630"/>
      <c r="H181" s="628">
        <f t="shared" si="15"/>
        <v>0</v>
      </c>
      <c r="I181" s="597"/>
      <c r="J181" s="630"/>
      <c r="K181" s="628">
        <f t="shared" si="16"/>
        <v>0</v>
      </c>
      <c r="L181" s="630"/>
      <c r="M181" s="628">
        <f t="shared" si="17"/>
        <v>0</v>
      </c>
      <c r="N181" s="597"/>
      <c r="O181" s="630"/>
      <c r="P181" s="628">
        <f t="shared" si="18"/>
        <v>0</v>
      </c>
      <c r="Q181" s="630"/>
      <c r="R181" s="628">
        <f t="shared" si="19"/>
        <v>0</v>
      </c>
    </row>
    <row r="182" spans="4:18" x14ac:dyDescent="0.2">
      <c r="D182" s="597"/>
      <c r="E182" s="630"/>
      <c r="F182" s="628">
        <f t="shared" si="14"/>
        <v>0</v>
      </c>
      <c r="G182" s="630"/>
      <c r="H182" s="628">
        <f t="shared" si="15"/>
        <v>0</v>
      </c>
      <c r="I182" s="597"/>
      <c r="J182" s="630"/>
      <c r="K182" s="628">
        <f t="shared" si="16"/>
        <v>0</v>
      </c>
      <c r="L182" s="630"/>
      <c r="M182" s="628">
        <f t="shared" si="17"/>
        <v>0</v>
      </c>
      <c r="N182" s="597"/>
      <c r="O182" s="630"/>
      <c r="P182" s="628">
        <f t="shared" si="18"/>
        <v>0</v>
      </c>
      <c r="Q182" s="630"/>
      <c r="R182" s="628">
        <f t="shared" si="19"/>
        <v>0</v>
      </c>
    </row>
    <row r="183" spans="4:18" x14ac:dyDescent="0.2">
      <c r="D183" s="597"/>
      <c r="E183" s="630"/>
      <c r="F183" s="628">
        <f t="shared" si="14"/>
        <v>0</v>
      </c>
      <c r="G183" s="630"/>
      <c r="H183" s="628">
        <f t="shared" si="15"/>
        <v>0</v>
      </c>
      <c r="I183" s="597"/>
      <c r="J183" s="630"/>
      <c r="K183" s="628">
        <f t="shared" si="16"/>
        <v>0</v>
      </c>
      <c r="L183" s="630"/>
      <c r="M183" s="628">
        <f t="shared" si="17"/>
        <v>0</v>
      </c>
      <c r="N183" s="597"/>
      <c r="O183" s="630"/>
      <c r="P183" s="628">
        <f t="shared" si="18"/>
        <v>0</v>
      </c>
      <c r="Q183" s="630"/>
      <c r="R183" s="628">
        <f t="shared" si="19"/>
        <v>0</v>
      </c>
    </row>
    <row r="184" spans="4:18" x14ac:dyDescent="0.2">
      <c r="D184" s="597"/>
      <c r="E184" s="630"/>
      <c r="F184" s="628">
        <f t="shared" si="14"/>
        <v>0</v>
      </c>
      <c r="G184" s="630"/>
      <c r="H184" s="628">
        <f t="shared" si="15"/>
        <v>0</v>
      </c>
      <c r="I184" s="597"/>
      <c r="J184" s="630"/>
      <c r="K184" s="628">
        <f t="shared" si="16"/>
        <v>0</v>
      </c>
      <c r="L184" s="630"/>
      <c r="M184" s="628">
        <f t="shared" si="17"/>
        <v>0</v>
      </c>
      <c r="N184" s="597"/>
      <c r="O184" s="630"/>
      <c r="P184" s="628">
        <f t="shared" si="18"/>
        <v>0</v>
      </c>
      <c r="Q184" s="630"/>
      <c r="R184" s="628">
        <f t="shared" si="19"/>
        <v>0</v>
      </c>
    </row>
    <row r="185" spans="4:18" x14ac:dyDescent="0.2">
      <c r="D185" s="597"/>
      <c r="E185" s="630"/>
      <c r="F185" s="628">
        <f t="shared" si="14"/>
        <v>0</v>
      </c>
      <c r="G185" s="630"/>
      <c r="H185" s="628">
        <f t="shared" si="15"/>
        <v>0</v>
      </c>
      <c r="I185" s="597"/>
      <c r="J185" s="630"/>
      <c r="K185" s="628">
        <f t="shared" si="16"/>
        <v>0</v>
      </c>
      <c r="L185" s="630"/>
      <c r="M185" s="628">
        <f t="shared" si="17"/>
        <v>0</v>
      </c>
      <c r="N185" s="597"/>
      <c r="O185" s="630"/>
      <c r="P185" s="628">
        <f t="shared" si="18"/>
        <v>0</v>
      </c>
      <c r="Q185" s="630"/>
      <c r="R185" s="628">
        <f t="shared" si="19"/>
        <v>0</v>
      </c>
    </row>
    <row r="186" spans="4:18" x14ac:dyDescent="0.2">
      <c r="E186" s="630"/>
      <c r="F186" s="628">
        <f t="shared" si="14"/>
        <v>0</v>
      </c>
      <c r="G186" s="630"/>
      <c r="H186" s="628">
        <f t="shared" si="15"/>
        <v>0</v>
      </c>
      <c r="J186" s="630"/>
      <c r="K186" s="628">
        <f t="shared" si="16"/>
        <v>0</v>
      </c>
      <c r="L186" s="630"/>
      <c r="M186" s="628">
        <f t="shared" si="17"/>
        <v>0</v>
      </c>
      <c r="O186" s="630"/>
      <c r="P186" s="628">
        <f t="shared" si="18"/>
        <v>0</v>
      </c>
      <c r="Q186" s="630"/>
      <c r="R186" s="628">
        <f t="shared" si="19"/>
        <v>0</v>
      </c>
    </row>
    <row r="187" spans="4:18" x14ac:dyDescent="0.2">
      <c r="E187" s="630"/>
      <c r="F187" s="628">
        <f t="shared" si="14"/>
        <v>0</v>
      </c>
      <c r="G187" s="630"/>
      <c r="H187" s="628">
        <f t="shared" si="15"/>
        <v>0</v>
      </c>
      <c r="J187" s="630"/>
      <c r="K187" s="628">
        <f t="shared" si="16"/>
        <v>0</v>
      </c>
      <c r="L187" s="630"/>
      <c r="M187" s="628">
        <f t="shared" si="17"/>
        <v>0</v>
      </c>
      <c r="O187" s="630"/>
      <c r="P187" s="628">
        <f t="shared" si="18"/>
        <v>0</v>
      </c>
      <c r="Q187" s="630"/>
      <c r="R187" s="628">
        <f t="shared" si="19"/>
        <v>0</v>
      </c>
    </row>
    <row r="188" spans="4:18" x14ac:dyDescent="0.2">
      <c r="E188" s="630"/>
      <c r="F188" s="628">
        <f t="shared" si="14"/>
        <v>0</v>
      </c>
      <c r="G188" s="630"/>
      <c r="H188" s="628">
        <f t="shared" si="15"/>
        <v>0</v>
      </c>
      <c r="J188" s="630"/>
      <c r="K188" s="628">
        <f t="shared" si="16"/>
        <v>0</v>
      </c>
      <c r="L188" s="630"/>
      <c r="M188" s="628">
        <f t="shared" si="17"/>
        <v>0</v>
      </c>
      <c r="O188" s="630"/>
      <c r="P188" s="628">
        <f t="shared" si="18"/>
        <v>0</v>
      </c>
      <c r="Q188" s="630"/>
      <c r="R188" s="628">
        <f t="shared" si="19"/>
        <v>0</v>
      </c>
    </row>
    <row r="189" spans="4:18" x14ac:dyDescent="0.2">
      <c r="E189" s="630"/>
      <c r="F189" s="628">
        <f t="shared" si="14"/>
        <v>0</v>
      </c>
      <c r="G189" s="630"/>
      <c r="H189" s="628">
        <f t="shared" si="15"/>
        <v>0</v>
      </c>
      <c r="J189" s="630"/>
      <c r="K189" s="628">
        <f t="shared" si="16"/>
        <v>0</v>
      </c>
      <c r="L189" s="630"/>
      <c r="M189" s="628">
        <f t="shared" si="17"/>
        <v>0</v>
      </c>
      <c r="O189" s="630"/>
      <c r="P189" s="628">
        <f t="shared" si="18"/>
        <v>0</v>
      </c>
      <c r="Q189" s="630"/>
      <c r="R189" s="628">
        <f t="shared" si="19"/>
        <v>0</v>
      </c>
    </row>
    <row r="190" spans="4:18" x14ac:dyDescent="0.2">
      <c r="D190" s="577" t="s">
        <v>43</v>
      </c>
      <c r="E190" s="630"/>
      <c r="F190" s="628">
        <f t="shared" si="14"/>
        <v>0</v>
      </c>
      <c r="G190" s="630"/>
      <c r="H190" s="628">
        <f t="shared" si="15"/>
        <v>0</v>
      </c>
      <c r="I190" s="577" t="s">
        <v>43</v>
      </c>
      <c r="J190" s="630"/>
      <c r="K190" s="628">
        <f t="shared" si="16"/>
        <v>0</v>
      </c>
      <c r="L190" s="630"/>
      <c r="M190" s="628">
        <f t="shared" si="17"/>
        <v>0</v>
      </c>
      <c r="N190" s="577" t="s">
        <v>43</v>
      </c>
      <c r="O190" s="630"/>
      <c r="P190" s="628">
        <f t="shared" si="18"/>
        <v>0</v>
      </c>
      <c r="Q190" s="630"/>
      <c r="R190" s="628">
        <f t="shared" si="19"/>
        <v>0</v>
      </c>
    </row>
    <row r="191" spans="4:18" x14ac:dyDescent="0.2">
      <c r="D191" s="633">
        <f>+E191+G191</f>
        <v>0</v>
      </c>
      <c r="E191" s="639">
        <f>(+F191*30)/E77</f>
        <v>0</v>
      </c>
      <c r="F191" s="629">
        <f>SUM(F179:F190)</f>
        <v>0</v>
      </c>
      <c r="G191" s="639">
        <f>(+H191*30)/G77</f>
        <v>0</v>
      </c>
      <c r="H191" s="629">
        <f>SUM(H179:H190)</f>
        <v>0</v>
      </c>
      <c r="I191" s="633">
        <f>+J191+L191</f>
        <v>0</v>
      </c>
      <c r="J191" s="639">
        <f>(+K191*31)/J77</f>
        <v>0</v>
      </c>
      <c r="K191" s="629">
        <f>SUM(K179:K190)</f>
        <v>0</v>
      </c>
      <c r="L191" s="639">
        <f>(+M191*31)/L77</f>
        <v>0</v>
      </c>
      <c r="M191" s="629">
        <f>SUM(M179:M190)</f>
        <v>0</v>
      </c>
      <c r="N191" s="633">
        <f>+O191+Q191</f>
        <v>0</v>
      </c>
      <c r="O191" s="639">
        <f>(+P191*31)/O77</f>
        <v>0</v>
      </c>
      <c r="P191" s="629">
        <f>SUM(P179:P190)</f>
        <v>0</v>
      </c>
      <c r="Q191" s="639">
        <f>(+R191*31)/Q77</f>
        <v>0</v>
      </c>
      <c r="R191" s="629">
        <f>SUM(R179:R190)</f>
        <v>0</v>
      </c>
    </row>
    <row r="192" spans="4:18" x14ac:dyDescent="0.2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">
      <c r="D193" s="624" t="s">
        <v>295</v>
      </c>
      <c r="E193" s="625" t="s">
        <v>296</v>
      </c>
      <c r="F193" s="626"/>
      <c r="G193" s="627" t="s">
        <v>297</v>
      </c>
      <c r="H193" s="626"/>
      <c r="I193" s="624" t="s">
        <v>348</v>
      </c>
      <c r="J193" s="625" t="s">
        <v>296</v>
      </c>
      <c r="K193" s="626"/>
      <c r="L193" s="627" t="s">
        <v>297</v>
      </c>
      <c r="M193" s="626"/>
      <c r="N193" s="624" t="s">
        <v>256</v>
      </c>
      <c r="O193" s="625" t="s">
        <v>296</v>
      </c>
      <c r="P193" s="626"/>
      <c r="Q193" s="627" t="s">
        <v>297</v>
      </c>
      <c r="R193" s="626"/>
    </row>
    <row r="194" spans="4:18" x14ac:dyDescent="0.2">
      <c r="D194" s="597"/>
      <c r="E194" s="630"/>
      <c r="F194" s="628">
        <f>+E83*F83</f>
        <v>0</v>
      </c>
      <c r="G194" s="630"/>
      <c r="H194" s="628">
        <f>+G83*H83</f>
        <v>0</v>
      </c>
      <c r="I194" s="597"/>
      <c r="J194" s="630"/>
      <c r="K194" s="628">
        <f t="shared" ref="K194:K205" si="20">+J83*K83</f>
        <v>0</v>
      </c>
      <c r="L194" s="630"/>
      <c r="M194" s="628">
        <f t="shared" ref="M194:M205" si="21">+L83*M83</f>
        <v>-3.07</v>
      </c>
      <c r="N194" s="597"/>
      <c r="O194" s="630"/>
      <c r="P194" s="628">
        <f t="shared" ref="P194:P205" si="22">+O83*P83</f>
        <v>0</v>
      </c>
      <c r="Q194" s="630"/>
      <c r="R194" s="628">
        <f t="shared" ref="R194:R205" si="23">+Q83*R83</f>
        <v>0</v>
      </c>
    </row>
    <row r="195" spans="4:18" x14ac:dyDescent="0.2">
      <c r="D195" s="597"/>
      <c r="E195" s="630"/>
      <c r="F195" s="628">
        <f t="shared" ref="F195:H205" si="24">+E84*F84</f>
        <v>0</v>
      </c>
      <c r="G195" s="630"/>
      <c r="H195" s="628">
        <f t="shared" si="24"/>
        <v>0</v>
      </c>
      <c r="I195" s="597"/>
      <c r="J195" s="630"/>
      <c r="K195" s="628">
        <f t="shared" si="20"/>
        <v>0</v>
      </c>
      <c r="L195" s="630"/>
      <c r="M195" s="628">
        <f t="shared" si="21"/>
        <v>-1.56</v>
      </c>
      <c r="N195" s="597"/>
      <c r="O195" s="630"/>
      <c r="P195" s="628">
        <f t="shared" si="22"/>
        <v>0</v>
      </c>
      <c r="Q195" s="630"/>
      <c r="R195" s="628">
        <f t="shared" si="23"/>
        <v>0</v>
      </c>
    </row>
    <row r="196" spans="4:18" x14ac:dyDescent="0.2">
      <c r="D196" s="597"/>
      <c r="E196" s="630"/>
      <c r="F196" s="628">
        <f t="shared" si="24"/>
        <v>0</v>
      </c>
      <c r="G196" s="630"/>
      <c r="H196" s="628">
        <f t="shared" si="24"/>
        <v>0</v>
      </c>
      <c r="I196" s="597"/>
      <c r="J196" s="630"/>
      <c r="K196" s="628">
        <f t="shared" si="20"/>
        <v>0</v>
      </c>
      <c r="L196" s="630"/>
      <c r="M196" s="628">
        <f t="shared" si="21"/>
        <v>0</v>
      </c>
      <c r="N196" s="597"/>
      <c r="O196" s="630"/>
      <c r="P196" s="628">
        <f t="shared" si="22"/>
        <v>0</v>
      </c>
      <c r="Q196" s="630"/>
      <c r="R196" s="628">
        <f t="shared" si="23"/>
        <v>0</v>
      </c>
    </row>
    <row r="197" spans="4:18" x14ac:dyDescent="0.2">
      <c r="D197" s="597"/>
      <c r="E197" s="630"/>
      <c r="F197" s="628">
        <f t="shared" si="24"/>
        <v>0</v>
      </c>
      <c r="G197" s="630"/>
      <c r="H197" s="628">
        <f t="shared" si="24"/>
        <v>0</v>
      </c>
      <c r="I197" s="597"/>
      <c r="J197" s="630"/>
      <c r="K197" s="628">
        <f t="shared" si="20"/>
        <v>0</v>
      </c>
      <c r="L197" s="630"/>
      <c r="M197" s="628">
        <f t="shared" si="21"/>
        <v>0</v>
      </c>
      <c r="N197" s="597"/>
      <c r="O197" s="630"/>
      <c r="P197" s="628">
        <f t="shared" si="22"/>
        <v>0</v>
      </c>
      <c r="Q197" s="630"/>
      <c r="R197" s="628">
        <f t="shared" si="23"/>
        <v>0</v>
      </c>
    </row>
    <row r="198" spans="4:18" x14ac:dyDescent="0.2">
      <c r="D198" s="597"/>
      <c r="E198" s="630"/>
      <c r="F198" s="628">
        <f t="shared" si="24"/>
        <v>0</v>
      </c>
      <c r="G198" s="630"/>
      <c r="H198" s="628">
        <f t="shared" si="24"/>
        <v>0</v>
      </c>
      <c r="I198" s="597"/>
      <c r="J198" s="630"/>
      <c r="K198" s="628">
        <f t="shared" si="20"/>
        <v>0</v>
      </c>
      <c r="L198" s="630"/>
      <c r="M198" s="628">
        <f t="shared" si="21"/>
        <v>0</v>
      </c>
      <c r="N198" s="597"/>
      <c r="O198" s="630"/>
      <c r="P198" s="628">
        <f t="shared" si="22"/>
        <v>0</v>
      </c>
      <c r="Q198" s="630"/>
      <c r="R198" s="628">
        <f t="shared" si="23"/>
        <v>0</v>
      </c>
    </row>
    <row r="199" spans="4:18" x14ac:dyDescent="0.2">
      <c r="D199" s="597"/>
      <c r="E199" s="630"/>
      <c r="F199" s="628">
        <f t="shared" si="24"/>
        <v>0</v>
      </c>
      <c r="G199" s="630"/>
      <c r="H199" s="628">
        <f t="shared" si="24"/>
        <v>0</v>
      </c>
      <c r="I199" s="597"/>
      <c r="J199" s="630"/>
      <c r="K199" s="628">
        <f t="shared" si="20"/>
        <v>0</v>
      </c>
      <c r="L199" s="630"/>
      <c r="M199" s="628">
        <f t="shared" si="21"/>
        <v>0</v>
      </c>
      <c r="N199" s="597"/>
      <c r="O199" s="630"/>
      <c r="P199" s="628">
        <f t="shared" si="22"/>
        <v>0</v>
      </c>
      <c r="Q199" s="630"/>
      <c r="R199" s="628">
        <f t="shared" si="23"/>
        <v>0</v>
      </c>
    </row>
    <row r="200" spans="4:18" x14ac:dyDescent="0.2">
      <c r="D200" s="597"/>
      <c r="E200" s="630"/>
      <c r="F200" s="628">
        <f t="shared" si="24"/>
        <v>0</v>
      </c>
      <c r="G200" s="630"/>
      <c r="H200" s="628">
        <f t="shared" si="24"/>
        <v>0</v>
      </c>
      <c r="I200" s="597"/>
      <c r="J200" s="630"/>
      <c r="K200" s="628">
        <f t="shared" si="20"/>
        <v>0</v>
      </c>
      <c r="L200" s="630"/>
      <c r="M200" s="628">
        <f t="shared" si="21"/>
        <v>0</v>
      </c>
      <c r="N200" s="597"/>
      <c r="O200" s="630"/>
      <c r="P200" s="628">
        <f t="shared" si="22"/>
        <v>0</v>
      </c>
      <c r="Q200" s="630"/>
      <c r="R200" s="628">
        <f t="shared" si="23"/>
        <v>0</v>
      </c>
    </row>
    <row r="201" spans="4:18" x14ac:dyDescent="0.2">
      <c r="E201" s="630"/>
      <c r="F201" s="628">
        <f t="shared" si="24"/>
        <v>0</v>
      </c>
      <c r="G201" s="630"/>
      <c r="H201" s="628">
        <f t="shared" si="24"/>
        <v>0</v>
      </c>
      <c r="J201" s="630"/>
      <c r="K201" s="628">
        <f t="shared" si="20"/>
        <v>0</v>
      </c>
      <c r="L201" s="630"/>
      <c r="M201" s="628">
        <f t="shared" si="21"/>
        <v>0</v>
      </c>
      <c r="O201" s="630"/>
      <c r="P201" s="628">
        <f t="shared" si="22"/>
        <v>0</v>
      </c>
      <c r="Q201" s="630"/>
      <c r="R201" s="628">
        <f t="shared" si="23"/>
        <v>0</v>
      </c>
    </row>
    <row r="202" spans="4:18" x14ac:dyDescent="0.2">
      <c r="E202" s="630"/>
      <c r="F202" s="628">
        <f t="shared" si="24"/>
        <v>0</v>
      </c>
      <c r="G202" s="630"/>
      <c r="H202" s="628">
        <f t="shared" si="24"/>
        <v>0</v>
      </c>
      <c r="J202" s="630"/>
      <c r="K202" s="628">
        <f t="shared" si="20"/>
        <v>0</v>
      </c>
      <c r="L202" s="630"/>
      <c r="M202" s="628">
        <f t="shared" si="21"/>
        <v>0</v>
      </c>
      <c r="O202" s="630"/>
      <c r="P202" s="628">
        <f t="shared" si="22"/>
        <v>0</v>
      </c>
      <c r="Q202" s="630"/>
      <c r="R202" s="628">
        <f t="shared" si="23"/>
        <v>0</v>
      </c>
    </row>
    <row r="203" spans="4:18" x14ac:dyDescent="0.2">
      <c r="E203" s="630"/>
      <c r="F203" s="628">
        <f t="shared" si="24"/>
        <v>0</v>
      </c>
      <c r="G203" s="630"/>
      <c r="H203" s="628">
        <f t="shared" si="24"/>
        <v>0</v>
      </c>
      <c r="J203" s="630"/>
      <c r="K203" s="628">
        <f t="shared" si="20"/>
        <v>0</v>
      </c>
      <c r="L203" s="630"/>
      <c r="M203" s="628">
        <f t="shared" si="21"/>
        <v>0</v>
      </c>
      <c r="O203" s="630"/>
      <c r="P203" s="628">
        <f t="shared" si="22"/>
        <v>0</v>
      </c>
      <c r="Q203" s="630"/>
      <c r="R203" s="628">
        <f t="shared" si="23"/>
        <v>0</v>
      </c>
    </row>
    <row r="204" spans="4:18" x14ac:dyDescent="0.2">
      <c r="E204" s="630"/>
      <c r="F204" s="628">
        <f t="shared" si="24"/>
        <v>0</v>
      </c>
      <c r="G204" s="630"/>
      <c r="H204" s="628">
        <f t="shared" si="24"/>
        <v>0</v>
      </c>
      <c r="J204" s="630"/>
      <c r="K204" s="628">
        <f t="shared" si="20"/>
        <v>0</v>
      </c>
      <c r="L204" s="630"/>
      <c r="M204" s="628">
        <f t="shared" si="21"/>
        <v>0</v>
      </c>
      <c r="O204" s="630"/>
      <c r="P204" s="628">
        <f t="shared" si="22"/>
        <v>0</v>
      </c>
      <c r="Q204" s="630"/>
      <c r="R204" s="628">
        <f t="shared" si="23"/>
        <v>0</v>
      </c>
    </row>
    <row r="205" spans="4:18" x14ac:dyDescent="0.2">
      <c r="D205" s="577" t="s">
        <v>43</v>
      </c>
      <c r="E205" s="630"/>
      <c r="F205" s="628">
        <f t="shared" si="24"/>
        <v>0</v>
      </c>
      <c r="G205" s="630"/>
      <c r="H205" s="628">
        <f t="shared" si="24"/>
        <v>0</v>
      </c>
      <c r="I205" s="577" t="s">
        <v>43</v>
      </c>
      <c r="J205" s="630"/>
      <c r="K205" s="628">
        <f t="shared" si="20"/>
        <v>0</v>
      </c>
      <c r="L205" s="630"/>
      <c r="M205" s="628">
        <f t="shared" si="21"/>
        <v>0</v>
      </c>
      <c r="N205" s="577" t="s">
        <v>43</v>
      </c>
      <c r="O205" s="630"/>
      <c r="P205" s="628">
        <f t="shared" si="22"/>
        <v>0</v>
      </c>
      <c r="Q205" s="630"/>
      <c r="R205" s="628">
        <f t="shared" si="23"/>
        <v>0</v>
      </c>
    </row>
    <row r="206" spans="4:18" x14ac:dyDescent="0.2">
      <c r="D206" s="633">
        <f>+E206+G206</f>
        <v>0</v>
      </c>
      <c r="E206" s="639">
        <f>(+F206*151)/E95</f>
        <v>0</v>
      </c>
      <c r="F206" s="629">
        <f>SUM(F194:F205)</f>
        <v>0</v>
      </c>
      <c r="G206" s="639">
        <f>(+H206*151)/G95</f>
        <v>0</v>
      </c>
      <c r="H206" s="629">
        <f>SUM(H194:H205)</f>
        <v>0</v>
      </c>
      <c r="I206" s="633">
        <f>+J206+L206</f>
        <v>3.0866666666666771</v>
      </c>
      <c r="J206" s="639">
        <f>(+K206*200)/J95</f>
        <v>0</v>
      </c>
      <c r="K206" s="629">
        <f>SUM(K194:K205)</f>
        <v>0</v>
      </c>
      <c r="L206" s="639">
        <f>(+M206*200)/L95</f>
        <v>3.0866666666666771</v>
      </c>
      <c r="M206" s="629">
        <f>SUM(M194:M205)</f>
        <v>-4.63</v>
      </c>
      <c r="N206" s="633">
        <f>+O206+Q206</f>
        <v>0</v>
      </c>
      <c r="O206" s="639">
        <f>(+P206*31)/O95</f>
        <v>0</v>
      </c>
      <c r="P206" s="629">
        <f>SUM(P194:P205)</f>
        <v>0</v>
      </c>
      <c r="Q206" s="639">
        <f>(+R206*31)/Q95</f>
        <v>0</v>
      </c>
      <c r="R206" s="629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topLeftCell="AJ10" zoomScale="75" workbookViewId="0">
      <selection activeCell="AN26" sqref="AN26"/>
    </sheetView>
  </sheetViews>
  <sheetFormatPr defaultRowHeight="12.75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4" style="25" customWidth="1"/>
    <col min="8" max="8" width="14.285156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85546875" style="25" customWidth="1"/>
    <col min="20" max="20" width="5.7109375" style="25" hidden="1" customWidth="1"/>
    <col min="21" max="21" width="9.140625" style="25" hidden="1" customWidth="1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52" width="11" style="25" customWidth="1"/>
    <col min="53" max="53" width="9.42578125" style="25" bestFit="1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9.140625" style="25"/>
    <col min="83" max="83" width="17.28515625" style="25" customWidth="1"/>
    <col min="84" max="84" width="11.5703125" style="25" customWidth="1"/>
    <col min="85" max="87" width="15" style="25" customWidth="1"/>
    <col min="88" max="88" width="15.5703125" style="25" customWidth="1"/>
    <col min="89" max="114" width="9.140625" style="25"/>
    <col min="115" max="117" width="9.140625" style="30"/>
    <col min="118" max="119" width="9.140625" style="25"/>
    <col min="120" max="120" width="9.7109375" style="25" customWidth="1"/>
    <col min="121" max="16384" width="9.140625" style="25"/>
  </cols>
  <sheetData>
    <row r="1" spans="1:151" ht="21" thickBot="1" x14ac:dyDescent="0.3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.75" thickBot="1" x14ac:dyDescent="0.3">
      <c r="A2" s="71" t="s">
        <v>30</v>
      </c>
      <c r="B2" s="885">
        <f>+Master!R5</f>
        <v>37141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.75" thickBot="1" x14ac:dyDescent="0.3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28.458333878290084</v>
      </c>
      <c r="R3" s="547"/>
      <c r="U3" s="547"/>
      <c r="V3" s="547"/>
      <c r="W3" s="29"/>
      <c r="DK3" s="25"/>
      <c r="DL3" s="25"/>
      <c r="DM3" s="25"/>
    </row>
    <row r="4" spans="1:151" ht="18" x14ac:dyDescent="0.25">
      <c r="A4" s="27"/>
      <c r="B4" s="255" t="str">
        <f>CONCATENATE("MWS"&amp;IF(MONTH(TradeDate)&lt;10,"0"&amp;MONTH(TradeDate),MONTH(TradeDate))&amp;IF(DAY(TradeDate)&lt;10,"0"&amp;DAY(TradeDate),DAY(TradeDate)))</f>
        <v>MWS0907</v>
      </c>
      <c r="F4" s="158" t="s">
        <v>6</v>
      </c>
      <c r="G4" s="362">
        <f>NYMEX!G4</f>
        <v>0</v>
      </c>
      <c r="H4" s="266">
        <f>+Master!B7</f>
        <v>0</v>
      </c>
      <c r="I4" s="266">
        <f ca="1">SUM([5]COMED!$T$3:$T$255)</f>
        <v>1850210.6986907355</v>
      </c>
      <c r="J4" s="266">
        <f ca="1">SUM([5]Cinergy!$T$3:$T$255)+SUM([5]AEP!$T$3:$T$255)+SUM([5]Ameren!$S$3:$S$255)+SUM([5]Illinois!$S$3:$S$255+SUM([5]Manitoba!$T$3:$T$255)+SUM([5]NSP!$T$3:$T$255)+SUM([5]OPPD_NPPD!$T$3:$T$255))</f>
        <v>422208.94263048476</v>
      </c>
      <c r="K4" s="266">
        <f ca="1">SUM(G4:J4)</f>
        <v>2272419.6413212204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28.29321625964058</v>
      </c>
      <c r="R4" s="547"/>
      <c r="U4" s="547"/>
      <c r="V4" s="547"/>
      <c r="W4" s="29"/>
      <c r="DK4" s="25"/>
      <c r="DL4" s="25"/>
      <c r="DM4" s="25"/>
    </row>
    <row r="5" spans="1:151" ht="18.75" thickBot="1" x14ac:dyDescent="0.3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1826.3004573959265</v>
      </c>
      <c r="J5" s="266">
        <f>SUM(K12:K50)</f>
        <v>54449.826010237499</v>
      </c>
      <c r="K5" s="266">
        <f>SUM(G5:J5)</f>
        <v>56276.126467633425</v>
      </c>
      <c r="M5" s="302"/>
      <c r="N5" s="32"/>
      <c r="O5" s="301"/>
      <c r="P5" s="556" t="s">
        <v>98</v>
      </c>
      <c r="Q5" s="557">
        <f>AVERAGE(S23:S25)</f>
        <v>28.687500417232513</v>
      </c>
      <c r="R5" s="547"/>
      <c r="U5" s="547"/>
      <c r="W5" s="28"/>
      <c r="DK5" s="25"/>
      <c r="DL5" s="25"/>
      <c r="DM5" s="25"/>
    </row>
    <row r="6" spans="1:151" ht="16.5" thickBot="1" x14ac:dyDescent="0.3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 ca="1">I4+I5</f>
        <v>1852036.9991481313</v>
      </c>
      <c r="J6" s="267">
        <f ca="1">J4+J5</f>
        <v>476658.76864072226</v>
      </c>
      <c r="K6" s="267">
        <f ca="1">K4+K5</f>
        <v>2328695.767788854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25">
      <c r="B7" s="28"/>
      <c r="DK7" s="25"/>
      <c r="DL7" s="25"/>
      <c r="DM7" s="25"/>
    </row>
    <row r="8" spans="1:151" ht="23.25" customHeight="1" thickBot="1" x14ac:dyDescent="0.3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21732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25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4">
        <f>+Master!K18</f>
        <v>25.950000000000003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5" thickBot="1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25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Q4 2001</v>
      </c>
      <c r="Z11" s="167" t="str">
        <f>V13</f>
        <v>Q1 2002</v>
      </c>
      <c r="AA11" s="167" t="str">
        <f>V14</f>
        <v>Q2 2002</v>
      </c>
      <c r="AB11" s="167" t="str">
        <f>V15</f>
        <v>Q3 2002</v>
      </c>
      <c r="AC11" s="167" t="str">
        <f>V16</f>
        <v>Q4 2002</v>
      </c>
      <c r="AD11" s="167" t="str">
        <f>V17</f>
        <v>Q1 2003</v>
      </c>
      <c r="AE11" s="167" t="str">
        <f>V18</f>
        <v>Q2 2003</v>
      </c>
      <c r="AF11" s="167" t="str">
        <f>V19</f>
        <v>Q3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.75" thickBot="1" x14ac:dyDescent="0.3">
      <c r="A12" s="151">
        <f>[5]Cinergy!$D34</f>
        <v>37195</v>
      </c>
      <c r="B12" s="152">
        <f t="array" aca="1" ref="B12" ca="1">SUM(IF(MONTH([5]Cinergy!$D$3:$D$40)&amp;YEAR([5]Cinergy!$D$3:$D$40)=MONTH($A12)&amp;YEAR($A12),[5]Cinergy!$O$3:$O$40))</f>
        <v>-758783.69921875</v>
      </c>
      <c r="C12" s="142">
        <f ca="1">B12/(CE12*CD12)</f>
        <v>-2077.3791523346504</v>
      </c>
      <c r="D12" s="141">
        <f>BY12+IF(YEAR(A12)=$T$20,$BY$48,0)+IF(YEAR(A12)=$T$21,$BY$49,0)+IF(YEAR(A12)=$T$22,$BY$50,0)</f>
        <v>1550</v>
      </c>
      <c r="E12" s="142">
        <f ca="1">B12+(D12*CD12*CE12)</f>
        <v>-192630.55742598057</v>
      </c>
      <c r="F12" s="171">
        <f t="shared" ref="F12:F28" ca="1" si="0">C12+D12</f>
        <v>-527.37915233465037</v>
      </c>
      <c r="G12" s="143">
        <f>[5]Cinergy!$E34</f>
        <v>26.049999237060547</v>
      </c>
      <c r="H12" s="143">
        <f>IF($R$9,R12,Q12)</f>
        <v>-9.9999237060544033E-2</v>
      </c>
      <c r="I12" s="174">
        <f>G12+H12</f>
        <v>25.950000000000003</v>
      </c>
      <c r="J12" s="152">
        <f t="shared" ref="J12:J28" ca="1" si="1">H12*B12</f>
        <v>75877.791015852315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-53875.473353313064</v>
      </c>
      <c r="L12" s="144">
        <f t="shared" ref="L12:L27" ca="1" si="2">J12+K12</f>
        <v>22002.317662539252</v>
      </c>
      <c r="M12"/>
      <c r="N12" s="124">
        <f t="shared" ref="N12:N33" si="3">A12</f>
        <v>37195</v>
      </c>
      <c r="O12" s="165">
        <v>79</v>
      </c>
      <c r="P12" s="165">
        <v>79</v>
      </c>
      <c r="Q12" s="162">
        <f>AVERAGE(O12:P12)-G12</f>
        <v>52.950000762939453</v>
      </c>
      <c r="R12" s="287">
        <f>+Master!L18</f>
        <v>-9.9999237060544033E-2</v>
      </c>
      <c r="S12" s="429">
        <f>I12</f>
        <v>25.950000000000003</v>
      </c>
      <c r="T12" s="46">
        <f>IF(MONTH($B$2)&gt;=10,YEAR($B$2)+1,YEAR($B$2))</f>
        <v>2001</v>
      </c>
      <c r="U12" s="45">
        <f>IF(INT((MONTH($B$2)-1)/3)+2=5,1,INT((MONTH($B$2)-1)/3)+2)</f>
        <v>4</v>
      </c>
      <c r="V12" s="189" t="str">
        <f>"Q"&amp;U12&amp;" "&amp;T12</f>
        <v>Q4 2001</v>
      </c>
      <c r="W12" s="136">
        <f t="array" ref="W12">SUM(IF((INT((MONTH($A$12:$A$47)-1)/3)=U12-1)*(YEAR($A$12:$A$47)=T12),$I$12:$I$47*$DK$12:$DK$47))/SUM(IF((INT((MONTH($A$12:$A$47)-1)/3)=U12-1)*(YEAR($A$12:$A$47)=T12),$DK$12:$DK$47))</f>
        <v>26.516406250000003</v>
      </c>
      <c r="X12" s="412">
        <f t="array" ref="X12">AVERAGE(IF((INT((MONTH($A$12:$A$47)-1)/3)=U12-1)*(YEAR($A$12:$A$47)=T12),$I$12:$I$47))</f>
        <v>26.55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37195</v>
      </c>
      <c r="AK12" s="781">
        <v>150</v>
      </c>
      <c r="AL12" s="778">
        <v>26</v>
      </c>
      <c r="AM12" s="781"/>
      <c r="AN12" s="778"/>
      <c r="AO12" s="781"/>
      <c r="AP12" s="778"/>
      <c r="AQ12" s="781"/>
      <c r="AR12" s="778"/>
      <c r="AS12" s="789">
        <v>1400</v>
      </c>
      <c r="AT12" s="790">
        <v>26.049999237060547</v>
      </c>
      <c r="AU12" s="781"/>
      <c r="AV12" s="2"/>
      <c r="AW12" s="841"/>
      <c r="AX12" s="842"/>
      <c r="AY12" s="781"/>
      <c r="AZ12" s="2"/>
      <c r="BA12" s="841"/>
      <c r="BB12" s="842"/>
      <c r="BC12" s="781"/>
      <c r="BD12" s="778"/>
      <c r="BE12" s="781"/>
      <c r="BF12" s="778"/>
      <c r="BG12" s="781"/>
      <c r="BH12" s="778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5">
        <f>AK12+AM12+AO12+AQ12+AU12+AW12+AY12+BA12+BC12+BE12+BG12+BI12+BK12+BM12+BO12+BQ12+BS12+BU12+BW12+AS12</f>
        <v>1550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2.5161290322580645</v>
      </c>
      <c r="CA12" s="50"/>
      <c r="CB12" s="51">
        <f t="shared" ref="CB12:CB50" si="5">AJ12</f>
        <v>37195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1550</v>
      </c>
      <c r="CD12" s="52">
        <f>16*DK12</f>
        <v>368</v>
      </c>
      <c r="CE12" s="50">
        <f>VLOOKUP(A12,Interest!$X$8:$AC$367,6)</f>
        <v>0.99255459641088606</v>
      </c>
      <c r="CF12" s="53">
        <f ca="1">E12-B12</f>
        <v>566153.14179276943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570400</v>
      </c>
      <c r="CK12" s="838" t="str">
        <f t="array" ref="CK12">[3]!'NGJ1 LAST'</f>
        <v>+NA+</v>
      </c>
      <c r="CL12" s="837">
        <v>8.56</v>
      </c>
      <c r="CM12" s="438">
        <f ca="1">+CF12*CL12/10000</f>
        <v>484.6270893746107</v>
      </c>
      <c r="CN12" s="25" t="str">
        <f t="array" ref="CN12">[3]!'NGJ1 CLS'</f>
        <v>+NA+</v>
      </c>
      <c r="CV12" s="958"/>
      <c r="DJ12" s="54">
        <f>[5]Cinergy!$D34</f>
        <v>37195</v>
      </c>
      <c r="DK12" s="30">
        <f>VLOOKUP(DJ12,DL12:DM253,2)</f>
        <v>23</v>
      </c>
      <c r="DL12" s="254">
        <v>35735</v>
      </c>
      <c r="DM12" s="255">
        <v>19</v>
      </c>
      <c r="DP12" s="55">
        <f>[5]Cinergy!$D3</f>
        <v>37142</v>
      </c>
      <c r="DQ12" s="56">
        <f ca="1">[5]OPPD_NPPD!$O3+[5]NSP!$O3</f>
        <v>0</v>
      </c>
      <c r="DR12" s="56">
        <f ca="1">[5]COMED!$O3</f>
        <v>0</v>
      </c>
      <c r="DS12" s="56">
        <f ca="1">DQ12+DR12</f>
        <v>0</v>
      </c>
      <c r="DT12" s="56">
        <f ca="1">SUM([5]OPPD_NPPD!$P3:$R3)+SUM([5]NSP!$P3:$R3)</f>
        <v>0</v>
      </c>
      <c r="DU12" s="56">
        <f ca="1">SUM([5]COMED!$P3:$R3)</f>
        <v>-1593.04296875</v>
      </c>
      <c r="DV12" s="56">
        <f ca="1">DT12+DU12</f>
        <v>-1593.04296875</v>
      </c>
      <c r="DW12" s="57"/>
      <c r="DX12" s="58">
        <f>[5]OtherPosn!$D3</f>
        <v>37257</v>
      </c>
      <c r="DY12" s="56">
        <f>[5]OtherPosn!$N3</f>
        <v>34683.76171875</v>
      </c>
      <c r="DZ12" s="56">
        <f>SUM([5]OtherPosn!$O3:$P3)</f>
        <v>0</v>
      </c>
      <c r="EO12" s="54">
        <f t="shared" ref="EO12:EP38" si="7">DJ12</f>
        <v>37195</v>
      </c>
      <c r="EP12" s="449">
        <f t="shared" si="7"/>
        <v>23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.75" thickBot="1" x14ac:dyDescent="0.3">
      <c r="A13" s="153">
        <f>[5]Cinergy!$D35</f>
        <v>37196</v>
      </c>
      <c r="B13" s="154">
        <f ca="1">[5]Cinergy!$O35</f>
        <v>-954139.4375</v>
      </c>
      <c r="C13" s="138">
        <f ca="1">B13/(CE13*CD13)</f>
        <v>-2869.2688209987768</v>
      </c>
      <c r="D13" s="138">
        <f t="shared" ref="D13:D28" si="9">BY13+IF(YEAR(A13)=$T$20,$BY$48,0)+IF(YEAR(A13)=$T$21,$BY$49,0)+IF(YEAR(A13)=$T$22,$BY$50,0)</f>
        <v>1400</v>
      </c>
      <c r="E13" s="137">
        <f t="shared" ref="E13:E28" ca="1" si="10">B13+(D13*CD13*CE13)</f>
        <v>-488586.95851163636</v>
      </c>
      <c r="F13" s="172">
        <f t="shared" ca="1" si="0"/>
        <v>-1469.2688209987768</v>
      </c>
      <c r="G13" s="139">
        <f>[5]Cinergy!$E35</f>
        <v>26.149999618530273</v>
      </c>
      <c r="H13" s="143">
        <f t="shared" ref="H13:H47" si="11">IF($R$9,R13,Q13)</f>
        <v>5.0000381469729405E-2</v>
      </c>
      <c r="I13" s="134">
        <f t="shared" ref="I13:I28" si="12">G13+H13</f>
        <v>26.200000000000003</v>
      </c>
      <c r="J13" s="137">
        <f t="shared" ca="1" si="1"/>
        <v>-47707.335850313037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23277.801543596368</v>
      </c>
      <c r="L13" s="140">
        <f t="shared" ca="1" si="2"/>
        <v>-24429.534306716669</v>
      </c>
      <c r="M13"/>
      <c r="N13" s="124">
        <f t="shared" si="3"/>
        <v>37196</v>
      </c>
      <c r="O13" s="165">
        <v>33.5</v>
      </c>
      <c r="P13" s="165">
        <v>33.5</v>
      </c>
      <c r="Q13" s="162">
        <f>AVERAGE(O13:P13)-G13</f>
        <v>7.3500003814697266</v>
      </c>
      <c r="R13" s="287">
        <f>+Master!L19</f>
        <v>5.0000381469729405E-2</v>
      </c>
      <c r="S13" s="431">
        <f>I13</f>
        <v>26.200000000000003</v>
      </c>
      <c r="T13" s="46">
        <f>IF(U12=4,T12+1,T12)</f>
        <v>2002</v>
      </c>
      <c r="U13" s="45">
        <f>IF(U12=4,1,U12+1)</f>
        <v>1</v>
      </c>
      <c r="V13" s="191" t="str">
        <f t="shared" ref="V13:V19" si="14">"Q"&amp;U13&amp;" "&amp;T13</f>
        <v>Q1 2002</v>
      </c>
      <c r="W13" s="136">
        <f t="array" ref="W13">SUM(IF((INT((MONTH($A$12:$A$47)-1)/3)=U13-1)*(YEAR($A$12:$A$47)=T13),$I$12:$I$47*$DK$12:$DK$47))/SUM(IF((INT((MONTH($A$12:$A$47)-1)/3)=U13-1)*(YEAR($A$12:$A$47)=T13),$DK$12:$DK$47))</f>
        <v>28.673255683839781</v>
      </c>
      <c r="X13" s="190">
        <f t="array" ref="X13">AVERAGE(IF((INT((MONTH($A$12:$A$47)-1)/3)=U13-1)*(YEAR($A$12:$A$47)=T13),$I$12:$I$47))</f>
        <v>28.667700091953776</v>
      </c>
      <c r="Y13" s="198">
        <f>W13-$W$12</f>
        <v>2.1568494338397777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37196</v>
      </c>
      <c r="AK13" s="781"/>
      <c r="AL13" s="778"/>
      <c r="AM13" s="781"/>
      <c r="AN13" s="778"/>
      <c r="AO13" s="781">
        <f t="shared" ref="AO13:AR14" si="15">+AO12</f>
        <v>0</v>
      </c>
      <c r="AP13" s="778">
        <f t="shared" si="15"/>
        <v>0</v>
      </c>
      <c r="AQ13" s="781">
        <f t="shared" si="15"/>
        <v>0</v>
      </c>
      <c r="AR13" s="778">
        <f t="shared" si="15"/>
        <v>0</v>
      </c>
      <c r="AS13" s="789">
        <v>1400</v>
      </c>
      <c r="AT13" s="790">
        <v>26.149999618530273</v>
      </c>
      <c r="AU13" s="781"/>
      <c r="AV13" s="778"/>
      <c r="AW13" s="781"/>
      <c r="AX13" s="2"/>
      <c r="AY13" s="781"/>
      <c r="AZ13" s="778"/>
      <c r="BA13" s="781"/>
      <c r="BB13" s="778"/>
      <c r="BC13" s="781"/>
      <c r="BD13" s="778"/>
      <c r="BE13" s="781"/>
      <c r="BF13" s="778"/>
      <c r="BG13" s="781"/>
      <c r="BH13" s="778"/>
      <c r="BI13" s="78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5">
        <f t="shared" ref="BY13:BY20" si="16">AK13+AM13+AO13+AQ13+AU13+AW13+AY13+BA13+BC13+BE13+BG13+BI13+BK13+BM13+BO13+BQ13+BS13+BU13+BW13+AS13</f>
        <v>1400</v>
      </c>
      <c r="BZ13" s="49">
        <f t="shared" ref="BZ13:BZ20" si="17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5"/>
        <v>37196</v>
      </c>
      <c r="CC13" s="50">
        <f t="shared" si="6"/>
        <v>1400</v>
      </c>
      <c r="CD13" s="52">
        <f t="shared" ref="CD13:CD28" si="18">16*DK13</f>
        <v>336</v>
      </c>
      <c r="CE13" s="50">
        <f>VLOOKUP(A13,Interest!$X$8:$AC$367,6)</f>
        <v>0.98969489580859615</v>
      </c>
      <c r="CF13" s="53">
        <f t="shared" ref="CF13:CF28" ca="1" si="19">E13-B13</f>
        <v>465552.47898836364</v>
      </c>
      <c r="CG13" s="53">
        <f t="shared" ref="CG13:CG28" si="20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1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2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3">CC13*CD13</f>
        <v>470400</v>
      </c>
      <c r="CK13" s="838" t="str">
        <f>[3]!'NGK1 LAST'</f>
        <v>+NA+</v>
      </c>
      <c r="CL13" s="837">
        <v>8.48</v>
      </c>
      <c r="CM13" s="438">
        <f t="shared" ref="CM13:CM50" ca="1" si="24">+CF13*CL13/10000</f>
        <v>394.78850218213239</v>
      </c>
      <c r="CN13" s="25" t="str">
        <f>[3]!'NGK1 CLS'</f>
        <v>+NA+</v>
      </c>
      <c r="CO13" s="25" t="e">
        <f>+CN13-CN12</f>
        <v>#VALUE!</v>
      </c>
      <c r="CV13" s="958"/>
      <c r="DJ13" s="54">
        <f>[5]Cinergy!$D35</f>
        <v>37196</v>
      </c>
      <c r="DK13" s="30">
        <f t="shared" ref="DK13:DK28" si="25">VLOOKUP(DJ13,DL13:DM254,2)</f>
        <v>21</v>
      </c>
      <c r="DL13" s="254">
        <v>35765</v>
      </c>
      <c r="DM13" s="256">
        <v>22</v>
      </c>
      <c r="DP13" s="55">
        <f>[5]Cinergy!$D4</f>
        <v>37143</v>
      </c>
      <c r="DQ13" s="56">
        <f ca="1">[5]OPPD_NPPD!$O4+[5]NSP!$O4</f>
        <v>0</v>
      </c>
      <c r="DR13" s="56">
        <f ca="1">[5]COMED!$O4</f>
        <v>0</v>
      </c>
      <c r="DS13" s="56">
        <f t="shared" ref="DS13:DS76" ca="1" si="26">DQ13+DR13</f>
        <v>0</v>
      </c>
      <c r="DT13" s="56">
        <f ca="1">SUM([5]OPPD_NPPD!$P4:$R4)+SUM([5]NSP!$P4:$R4)</f>
        <v>0</v>
      </c>
      <c r="DU13" s="56">
        <f ca="1">SUM([5]COMED!$P4:$R4)</f>
        <v>-1593.0429687499891</v>
      </c>
      <c r="DV13" s="56">
        <f t="shared" ref="DV13:DV76" ca="1" si="27">DT13+DU13</f>
        <v>-1593.0429687499891</v>
      </c>
      <c r="DW13" s="57"/>
      <c r="DX13" s="58">
        <f>[5]OtherPosn!$D4</f>
        <v>37288</v>
      </c>
      <c r="DY13" s="56">
        <f>[5]OtherPosn!$N4</f>
        <v>31446.693359375</v>
      </c>
      <c r="DZ13" s="56">
        <f>SUM([5]OtherPosn!$O4:$P4)</f>
        <v>0</v>
      </c>
      <c r="EO13" s="54">
        <f t="shared" si="7"/>
        <v>37196</v>
      </c>
      <c r="EP13" s="449">
        <f t="shared" si="7"/>
        <v>21</v>
      </c>
      <c r="EQ13" s="297">
        <f t="shared" ref="EQ13:ER15" si="28">O12*$EP13</f>
        <v>1659</v>
      </c>
      <c r="ER13" s="297">
        <f t="shared" si="28"/>
        <v>1659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.75" thickBot="1" x14ac:dyDescent="0.3">
      <c r="A14" s="151">
        <f>[5]Cinergy!$D36</f>
        <v>37226</v>
      </c>
      <c r="B14" s="152">
        <f ca="1">[5]Cinergy!$O36</f>
        <v>-855360.0625</v>
      </c>
      <c r="C14" s="142">
        <f t="shared" ref="C14:C29" ca="1" si="29">B14/(CE14*CD14)</f>
        <v>-2708.7673100697589</v>
      </c>
      <c r="D14" s="141">
        <f t="shared" si="9"/>
        <v>2050</v>
      </c>
      <c r="E14" s="142">
        <f t="shared" ca="1" si="10"/>
        <v>-208022.01998654311</v>
      </c>
      <c r="F14" s="171">
        <f t="shared" ca="1" si="0"/>
        <v>-658.76731006975888</v>
      </c>
      <c r="G14" s="143">
        <f>[5]Cinergy!$E36</f>
        <v>27.649999618530273</v>
      </c>
      <c r="H14" s="143">
        <f t="shared" si="11"/>
        <v>-0.14999961853027344</v>
      </c>
      <c r="I14" s="174">
        <f t="shared" si="12"/>
        <v>27.5</v>
      </c>
      <c r="J14" s="152">
        <f t="shared" ca="1" si="1"/>
        <v>128303.68308103085</v>
      </c>
      <c r="K14" s="144">
        <f t="shared" si="13"/>
        <v>-97100.459437152473</v>
      </c>
      <c r="L14" s="144">
        <f t="shared" ca="1" si="2"/>
        <v>31203.223643878373</v>
      </c>
      <c r="M14"/>
      <c r="N14" s="124">
        <f>A14</f>
        <v>37226</v>
      </c>
      <c r="O14" s="165">
        <v>25.25</v>
      </c>
      <c r="P14" s="165">
        <v>25.25</v>
      </c>
      <c r="Q14" s="162">
        <f t="shared" ref="Q14:Q32" si="30">AVERAGE(O14:P14)-G14</f>
        <v>-2.3999996185302734</v>
      </c>
      <c r="R14" s="287">
        <f>+Master!L20</f>
        <v>-0.14999961853027344</v>
      </c>
      <c r="S14" s="431">
        <f t="shared" ref="S14:S33" si="31">I14</f>
        <v>27.5</v>
      </c>
      <c r="T14" s="46">
        <f t="shared" ref="T14:T19" si="32">IF(U13=4,T13+1,T13)</f>
        <v>2002</v>
      </c>
      <c r="U14" s="45">
        <f t="shared" ref="U14:U19" si="33">IF(U13=4,1,U13+1)</f>
        <v>2</v>
      </c>
      <c r="V14" s="192" t="str">
        <f t="shared" si="14"/>
        <v>Q2 2002</v>
      </c>
      <c r="W14" s="136">
        <f t="array" ref="W14">SUM(IF((INT((MONTH($A$12:$A$47)-1)/3)=U14-1)*(YEAR($A$12:$A$47)=T14),$I$12:$I$47*$DK$12:$DK$47))/SUM(IF((INT((MONTH($A$12:$A$47)-1)/3)=U14-1)*(YEAR($A$12:$A$47)=T14),$DK$12:$DK$47))</f>
        <v>33.169295186220211</v>
      </c>
      <c r="X14" s="190">
        <f t="array" ref="X14">AVERAGE(IF((INT((MONTH($A$12:$A$47)-1)/3)=U14-1)*(YEAR($A$12:$A$47)=T14),$I$12:$I$47))</f>
        <v>33.406589271486268</v>
      </c>
      <c r="Y14" s="200">
        <f t="shared" ref="Y14:Y22" si="34">W14-$W$12</f>
        <v>6.6528889362202079</v>
      </c>
      <c r="Z14" s="200">
        <f>W14-$W$13</f>
        <v>4.4960395023804303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37226</v>
      </c>
      <c r="AK14" s="781"/>
      <c r="AL14" s="778"/>
      <c r="AM14" s="781"/>
      <c r="AN14" s="778"/>
      <c r="AO14" s="781">
        <f t="shared" si="15"/>
        <v>0</v>
      </c>
      <c r="AP14" s="778">
        <f t="shared" si="15"/>
        <v>0</v>
      </c>
      <c r="AQ14" s="781">
        <f t="shared" si="15"/>
        <v>0</v>
      </c>
      <c r="AR14" s="778">
        <f t="shared" si="15"/>
        <v>0</v>
      </c>
      <c r="AS14" s="789">
        <v>2050</v>
      </c>
      <c r="AT14" s="790">
        <v>27.649999618530273</v>
      </c>
      <c r="AU14" s="781"/>
      <c r="AV14" s="778"/>
      <c r="AW14" s="781"/>
      <c r="AX14" s="2"/>
      <c r="AY14" s="781"/>
      <c r="AZ14" s="778"/>
      <c r="BA14" s="781"/>
      <c r="BB14" s="778"/>
      <c r="BC14" s="781"/>
      <c r="BD14" s="778"/>
      <c r="BE14" s="781"/>
      <c r="BF14" s="778"/>
      <c r="BG14" s="781"/>
      <c r="BH14" s="778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5">
        <f t="shared" si="16"/>
        <v>2050</v>
      </c>
      <c r="BZ14" s="49">
        <f t="shared" si="17"/>
        <v>0</v>
      </c>
      <c r="CB14" s="51">
        <f t="shared" si="5"/>
        <v>37226</v>
      </c>
      <c r="CC14" s="50">
        <f t="shared" si="6"/>
        <v>2050</v>
      </c>
      <c r="CD14" s="52">
        <f t="shared" si="18"/>
        <v>320</v>
      </c>
      <c r="CE14" s="50">
        <f>VLOOKUP(A14,Interest!$X$8:$AC$367,6)</f>
        <v>0.98679579651441607</v>
      </c>
      <c r="CF14" s="53">
        <f t="shared" ca="1" si="19"/>
        <v>647338.04251345689</v>
      </c>
      <c r="CG14" s="53">
        <f t="shared" si="20"/>
        <v>0</v>
      </c>
      <c r="CH14" s="53">
        <f t="shared" si="21"/>
        <v>0</v>
      </c>
      <c r="CI14" s="53">
        <f t="shared" si="22"/>
        <v>0</v>
      </c>
      <c r="CJ14" s="25">
        <f t="shared" si="23"/>
        <v>656000</v>
      </c>
      <c r="CK14" s="838" t="str">
        <f>[3]!'NGM1 LAST'</f>
        <v>+NA+</v>
      </c>
      <c r="CL14" s="837">
        <v>7.85</v>
      </c>
      <c r="CM14" s="438">
        <f t="shared" ca="1" si="24"/>
        <v>508.1603633730636</v>
      </c>
      <c r="CN14" s="25" t="str">
        <f>[3]!'NGM1 CLS'</f>
        <v>+NA+</v>
      </c>
      <c r="CO14" s="25" t="e">
        <f t="shared" ref="CO14:CO32" si="35">+CN14-CN13</f>
        <v>#VALUE!</v>
      </c>
      <c r="CV14" s="958"/>
      <c r="DJ14" s="54">
        <f>[5]Cinergy!$D36</f>
        <v>37226</v>
      </c>
      <c r="DK14" s="30">
        <f t="shared" si="25"/>
        <v>20</v>
      </c>
      <c r="DL14" s="254">
        <v>35796</v>
      </c>
      <c r="DM14" s="255">
        <v>21</v>
      </c>
      <c r="DP14" s="55">
        <f>[5]Cinergy!$D5</f>
        <v>37144</v>
      </c>
      <c r="DQ14" s="56">
        <f ca="1">[5]OPPD_NPPD!$O5+[5]NSP!$O5</f>
        <v>1194.7822265625</v>
      </c>
      <c r="DR14" s="56">
        <f ca="1">[5]COMED!$O5</f>
        <v>15930.4296875</v>
      </c>
      <c r="DS14" s="56">
        <f t="shared" ca="1" si="26"/>
        <v>17125.2119140625</v>
      </c>
      <c r="DT14" s="56">
        <f ca="1">SUM([5]OPPD_NPPD!$P5:$R5)+SUM([5]NSP!$P5:$R5)</f>
        <v>0</v>
      </c>
      <c r="DU14" s="56">
        <f ca="1">SUM([5]COMED!$P5:$R5)</f>
        <v>-796.521484375</v>
      </c>
      <c r="DV14" s="56">
        <f t="shared" ca="1" si="27"/>
        <v>-796.521484375</v>
      </c>
      <c r="DW14" s="57"/>
      <c r="DX14" s="58">
        <f>[5]OtherPosn!$D5</f>
        <v>37316</v>
      </c>
      <c r="DY14" s="56">
        <f>[5]OtherPosn!$N5</f>
        <v>32927.16796875</v>
      </c>
      <c r="DZ14" s="56">
        <f>SUM([5]OtherPosn!$O5:$P5)</f>
        <v>0</v>
      </c>
      <c r="EO14" s="54">
        <f t="shared" si="7"/>
        <v>37226</v>
      </c>
      <c r="EP14" s="449">
        <f t="shared" si="7"/>
        <v>20</v>
      </c>
      <c r="EQ14" s="297">
        <f t="shared" si="28"/>
        <v>670</v>
      </c>
      <c r="ER14" s="297">
        <f t="shared" si="28"/>
        <v>670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.75" thickBot="1" x14ac:dyDescent="0.3">
      <c r="A15" s="153">
        <f>[5]Cinergy!$D37</f>
        <v>37257</v>
      </c>
      <c r="B15" s="154">
        <f ca="1">[5]Cinergy!$O37</f>
        <v>130040.0703125</v>
      </c>
      <c r="C15" s="138">
        <f t="shared" ca="1" si="29"/>
        <v>375.40959467741942</v>
      </c>
      <c r="D15" s="138">
        <f t="shared" si="9"/>
        <v>600</v>
      </c>
      <c r="E15" s="137">
        <f t="shared" ca="1" si="10"/>
        <v>337877.17222393147</v>
      </c>
      <c r="F15" s="172">
        <f t="shared" ca="1" si="0"/>
        <v>975.40959467741936</v>
      </c>
      <c r="G15" s="139">
        <f>[5]Cinergy!$E37</f>
        <v>29.666667938232422</v>
      </c>
      <c r="H15" s="143">
        <f t="shared" si="11"/>
        <v>-0.25000018165225057</v>
      </c>
      <c r="I15" s="134">
        <f t="shared" si="12"/>
        <v>29.416667756580171</v>
      </c>
      <c r="J15" s="137">
        <f t="shared" ca="1" si="1"/>
        <v>-32510.041200196436</v>
      </c>
      <c r="K15" s="140">
        <f t="shared" si="13"/>
        <v>-51959.313231935179</v>
      </c>
      <c r="L15" s="140">
        <f t="shared" ca="1" si="2"/>
        <v>-84469.354432131615</v>
      </c>
      <c r="M15" s="289"/>
      <c r="N15" s="124">
        <f t="shared" si="3"/>
        <v>37257</v>
      </c>
      <c r="O15" s="165">
        <v>25.25</v>
      </c>
      <c r="P15" s="165">
        <v>25.25</v>
      </c>
      <c r="Q15" s="162">
        <f t="shared" si="30"/>
        <v>-4.4166679382324219</v>
      </c>
      <c r="R15" s="287">
        <f>+Master!L25</f>
        <v>-0.25000018165225057</v>
      </c>
      <c r="S15" s="431">
        <f t="shared" si="31"/>
        <v>29.416667756580171</v>
      </c>
      <c r="T15" s="46">
        <f t="shared" si="32"/>
        <v>2002</v>
      </c>
      <c r="U15" s="45">
        <f t="shared" si="33"/>
        <v>3</v>
      </c>
      <c r="V15" s="191" t="str">
        <f t="shared" si="14"/>
        <v>Q3 2002</v>
      </c>
      <c r="W15" s="136">
        <f t="array" ref="W15">SUM(IF((INT((MONTH($A$12:$A$47)-1)/3)=U15-1)*(YEAR($A$12:$A$47)=T15),$I$12:$I$47*$DK$12:$DK$47))/SUM(IF((INT((MONTH($A$12:$A$47)-1)/3)=U15-1)*(YEAR($A$12:$A$47)=T15),$DK$12:$DK$47))</f>
        <v>46.5546875</v>
      </c>
      <c r="X15" s="190">
        <f t="array" ref="X15">AVERAGE(IF((INT((MONTH($A$12:$A$47)-1)/3)=U15-1)*(YEAR($A$12:$A$47)=T15),$I$12:$I$47))</f>
        <v>46</v>
      </c>
      <c r="Y15" s="198">
        <f t="shared" si="34"/>
        <v>20.038281249999997</v>
      </c>
      <c r="Z15" s="198">
        <f t="shared" ref="Z15:Z22" si="36">W15-$W$13</f>
        <v>17.881431816160219</v>
      </c>
      <c r="AA15" s="198">
        <f>W15-$W$14</f>
        <v>13.385392313779789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37257</v>
      </c>
      <c r="AK15" s="781"/>
      <c r="AL15" s="778"/>
      <c r="AM15" s="781"/>
      <c r="AN15" s="778"/>
      <c r="AO15" s="781"/>
      <c r="AP15" s="778"/>
      <c r="AQ15" s="781"/>
      <c r="AR15" s="778"/>
      <c r="AS15" s="789">
        <v>600</v>
      </c>
      <c r="AT15" s="790">
        <v>29.666667938232422</v>
      </c>
      <c r="AU15" s="843"/>
      <c r="AV15" s="844"/>
      <c r="AW15" s="843"/>
      <c r="AX15" s="844"/>
      <c r="AY15" s="789"/>
      <c r="AZ15" s="1007"/>
      <c r="BA15" s="781"/>
      <c r="BB15" s="778"/>
      <c r="BC15" s="781"/>
      <c r="BD15" s="778"/>
      <c r="BE15" s="781"/>
      <c r="BF15" s="778"/>
      <c r="BG15" s="781"/>
      <c r="BH15" s="778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825">
        <f t="shared" si="16"/>
        <v>600</v>
      </c>
      <c r="BZ15" s="49">
        <f t="shared" si="17"/>
        <v>0</v>
      </c>
      <c r="CB15" s="51">
        <f t="shared" si="5"/>
        <v>37257</v>
      </c>
      <c r="CC15" s="50">
        <f>ABS(AK15)+ABS(AM15)+ABS(AO15)+ABS(AQ15)+ABS(AS15)+ABS(AU15)+ABS(AW15)+ABS(AY15)+ABS(BA15)+ABS(BC15)+ABS(BE15)+ABS(BG15)+ABS(BI15)+ABS(BK15)+ABS(BM15)+ABS(BO15)+ABS(BQ15)+ABS(BS15)+ABS(BU15)+ABS(BW15)</f>
        <v>600</v>
      </c>
      <c r="CD15" s="52">
        <f t="shared" si="18"/>
        <v>352</v>
      </c>
      <c r="CE15" s="50">
        <f>VLOOKUP(A15,Interest!$X$8:$AC$367,6)</f>
        <v>0.9840771870806414</v>
      </c>
      <c r="CF15" s="53">
        <f t="shared" ca="1" si="19"/>
        <v>207837.10191143147</v>
      </c>
      <c r="CG15" s="53">
        <f t="shared" si="20"/>
        <v>0</v>
      </c>
      <c r="CH15" s="53">
        <f t="shared" si="21"/>
        <v>0</v>
      </c>
      <c r="CI15" s="53">
        <f t="shared" si="22"/>
        <v>0</v>
      </c>
      <c r="CJ15" s="25">
        <f t="shared" si="23"/>
        <v>211200</v>
      </c>
      <c r="CK15" s="838" t="str">
        <f>[3]!'NGN1 LAST'</f>
        <v>+NA+</v>
      </c>
      <c r="CL15" s="837">
        <v>7.82</v>
      </c>
      <c r="CM15" s="438">
        <f t="shared" ca="1" si="24"/>
        <v>162.52861369473942</v>
      </c>
      <c r="CN15" s="25" t="str">
        <f>[3]!'NGN1 CLS'</f>
        <v>+NA+</v>
      </c>
      <c r="CO15" s="25" t="e">
        <f t="shared" si="35"/>
        <v>#VALUE!</v>
      </c>
      <c r="CQ15" s="57"/>
      <c r="CV15" s="958"/>
      <c r="DJ15" s="54">
        <f>[5]Cinergy!$D37</f>
        <v>37257</v>
      </c>
      <c r="DK15" s="30">
        <f t="shared" si="25"/>
        <v>22</v>
      </c>
      <c r="DL15" s="254">
        <v>35827</v>
      </c>
      <c r="DM15" s="255">
        <v>20</v>
      </c>
      <c r="DP15" s="55">
        <f>[5]Cinergy!$D6</f>
        <v>37145</v>
      </c>
      <c r="DQ15" s="56">
        <f ca="1">[5]OPPD_NPPD!$O6+[5]NSP!$O6</f>
        <v>1194.7822265625</v>
      </c>
      <c r="DR15" s="56">
        <f ca="1">[5]COMED!$O6</f>
        <v>15930.4296875</v>
      </c>
      <c r="DS15" s="56">
        <f t="shared" ca="1" si="26"/>
        <v>17125.2119140625</v>
      </c>
      <c r="DT15" s="56">
        <f ca="1">SUM([5]OPPD_NPPD!$P6:$R6)+SUM([5]NSP!$P6:$R6)</f>
        <v>0</v>
      </c>
      <c r="DU15" s="56">
        <f ca="1">SUM([5]COMED!$P6:$R6)</f>
        <v>-796.521484375</v>
      </c>
      <c r="DV15" s="56">
        <f t="shared" ca="1" si="27"/>
        <v>-796.521484375</v>
      </c>
      <c r="DW15" s="57"/>
      <c r="DX15" s="58">
        <f>[5]OtherPosn!$D6</f>
        <v>37347</v>
      </c>
      <c r="DY15" s="56">
        <f>[5]OtherPosn!$N6</f>
        <v>34387.6953125</v>
      </c>
      <c r="DZ15" s="56">
        <f>SUM([5]OtherPosn!$O6:$P6)</f>
        <v>0</v>
      </c>
      <c r="EO15" s="54">
        <f t="shared" si="7"/>
        <v>37257</v>
      </c>
      <c r="EP15" s="449">
        <f t="shared" si="7"/>
        <v>22</v>
      </c>
      <c r="EQ15" s="297">
        <f t="shared" si="28"/>
        <v>555.5</v>
      </c>
      <c r="ER15" s="297">
        <f t="shared" si="28"/>
        <v>555.5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.75" thickBot="1" x14ac:dyDescent="0.3">
      <c r="A16" s="151">
        <f>[5]Cinergy!$D38</f>
        <v>37288</v>
      </c>
      <c r="B16" s="152">
        <f ca="1">[5]Cinergy!$O38</f>
        <v>116952.0859375</v>
      </c>
      <c r="C16" s="142">
        <f t="shared" ca="1" si="29"/>
        <v>372.37899313420081</v>
      </c>
      <c r="D16" s="141">
        <f t="shared" si="9"/>
        <v>600</v>
      </c>
      <c r="E16" s="142">
        <f t="shared" ca="1" si="10"/>
        <v>305392.49975324702</v>
      </c>
      <c r="F16" s="171">
        <f t="shared" ca="1" si="0"/>
        <v>972.37899313420075</v>
      </c>
      <c r="G16" s="143">
        <f>[5]Cinergy!$E38</f>
        <v>29.316665649414063</v>
      </c>
      <c r="H16" s="143">
        <f t="shared" si="11"/>
        <v>-0.25000018165225057</v>
      </c>
      <c r="I16" s="174">
        <f t="shared" si="12"/>
        <v>29.066665467761812</v>
      </c>
      <c r="J16" s="152">
        <f t="shared" ca="1" si="1"/>
        <v>-29238.042728984619</v>
      </c>
      <c r="K16" s="144">
        <f t="shared" si="13"/>
        <v>-47110.137684562011</v>
      </c>
      <c r="L16" s="144">
        <f t="shared" ca="1" si="2"/>
        <v>-76348.180413546623</v>
      </c>
      <c r="M16"/>
      <c r="N16" s="124">
        <f t="shared" si="3"/>
        <v>37288</v>
      </c>
      <c r="O16" s="165">
        <v>25.25</v>
      </c>
      <c r="P16" s="165">
        <v>25.25</v>
      </c>
      <c r="Q16" s="162">
        <f t="shared" si="30"/>
        <v>-4.0666656494140625</v>
      </c>
      <c r="R16" s="287">
        <f>+R15</f>
        <v>-0.25000018165225057</v>
      </c>
      <c r="S16" s="431">
        <f t="shared" si="31"/>
        <v>29.066665467761812</v>
      </c>
      <c r="T16" s="46">
        <f t="shared" si="32"/>
        <v>2002</v>
      </c>
      <c r="U16" s="45">
        <f t="shared" si="33"/>
        <v>4</v>
      </c>
      <c r="V16" s="192" t="str">
        <f t="shared" si="14"/>
        <v>Q4 2002</v>
      </c>
      <c r="W16" s="136">
        <f t="array" ref="W16">SUM(IF((INT((MONTH($A$12:$A$47)-1)/3)=U16-1)*(YEAR($A$12:$A$47)=T16),$I$12:$I$47*$DK$12:$DK$47))/SUM(IF((INT((MONTH($A$12:$A$47)-1)/3)=U16-1)*(YEAR($A$12:$A$47)=T16),$DK$12:$DK$47))</f>
        <v>29</v>
      </c>
      <c r="X16" s="190">
        <f t="array" ref="X16">AVERAGE(IF((INT((MONTH($A$12:$A$47)-1)/3)=U16-1)*(YEAR($A$12:$A$47)=T16),$I$12:$I$47))</f>
        <v>29.00625005364418</v>
      </c>
      <c r="Y16" s="200">
        <f t="shared" si="34"/>
        <v>2.4835937499999972</v>
      </c>
      <c r="Z16" s="200">
        <f t="shared" si="36"/>
        <v>0.32674431616021948</v>
      </c>
      <c r="AA16" s="200">
        <f>W16-$W$14</f>
        <v>-4.1692951862202108</v>
      </c>
      <c r="AB16" s="200">
        <f t="shared" ref="AB16:AB22" si="37">W16-$W$15</f>
        <v>-17.5546875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37288</v>
      </c>
      <c r="AK16" s="781">
        <f t="shared" ref="AK16:AR16" si="38">+AK15</f>
        <v>0</v>
      </c>
      <c r="AL16" s="778">
        <f t="shared" si="38"/>
        <v>0</v>
      </c>
      <c r="AM16" s="781">
        <f t="shared" si="38"/>
        <v>0</v>
      </c>
      <c r="AN16" s="778">
        <f t="shared" si="38"/>
        <v>0</v>
      </c>
      <c r="AO16" s="781">
        <f t="shared" si="38"/>
        <v>0</v>
      </c>
      <c r="AP16" s="778">
        <f t="shared" si="38"/>
        <v>0</v>
      </c>
      <c r="AQ16" s="781">
        <f t="shared" si="38"/>
        <v>0</v>
      </c>
      <c r="AR16" s="778">
        <f t="shared" si="38"/>
        <v>0</v>
      </c>
      <c r="AS16" s="789">
        <v>600</v>
      </c>
      <c r="AT16" s="790">
        <v>29.316665649414063</v>
      </c>
      <c r="AU16" s="843">
        <f>+AU15</f>
        <v>0</v>
      </c>
      <c r="AV16" s="844">
        <f>+AV15</f>
        <v>0</v>
      </c>
      <c r="AW16" s="843">
        <f>+AW15</f>
        <v>0</v>
      </c>
      <c r="AX16" s="844">
        <f>+AX15</f>
        <v>0</v>
      </c>
      <c r="AY16" s="841"/>
      <c r="AZ16" s="842"/>
      <c r="BA16" s="843"/>
      <c r="BB16" s="844"/>
      <c r="BC16" s="781"/>
      <c r="BD16" s="778"/>
      <c r="BE16" s="781"/>
      <c r="BF16" s="778"/>
      <c r="BG16" s="781"/>
      <c r="BH16" s="778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825">
        <f t="shared" si="16"/>
        <v>600</v>
      </c>
      <c r="BZ16" s="49">
        <f t="shared" si="17"/>
        <v>0</v>
      </c>
      <c r="CB16" s="51">
        <f t="shared" si="5"/>
        <v>37288</v>
      </c>
      <c r="CC16" s="50">
        <f t="shared" si="6"/>
        <v>600</v>
      </c>
      <c r="CD16" s="52">
        <f t="shared" si="18"/>
        <v>320</v>
      </c>
      <c r="CE16" s="50">
        <f>VLOOKUP(A16,Interest!$X$8:$AC$367,6)</f>
        <v>0.98146048862368218</v>
      </c>
      <c r="CF16" s="53">
        <f t="shared" ca="1" si="19"/>
        <v>188440.41381574702</v>
      </c>
      <c r="CG16" s="53">
        <f t="shared" si="20"/>
        <v>0</v>
      </c>
      <c r="CH16" s="53">
        <f t="shared" si="21"/>
        <v>0</v>
      </c>
      <c r="CI16" s="53">
        <f t="shared" si="22"/>
        <v>0</v>
      </c>
      <c r="CJ16" s="25">
        <f t="shared" si="23"/>
        <v>192000</v>
      </c>
      <c r="CK16" s="838" t="str">
        <f>[3]!'NGQ1 LAST'</f>
        <v>+NA+</v>
      </c>
      <c r="CL16" s="837">
        <v>8.35</v>
      </c>
      <c r="CM16" s="438">
        <f t="shared" ca="1" si="24"/>
        <v>157.34774553614875</v>
      </c>
      <c r="CN16" s="25" t="str">
        <f>[3]!'NGQ1 CLS'</f>
        <v>+NA+</v>
      </c>
      <c r="CO16" s="25" t="e">
        <f t="shared" si="35"/>
        <v>#VALUE!</v>
      </c>
      <c r="CQ16" s="57">
        <f>SUM(CD15:CD16)</f>
        <v>672</v>
      </c>
      <c r="CR16" s="25">
        <f>+'EOL LINKS'!H60</f>
        <v>28.625</v>
      </c>
      <c r="CS16" s="25">
        <f>+CR16*CQ16</f>
        <v>19236</v>
      </c>
      <c r="CU16" s="29">
        <f>+'EOL LINKS'!H68</f>
        <v>25.1</v>
      </c>
      <c r="CV16" s="958">
        <f>+CU16*CD12</f>
        <v>9236.8000000000011</v>
      </c>
      <c r="DJ16" s="54">
        <f>[5]Cinergy!$D38</f>
        <v>37288</v>
      </c>
      <c r="DK16" s="30">
        <f t="shared" si="25"/>
        <v>20</v>
      </c>
      <c r="DL16" s="254">
        <v>35855</v>
      </c>
      <c r="DM16" s="255">
        <v>22</v>
      </c>
      <c r="DP16" s="55">
        <f>[5]Cinergy!$D7</f>
        <v>37146</v>
      </c>
      <c r="DQ16" s="56">
        <f ca="1">[5]OPPD_NPPD!$O7+[5]NSP!$O7</f>
        <v>1194.7822265625</v>
      </c>
      <c r="DR16" s="56">
        <f ca="1">[5]COMED!$O7</f>
        <v>15930.4296875</v>
      </c>
      <c r="DS16" s="56">
        <f t="shared" ca="1" si="26"/>
        <v>17125.2119140625</v>
      </c>
      <c r="DT16" s="56">
        <f ca="1">SUM([5]OPPD_NPPD!$P7:$R7)+SUM([5]NSP!$P7:$R7)</f>
        <v>0</v>
      </c>
      <c r="DU16" s="56">
        <f ca="1">SUM([5]COMED!$P7:$R7)</f>
        <v>-796.521484375</v>
      </c>
      <c r="DV16" s="56">
        <f t="shared" ca="1" si="27"/>
        <v>-796.521484375</v>
      </c>
      <c r="DW16" s="57"/>
      <c r="DX16" s="58">
        <f>[5]OtherPosn!$D7</f>
        <v>37377</v>
      </c>
      <c r="DY16" s="56">
        <f>[5]OtherPosn!$N7</f>
        <v>34283.1328125</v>
      </c>
      <c r="DZ16" s="56">
        <f>SUM([5]OtherPosn!$O7:$P7)</f>
        <v>0</v>
      </c>
      <c r="EO16" s="54">
        <f t="shared" si="7"/>
        <v>37288</v>
      </c>
      <c r="EP16" s="449">
        <f t="shared" si="7"/>
        <v>20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.75" thickBot="1" x14ac:dyDescent="0.3">
      <c r="A17" s="153">
        <f>[5]Cinergy!$D39</f>
        <v>37316</v>
      </c>
      <c r="B17" s="154">
        <f ca="1">[5]Cinergy!$O39</f>
        <v>24575.98828125</v>
      </c>
      <c r="C17" s="138">
        <f t="shared" ca="1" si="29"/>
        <v>74.744270110371531</v>
      </c>
      <c r="D17" s="138">
        <f t="shared" si="9"/>
        <v>-50</v>
      </c>
      <c r="E17" s="137">
        <f t="shared" ca="1" si="10"/>
        <v>8135.9399371028594</v>
      </c>
      <c r="F17" s="172">
        <f t="shared" ca="1" si="0"/>
        <v>24.744270110371531</v>
      </c>
      <c r="G17" s="139">
        <f>[5]Cinergy!$E39</f>
        <v>27.769767761230469</v>
      </c>
      <c r="H17" s="143">
        <f t="shared" si="11"/>
        <v>-0.25000070971112009</v>
      </c>
      <c r="I17" s="134">
        <f t="shared" si="12"/>
        <v>27.519767051519349</v>
      </c>
      <c r="J17" s="137">
        <f t="shared" ca="1" si="1"/>
        <v>-6144.0145121646701</v>
      </c>
      <c r="K17" s="140">
        <f t="shared" si="13"/>
        <v>4110.02375372191</v>
      </c>
      <c r="L17" s="140">
        <f t="shared" ca="1" si="2"/>
        <v>-2033.9907584427601</v>
      </c>
      <c r="M17"/>
      <c r="N17" s="124">
        <f t="shared" si="3"/>
        <v>37316</v>
      </c>
      <c r="O17" s="165">
        <v>30</v>
      </c>
      <c r="P17" s="165">
        <v>30</v>
      </c>
      <c r="Q17" s="162">
        <f t="shared" si="30"/>
        <v>2.2302322387695313</v>
      </c>
      <c r="R17" s="287">
        <f>+Master!L28</f>
        <v>-0.25000070971112009</v>
      </c>
      <c r="S17" s="431">
        <f t="shared" si="31"/>
        <v>27.519767051519349</v>
      </c>
      <c r="T17" s="46">
        <f t="shared" si="32"/>
        <v>2003</v>
      </c>
      <c r="U17" s="45">
        <f t="shared" si="33"/>
        <v>1</v>
      </c>
      <c r="V17" s="191" t="str">
        <f t="shared" si="14"/>
        <v>Q1 2003</v>
      </c>
      <c r="W17" s="136">
        <f t="array" ref="W17">SUM(IF((INT((MONTH($A$12:$A$47)-1)/3)=U17-1)*(YEAR($A$12:$A$47)=T17),$I$12:$I$47*$DK$12:$DK$47))/SUM(IF((INT((MONTH($A$12:$A$47)-1)/3)=U17-1)*(YEAR($A$12:$A$47)=T17),$DK$12:$DK$47))</f>
        <v>29.465892643891564</v>
      </c>
      <c r="X17" s="190">
        <f t="array" ref="X17">AVERAGE(IF((INT((MONTH($A$12:$A$47)-1)/3)=U17-1)*(YEAR($A$12:$A$47)=T17),$I$12:$I$47))</f>
        <v>29.456368737486553</v>
      </c>
      <c r="Y17" s="198">
        <f t="shared" si="34"/>
        <v>2.9494863938915614</v>
      </c>
      <c r="Z17" s="198">
        <f t="shared" si="36"/>
        <v>0.79263696005178375</v>
      </c>
      <c r="AA17" s="198">
        <f t="shared" ref="AA17:AA22" si="39">W17-$W$14</f>
        <v>-3.7034025423286465</v>
      </c>
      <c r="AB17" s="198">
        <f t="shared" si="37"/>
        <v>-17.088794856108436</v>
      </c>
      <c r="AC17" s="198">
        <f t="shared" ref="AC17:AC22" si="40">W17-$W$16</f>
        <v>0.46589264389156426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37316</v>
      </c>
      <c r="AK17" s="781"/>
      <c r="AL17" s="778"/>
      <c r="AM17" s="781"/>
      <c r="AN17" s="778"/>
      <c r="AO17" s="781"/>
      <c r="AP17" s="778"/>
      <c r="AQ17" s="781"/>
      <c r="AR17" s="778"/>
      <c r="AS17" s="789">
        <v>-50</v>
      </c>
      <c r="AT17" s="790">
        <v>27.769767761230469</v>
      </c>
      <c r="AU17" s="843">
        <f t="shared" ref="AU17:AU26" si="41">+AU16</f>
        <v>0</v>
      </c>
      <c r="AV17" s="844">
        <f t="shared" ref="AV17:AV26" si="42">+AV16</f>
        <v>0</v>
      </c>
      <c r="AW17" s="843">
        <f t="shared" ref="AW17:AW26" si="43">+AW16</f>
        <v>0</v>
      </c>
      <c r="AX17" s="844">
        <f t="shared" ref="AX17:AX26" si="44">+AX16</f>
        <v>0</v>
      </c>
      <c r="AY17" s="841"/>
      <c r="AZ17" s="842"/>
      <c r="BA17" s="843"/>
      <c r="BB17" s="844"/>
      <c r="BC17" s="781"/>
      <c r="BD17" s="778"/>
      <c r="BE17" s="781"/>
      <c r="BF17" s="778"/>
      <c r="BG17" s="781"/>
      <c r="BH17" s="778"/>
      <c r="BI17" s="78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825">
        <f t="shared" si="16"/>
        <v>-50</v>
      </c>
      <c r="BZ17" s="49">
        <f t="shared" si="17"/>
        <v>0</v>
      </c>
      <c r="CB17" s="51">
        <f t="shared" si="5"/>
        <v>37316</v>
      </c>
      <c r="CC17" s="50">
        <f t="shared" si="6"/>
        <v>50</v>
      </c>
      <c r="CD17" s="52">
        <f t="shared" si="18"/>
        <v>336</v>
      </c>
      <c r="CE17" s="50">
        <f>VLOOKUP(A17,Interest!$X$8:$AC$367,6)</f>
        <v>0.97857430619923447</v>
      </c>
      <c r="CF17" s="53">
        <f t="shared" ca="1" si="19"/>
        <v>-16440.048344147141</v>
      </c>
      <c r="CG17" s="53">
        <f t="shared" si="20"/>
        <v>0</v>
      </c>
      <c r="CH17" s="53">
        <f t="shared" si="21"/>
        <v>0</v>
      </c>
      <c r="CI17" s="53">
        <f t="shared" si="22"/>
        <v>0</v>
      </c>
      <c r="CJ17" s="25">
        <f t="shared" si="23"/>
        <v>16800</v>
      </c>
      <c r="CK17" s="838" t="str">
        <f>[3]!'NGU1 LAST'</f>
        <v>+NA+</v>
      </c>
      <c r="CL17" s="837">
        <v>8.44</v>
      </c>
      <c r="CM17" s="438">
        <f t="shared" ca="1" si="24"/>
        <v>-13.875400802460184</v>
      </c>
      <c r="CN17" s="25" t="str">
        <f>[3]!'NGU1 CLS'</f>
        <v>+NA+</v>
      </c>
      <c r="CO17" s="25" t="e">
        <f t="shared" si="35"/>
        <v>#VALUE!</v>
      </c>
      <c r="CU17" s="29">
        <f>+'EOL LINKS'!H69</f>
        <v>25.5</v>
      </c>
      <c r="CV17" s="958">
        <f>+CU17*CD13</f>
        <v>8568</v>
      </c>
      <c r="DJ17" s="54">
        <f>[5]Cinergy!$D39</f>
        <v>37316</v>
      </c>
      <c r="DK17" s="30">
        <f t="shared" si="25"/>
        <v>21</v>
      </c>
      <c r="DL17" s="254">
        <v>35886</v>
      </c>
      <c r="DM17" s="255">
        <v>22</v>
      </c>
      <c r="DP17" s="55">
        <f>[5]Cinergy!$D8</f>
        <v>37147</v>
      </c>
      <c r="DQ17" s="56">
        <f ca="1">[5]OPPD_NPPD!$O8+[5]NSP!$O8</f>
        <v>1194.7822265625</v>
      </c>
      <c r="DR17" s="56">
        <f ca="1">[5]COMED!$O8</f>
        <v>15930.4296875</v>
      </c>
      <c r="DS17" s="56">
        <f t="shared" ca="1" si="26"/>
        <v>17125.2119140625</v>
      </c>
      <c r="DT17" s="56">
        <f ca="1">SUM([5]OPPD_NPPD!$P8:$R8)+SUM([5]NSP!$P8:$R8)</f>
        <v>0</v>
      </c>
      <c r="DU17" s="56">
        <f ca="1">SUM([5]COMED!$P8:$R8)</f>
        <v>-796.521484375</v>
      </c>
      <c r="DV17" s="56">
        <f t="shared" ca="1" si="27"/>
        <v>-796.521484375</v>
      </c>
      <c r="DW17" s="57"/>
      <c r="DX17" s="58">
        <f>[5]OtherPosn!$D8</f>
        <v>37408</v>
      </c>
      <c r="DY17" s="56">
        <f>[5]OtherPosn!$N8</f>
        <v>31069.0625</v>
      </c>
      <c r="DZ17" s="56">
        <f>SUM([5]OtherPosn!$O8:$P8)</f>
        <v>0</v>
      </c>
      <c r="EO17" s="54">
        <f t="shared" si="7"/>
        <v>37316</v>
      </c>
      <c r="EP17" s="449">
        <f t="shared" si="7"/>
        <v>21</v>
      </c>
      <c r="EQ17" s="297">
        <f t="shared" ref="EQ17:EQ32" si="45">O15*$EP17</f>
        <v>530.25</v>
      </c>
      <c r="ER17" s="297">
        <f t="shared" ref="ER17:ER32" si="46">P15*$EP17</f>
        <v>530.25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.75" thickBot="1" x14ac:dyDescent="0.3">
      <c r="A18" s="151">
        <f>[5]Cinergy!$D40</f>
        <v>37347</v>
      </c>
      <c r="B18" s="152">
        <f ca="1">[5]Cinergy!$O40</f>
        <v>24357.748046875</v>
      </c>
      <c r="C18" s="142">
        <f t="shared" ca="1" si="29"/>
        <v>70.916939608042924</v>
      </c>
      <c r="D18" s="141">
        <f t="shared" si="9"/>
        <v>-50</v>
      </c>
      <c r="E18" s="142">
        <f t="shared" ca="1" si="10"/>
        <v>7184.3137577615817</v>
      </c>
      <c r="F18" s="171">
        <f t="shared" ca="1" si="0"/>
        <v>20.916939608042924</v>
      </c>
      <c r="G18" s="143">
        <f>[5]Cinergy!$E40</f>
        <v>28.219768524169922</v>
      </c>
      <c r="H18" s="143">
        <f t="shared" si="11"/>
        <v>-0.25000070971112009</v>
      </c>
      <c r="I18" s="174">
        <f t="shared" si="12"/>
        <v>27.969767814458802</v>
      </c>
      <c r="J18" s="152">
        <f t="shared" ca="1" si="1"/>
        <v>-6089.4542986833994</v>
      </c>
      <c r="K18" s="144">
        <f t="shared" si="13"/>
        <v>4293.3707604556403</v>
      </c>
      <c r="L18" s="144">
        <f t="shared" ca="1" si="2"/>
        <v>-1796.0835382277592</v>
      </c>
      <c r="M18"/>
      <c r="N18" s="124">
        <f t="shared" si="3"/>
        <v>37347</v>
      </c>
      <c r="O18" s="165">
        <v>28</v>
      </c>
      <c r="P18" s="165">
        <v>28</v>
      </c>
      <c r="Q18" s="162">
        <f t="shared" si="30"/>
        <v>-0.21976852416992188</v>
      </c>
      <c r="R18" s="287">
        <f>+R17</f>
        <v>-0.25000070971112009</v>
      </c>
      <c r="S18" s="431">
        <f t="shared" si="31"/>
        <v>27.969767814458802</v>
      </c>
      <c r="T18" s="46">
        <f t="shared" si="32"/>
        <v>2003</v>
      </c>
      <c r="U18" s="45">
        <f t="shared" si="33"/>
        <v>2</v>
      </c>
      <c r="V18" s="192" t="str">
        <f t="shared" si="14"/>
        <v>Q2 2003</v>
      </c>
      <c r="W18" s="136">
        <f t="array" ref="W18">SUM(IF((INT((MONTH($A$12:$A$47)-1)/3)=U18-1)*(YEAR($A$12:$A$47)=T18),$I$12:$I$47*$DK$12:$DK$47))/SUM(IF((INT((MONTH($A$12:$A$47)-1)/3)=U18-1)*(YEAR($A$12:$A$47)=T18),$DK$12:$DK$47))</f>
        <v>32.92224630366924</v>
      </c>
      <c r="X18" s="190">
        <f t="array" ref="X18">AVERAGE(IF((INT((MONTH($A$12:$A$47)-1)/3)=U18-1)*(YEAR($A$12:$A$47)=T18),$I$12:$I$47))</f>
        <v>32.990890355073205</v>
      </c>
      <c r="Y18" s="200">
        <f t="shared" si="34"/>
        <v>6.4058400536692375</v>
      </c>
      <c r="Z18" s="200">
        <f t="shared" si="36"/>
        <v>4.2489906198294598</v>
      </c>
      <c r="AA18" s="200">
        <f t="shared" si="39"/>
        <v>-0.24704888255097046</v>
      </c>
      <c r="AB18" s="200">
        <f t="shared" si="37"/>
        <v>-13.63244119633076</v>
      </c>
      <c r="AC18" s="200">
        <f t="shared" si="40"/>
        <v>3.9222463036692403</v>
      </c>
      <c r="AD18" s="200">
        <f>W18-$W$17</f>
        <v>3.4563536597776761</v>
      </c>
      <c r="AE18" s="196">
        <v>0</v>
      </c>
      <c r="AF18" s="197"/>
      <c r="AG18" s="197"/>
      <c r="AH18" s="197"/>
      <c r="AI18" s="197"/>
      <c r="AJ18" s="47">
        <f t="shared" si="4"/>
        <v>37347</v>
      </c>
      <c r="AK18" s="781">
        <f t="shared" ref="AK18:AR18" si="47">+AK17</f>
        <v>0</v>
      </c>
      <c r="AL18" s="778">
        <f t="shared" si="47"/>
        <v>0</v>
      </c>
      <c r="AM18" s="781">
        <f t="shared" si="47"/>
        <v>0</v>
      </c>
      <c r="AN18" s="778">
        <f t="shared" si="47"/>
        <v>0</v>
      </c>
      <c r="AO18" s="781">
        <f t="shared" si="47"/>
        <v>0</v>
      </c>
      <c r="AP18" s="778">
        <f t="shared" si="47"/>
        <v>0</v>
      </c>
      <c r="AQ18" s="781">
        <f t="shared" si="47"/>
        <v>0</v>
      </c>
      <c r="AR18" s="778">
        <f t="shared" si="47"/>
        <v>0</v>
      </c>
      <c r="AS18" s="789">
        <v>-50</v>
      </c>
      <c r="AT18" s="790">
        <v>28.219768524169922</v>
      </c>
      <c r="AU18" s="843">
        <f t="shared" si="41"/>
        <v>0</v>
      </c>
      <c r="AV18" s="844">
        <f t="shared" si="42"/>
        <v>0</v>
      </c>
      <c r="AW18" s="843">
        <f t="shared" si="43"/>
        <v>0</v>
      </c>
      <c r="AX18" s="844">
        <f t="shared" si="44"/>
        <v>0</v>
      </c>
      <c r="AY18" s="843"/>
      <c r="AZ18" s="844"/>
      <c r="BA18" s="843"/>
      <c r="BB18" s="844"/>
      <c r="BC18" s="781"/>
      <c r="BD18" s="778"/>
      <c r="BE18" s="781"/>
      <c r="BF18" s="778"/>
      <c r="BG18" s="781"/>
      <c r="BH18" s="778"/>
      <c r="BI18" s="78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825">
        <f t="shared" si="16"/>
        <v>-50</v>
      </c>
      <c r="BZ18" s="49">
        <f t="shared" si="17"/>
        <v>0</v>
      </c>
      <c r="CB18" s="51">
        <f t="shared" si="5"/>
        <v>37347</v>
      </c>
      <c r="CC18" s="50">
        <f t="shared" si="6"/>
        <v>50</v>
      </c>
      <c r="CD18" s="52">
        <f t="shared" si="18"/>
        <v>352</v>
      </c>
      <c r="CE18" s="50">
        <f>VLOOKUP(A18,Interest!$X$8:$AC$367,6)</f>
        <v>0.97576331188144427</v>
      </c>
      <c r="CF18" s="53">
        <f t="shared" ca="1" si="19"/>
        <v>-17173.434289113418</v>
      </c>
      <c r="CG18" s="53">
        <f t="shared" si="20"/>
        <v>0</v>
      </c>
      <c r="CH18" s="53">
        <f t="shared" si="21"/>
        <v>0</v>
      </c>
      <c r="CI18" s="53">
        <f t="shared" si="22"/>
        <v>0</v>
      </c>
      <c r="CJ18" s="25">
        <f t="shared" si="23"/>
        <v>17600</v>
      </c>
      <c r="CK18" s="838">
        <f>[3]!'NGV1 LAST'</f>
        <v>2.4449999999999998</v>
      </c>
      <c r="CL18" s="554">
        <v>8.2899999999999991</v>
      </c>
      <c r="CM18" s="438">
        <f t="shared" ca="1" si="24"/>
        <v>-14.236777025675023</v>
      </c>
      <c r="CN18" s="25">
        <f>[3]!'NGV1 CLS'</f>
        <v>2.44</v>
      </c>
      <c r="CO18" s="25" t="e">
        <f t="shared" si="35"/>
        <v>#VALUE!</v>
      </c>
      <c r="CQ18" s="57">
        <f>SUM(CD17:CD18)</f>
        <v>688</v>
      </c>
      <c r="CR18" s="25">
        <f>+'EOL LINKS'!H61</f>
        <v>27.125</v>
      </c>
      <c r="CS18" s="25">
        <f t="shared" ref="CS18:CS26" si="48">+CR18*CQ18</f>
        <v>18662</v>
      </c>
      <c r="CU18" s="29">
        <f>+'EOL LINKS'!H70</f>
        <v>26.75</v>
      </c>
      <c r="CV18" s="958">
        <f>+CU18*CD14</f>
        <v>8560</v>
      </c>
      <c r="CW18" s="25">
        <f>SUM(CV16:CV18)/SUM(CD12:CD14)</f>
        <v>25.746875000000003</v>
      </c>
      <c r="DJ18" s="54">
        <f>[5]Cinergy!$D40</f>
        <v>37347</v>
      </c>
      <c r="DK18" s="30">
        <f t="shared" si="25"/>
        <v>22</v>
      </c>
      <c r="DL18" s="254">
        <v>35916</v>
      </c>
      <c r="DM18" s="255">
        <v>20</v>
      </c>
      <c r="DP18" s="55">
        <f>[5]Cinergy!$D9</f>
        <v>37148</v>
      </c>
      <c r="DQ18" s="56">
        <f ca="1">[5]OPPD_NPPD!$O9+[5]NSP!$O9</f>
        <v>1194.7822265625</v>
      </c>
      <c r="DR18" s="56">
        <f ca="1">[5]COMED!$O9</f>
        <v>15930.4296875</v>
      </c>
      <c r="DS18" s="56">
        <f t="shared" ca="1" si="26"/>
        <v>17125.2119140625</v>
      </c>
      <c r="DT18" s="56">
        <f ca="1">SUM([5]OPPD_NPPD!$P9:$R9)+SUM([5]NSP!$P9:$R9)</f>
        <v>0</v>
      </c>
      <c r="DU18" s="56">
        <f ca="1">SUM([5]COMED!$P9:$R9)</f>
        <v>-796.521484375</v>
      </c>
      <c r="DV18" s="56">
        <f t="shared" ca="1" si="27"/>
        <v>-796.521484375</v>
      </c>
      <c r="DW18" s="57"/>
      <c r="DX18" s="58">
        <f>[5]OtherPosn!$D9</f>
        <v>37438</v>
      </c>
      <c r="DY18" s="56">
        <f>[5]OtherPosn!$N9</f>
        <v>85172.3984375</v>
      </c>
      <c r="DZ18" s="56">
        <f>SUM([5]OtherPosn!$O9:$P9)</f>
        <v>0</v>
      </c>
      <c r="EO18" s="54">
        <f t="shared" si="7"/>
        <v>37347</v>
      </c>
      <c r="EP18" s="449">
        <f t="shared" si="7"/>
        <v>22</v>
      </c>
      <c r="EQ18" s="297">
        <f t="shared" si="45"/>
        <v>555.5</v>
      </c>
      <c r="ER18" s="297">
        <f t="shared" si="46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.75" thickBot="1" x14ac:dyDescent="0.3">
      <c r="A19" s="153">
        <f>[5]Cinergy!$D41</f>
        <v>37377</v>
      </c>
      <c r="B19" s="154">
        <f ca="1">[5]Cinergy!$O41</f>
        <v>-166816.125</v>
      </c>
      <c r="C19" s="138">
        <f t="shared" ca="1" si="29"/>
        <v>-487.1536882227719</v>
      </c>
      <c r="D19" s="138">
        <f t="shared" si="9"/>
        <v>0</v>
      </c>
      <c r="E19" s="137">
        <f t="shared" ca="1" si="10"/>
        <v>-166816.125</v>
      </c>
      <c r="F19" s="172">
        <f t="shared" ca="1" si="0"/>
        <v>-487.1536882227719</v>
      </c>
      <c r="G19" s="139">
        <f>[5]Cinergy!$E41</f>
        <v>31.25</v>
      </c>
      <c r="H19" s="143">
        <f t="shared" si="11"/>
        <v>0</v>
      </c>
      <c r="I19" s="134">
        <f t="shared" si="12"/>
        <v>31.25</v>
      </c>
      <c r="J19" s="137">
        <f t="shared" ca="1" si="1"/>
        <v>0</v>
      </c>
      <c r="K19" s="140">
        <f t="shared" si="13"/>
        <v>4280.3772462591969</v>
      </c>
      <c r="L19" s="140">
        <f t="shared" ca="1" si="2"/>
        <v>4280.3772462591969</v>
      </c>
      <c r="M19"/>
      <c r="N19" s="124">
        <f t="shared" si="3"/>
        <v>37377</v>
      </c>
      <c r="O19" s="165">
        <v>33</v>
      </c>
      <c r="P19" s="165">
        <v>35</v>
      </c>
      <c r="Q19" s="162">
        <f t="shared" si="30"/>
        <v>2.75</v>
      </c>
      <c r="R19" s="287">
        <f>+Master!L29</f>
        <v>0</v>
      </c>
      <c r="S19" s="431">
        <f t="shared" si="31"/>
        <v>31.25</v>
      </c>
      <c r="T19" s="46">
        <f t="shared" si="32"/>
        <v>2003</v>
      </c>
      <c r="U19" s="45">
        <f t="shared" si="33"/>
        <v>3</v>
      </c>
      <c r="V19" s="191" t="str">
        <f t="shared" si="14"/>
        <v>Q3 2003</v>
      </c>
      <c r="W19" s="136">
        <f t="array" ref="W19">SUM(IF((INT((MONTH($A$12:$A$47)-1)/3)=U19-1)*(YEAR($A$12:$A$47)=T19),$I$12:$I$47*$DK$12:$DK$47))/SUM(IF((INT((MONTH($A$12:$A$47)-1)/3)=U19-1)*(YEAR($A$12:$A$47)=T19),$DK$12:$DK$47))</f>
        <v>42.611328125</v>
      </c>
      <c r="X19" s="190">
        <f t="array" ref="X19">AVERAGE(IF((INT((MONTH($A$12:$A$47)-1)/3)=U19-1)*(YEAR($A$12:$A$47)=T19),$I$12:$I$47))</f>
        <v>42.5</v>
      </c>
      <c r="Y19" s="198">
        <f t="shared" si="34"/>
        <v>16.094921874999997</v>
      </c>
      <c r="Z19" s="198">
        <f t="shared" si="36"/>
        <v>13.938072441160219</v>
      </c>
      <c r="AA19" s="198">
        <f t="shared" si="39"/>
        <v>9.4420329387797892</v>
      </c>
      <c r="AB19" s="198">
        <f t="shared" si="37"/>
        <v>-3.943359375</v>
      </c>
      <c r="AC19" s="198">
        <f t="shared" si="40"/>
        <v>13.611328125</v>
      </c>
      <c r="AD19" s="198">
        <f>W19-$W$17</f>
        <v>13.145435481108436</v>
      </c>
      <c r="AE19" s="198">
        <f>W19-$W$18</f>
        <v>9.6890818213307597</v>
      </c>
      <c r="AF19" s="199">
        <v>0</v>
      </c>
      <c r="AG19" s="197"/>
      <c r="AH19" s="197"/>
      <c r="AI19" s="197"/>
      <c r="AJ19" s="47">
        <f t="shared" si="4"/>
        <v>37377</v>
      </c>
      <c r="AK19" s="781">
        <v>50</v>
      </c>
      <c r="AL19" s="778">
        <v>31</v>
      </c>
      <c r="AM19" s="781"/>
      <c r="AN19" s="778"/>
      <c r="AO19" s="781"/>
      <c r="AP19" s="778"/>
      <c r="AQ19" s="781"/>
      <c r="AR19" s="778"/>
      <c r="AS19" s="789">
        <v>-50</v>
      </c>
      <c r="AT19" s="790">
        <v>31.25</v>
      </c>
      <c r="AU19" s="843">
        <f t="shared" si="41"/>
        <v>0</v>
      </c>
      <c r="AV19" s="844">
        <f t="shared" si="42"/>
        <v>0</v>
      </c>
      <c r="AW19" s="843">
        <f t="shared" si="43"/>
        <v>0</v>
      </c>
      <c r="AX19" s="844">
        <f t="shared" si="44"/>
        <v>0</v>
      </c>
      <c r="AY19" s="843"/>
      <c r="AZ19" s="844"/>
      <c r="BA19" s="843"/>
      <c r="BB19" s="844"/>
      <c r="BC19" s="781"/>
      <c r="BD19" s="778"/>
      <c r="BE19" s="781"/>
      <c r="BF19" s="778"/>
      <c r="BG19" s="781"/>
      <c r="BH19" s="778"/>
      <c r="BI19" s="78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825">
        <f t="shared" si="16"/>
        <v>0</v>
      </c>
      <c r="BZ19" s="49">
        <f t="shared" si="17"/>
        <v>15.5</v>
      </c>
      <c r="CB19" s="51">
        <f t="shared" si="5"/>
        <v>37377</v>
      </c>
      <c r="CC19" s="50">
        <f t="shared" si="6"/>
        <v>100</v>
      </c>
      <c r="CD19" s="52">
        <f t="shared" si="18"/>
        <v>352</v>
      </c>
      <c r="CE19" s="50">
        <f>VLOOKUP(A19,Interest!$X$8:$AC$367,6)</f>
        <v>0.97281301051345392</v>
      </c>
      <c r="CF19" s="53">
        <f t="shared" ca="1" si="19"/>
        <v>0</v>
      </c>
      <c r="CG19" s="53">
        <f t="shared" si="20"/>
        <v>0</v>
      </c>
      <c r="CH19" s="53">
        <f t="shared" si="21"/>
        <v>0</v>
      </c>
      <c r="CI19" s="53">
        <f t="shared" si="22"/>
        <v>0</v>
      </c>
      <c r="CJ19" s="25">
        <f t="shared" si="23"/>
        <v>35200</v>
      </c>
      <c r="CK19" s="838">
        <f>[3]!'NGX1 LAST'</f>
        <v>2.7349999999999999</v>
      </c>
      <c r="CL19" s="554">
        <v>8.76</v>
      </c>
      <c r="CM19" s="438">
        <f t="shared" ca="1" si="24"/>
        <v>0</v>
      </c>
      <c r="CN19" s="25">
        <f>[3]!'NGX1 CLS'</f>
        <v>2.74</v>
      </c>
      <c r="CO19" s="25">
        <f t="shared" si="35"/>
        <v>0.30000000000000027</v>
      </c>
      <c r="CQ19" s="57">
        <f>+CD19</f>
        <v>352</v>
      </c>
      <c r="CR19" s="25">
        <f>+'EOL LINKS'!H62</f>
        <v>30.375</v>
      </c>
      <c r="CS19" s="25">
        <f t="shared" si="48"/>
        <v>10692</v>
      </c>
      <c r="CV19" s="958"/>
      <c r="DJ19" s="54">
        <f>[5]Cinergy!$D41</f>
        <v>37377</v>
      </c>
      <c r="DK19" s="30">
        <f t="shared" si="25"/>
        <v>22</v>
      </c>
      <c r="DL19" s="254">
        <v>35947</v>
      </c>
      <c r="DM19" s="255">
        <v>22</v>
      </c>
      <c r="DP19" s="55">
        <f>[5]Cinergy!$D10</f>
        <v>37149</v>
      </c>
      <c r="DQ19" s="56">
        <f ca="1">[5]OPPD_NPPD!$O10+[5]NSP!$O10</f>
        <v>0</v>
      </c>
      <c r="DR19" s="56">
        <f ca="1">[5]COMED!$O10</f>
        <v>0</v>
      </c>
      <c r="DS19" s="56">
        <f t="shared" ca="1" si="26"/>
        <v>0</v>
      </c>
      <c r="DT19" s="56">
        <f ca="1">SUM([5]OPPD_NPPD!$P10:$R10)+SUM([5]NSP!$P10:$R10)</f>
        <v>0</v>
      </c>
      <c r="DU19" s="56">
        <f ca="1">SUM([5]COMED!$P10:$R10)</f>
        <v>-3186.0859375</v>
      </c>
      <c r="DV19" s="56">
        <f t="shared" ca="1" si="27"/>
        <v>-3186.0859375</v>
      </c>
      <c r="DW19" s="57"/>
      <c r="DX19" s="58">
        <f>[5]OtherPosn!$D10</f>
        <v>37469</v>
      </c>
      <c r="DY19" s="56">
        <f>[5]OtherPosn!$N10</f>
        <v>84873.765625</v>
      </c>
      <c r="DZ19" s="56">
        <f>SUM([5]OtherPosn!$O10:$P10)</f>
        <v>0</v>
      </c>
      <c r="EO19" s="54">
        <f t="shared" si="7"/>
        <v>37377</v>
      </c>
      <c r="EP19" s="449">
        <f t="shared" si="7"/>
        <v>22</v>
      </c>
      <c r="EQ19" s="297">
        <f t="shared" si="45"/>
        <v>660</v>
      </c>
      <c r="ER19" s="297">
        <f t="shared" si="46"/>
        <v>660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.75" thickBot="1" x14ac:dyDescent="0.3">
      <c r="A20" s="151">
        <f>[5]Cinergy!$D42</f>
        <v>37408</v>
      </c>
      <c r="B20" s="152">
        <f ca="1">[5]Cinergy!$O42</f>
        <v>-418908.625</v>
      </c>
      <c r="C20" s="142">
        <f t="shared" ca="1" si="29"/>
        <v>-1349.6449729940928</v>
      </c>
      <c r="D20" s="141">
        <f t="shared" si="9"/>
        <v>-300</v>
      </c>
      <c r="E20" s="142">
        <f t="shared" ca="1" si="10"/>
        <v>-512023.91829169</v>
      </c>
      <c r="F20" s="171">
        <f t="shared" ca="1" si="0"/>
        <v>-1649.6449729940928</v>
      </c>
      <c r="G20" s="143">
        <f>[5]Cinergy!$E42</f>
        <v>41.375</v>
      </c>
      <c r="H20" s="143">
        <f t="shared" si="11"/>
        <v>-0.375</v>
      </c>
      <c r="I20" s="174">
        <f t="shared" si="12"/>
        <v>41</v>
      </c>
      <c r="J20" s="152">
        <f t="shared" ca="1" si="1"/>
        <v>157090.734375</v>
      </c>
      <c r="K20" s="144">
        <f t="shared" si="13"/>
        <v>34918.234984383758</v>
      </c>
      <c r="L20" s="144">
        <f t="shared" ca="1" si="2"/>
        <v>192008.96935938374</v>
      </c>
      <c r="M20"/>
      <c r="N20" s="124">
        <f t="shared" si="3"/>
        <v>37408</v>
      </c>
      <c r="O20" s="165">
        <v>33</v>
      </c>
      <c r="P20" s="165">
        <v>35</v>
      </c>
      <c r="Q20" s="162">
        <f t="shared" si="30"/>
        <v>-7.375</v>
      </c>
      <c r="R20" s="287">
        <f>+Master!L30</f>
        <v>-0.375</v>
      </c>
      <c r="S20" s="431">
        <f t="shared" si="31"/>
        <v>41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34.371568627450984</v>
      </c>
      <c r="X20" s="190">
        <f t="array" ref="X20">AVERAGE(IF((YEAR($A$12:$A$47)=T20),$I$12:$I$47))</f>
        <v>34.270134854271056</v>
      </c>
      <c r="Y20" s="200">
        <f t="shared" si="34"/>
        <v>7.8551623774509807</v>
      </c>
      <c r="Z20" s="200">
        <f t="shared" si="36"/>
        <v>5.698312943611203</v>
      </c>
      <c r="AA20" s="200">
        <f t="shared" si="39"/>
        <v>1.2022734412307727</v>
      </c>
      <c r="AB20" s="200">
        <f t="shared" si="37"/>
        <v>-12.183118872549016</v>
      </c>
      <c r="AC20" s="200">
        <f t="shared" si="40"/>
        <v>5.3715686274509835</v>
      </c>
      <c r="AD20" s="200">
        <f>W20-$W$17</f>
        <v>4.9056759835594193</v>
      </c>
      <c r="AE20" s="200">
        <f>W20-$W$18</f>
        <v>1.4493223237817432</v>
      </c>
      <c r="AF20" s="200">
        <f>W20-$W$19</f>
        <v>-8.2397594975490165</v>
      </c>
      <c r="AG20" s="196">
        <v>0</v>
      </c>
      <c r="AH20" s="201"/>
      <c r="AI20" s="197"/>
      <c r="AJ20" s="47">
        <f t="shared" si="4"/>
        <v>37408</v>
      </c>
      <c r="AK20" s="781"/>
      <c r="AL20" s="778"/>
      <c r="AM20" s="781"/>
      <c r="AN20" s="778"/>
      <c r="AO20" s="781"/>
      <c r="AP20" s="778"/>
      <c r="AQ20" s="781"/>
      <c r="AR20" s="778"/>
      <c r="AS20" s="789">
        <v>-300</v>
      </c>
      <c r="AT20" s="790">
        <v>41.375</v>
      </c>
      <c r="AU20" s="843">
        <f t="shared" si="41"/>
        <v>0</v>
      </c>
      <c r="AV20" s="844">
        <f t="shared" si="42"/>
        <v>0</v>
      </c>
      <c r="AW20" s="843">
        <f t="shared" si="43"/>
        <v>0</v>
      </c>
      <c r="AX20" s="844">
        <f t="shared" si="44"/>
        <v>0</v>
      </c>
      <c r="AY20" s="843"/>
      <c r="AZ20" s="844"/>
      <c r="BA20" s="843"/>
      <c r="BB20" s="844"/>
      <c r="BC20" s="781"/>
      <c r="BD20" s="778"/>
      <c r="BE20" s="781"/>
      <c r="BF20" s="778"/>
      <c r="BG20" s="781"/>
      <c r="BH20" s="778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825">
        <f t="shared" si="16"/>
        <v>-300</v>
      </c>
      <c r="BZ20" s="49">
        <f t="shared" si="17"/>
        <v>0</v>
      </c>
      <c r="CB20" s="51">
        <f t="shared" si="5"/>
        <v>37408</v>
      </c>
      <c r="CC20" s="50">
        <f t="shared" si="6"/>
        <v>300</v>
      </c>
      <c r="CD20" s="52">
        <f t="shared" si="18"/>
        <v>320</v>
      </c>
      <c r="CE20" s="50">
        <f>VLOOKUP(A20,Interest!$X$8:$AC$367,6)</f>
        <v>0.9699509717884377</v>
      </c>
      <c r="CF20" s="53">
        <f t="shared" ca="1" si="19"/>
        <v>-93115.293291690003</v>
      </c>
      <c r="CG20" s="53">
        <f t="shared" si="20"/>
        <v>0</v>
      </c>
      <c r="CH20" s="53">
        <f t="shared" si="21"/>
        <v>0</v>
      </c>
      <c r="CI20" s="53">
        <f t="shared" si="22"/>
        <v>0</v>
      </c>
      <c r="CJ20" s="25">
        <f t="shared" si="23"/>
        <v>96000</v>
      </c>
      <c r="CK20" s="838">
        <f>[3]!'NGZ1 LAST'</f>
        <v>3.05</v>
      </c>
      <c r="CL20" s="554">
        <v>9.39</v>
      </c>
      <c r="CM20" s="438">
        <f t="shared" ca="1" si="24"/>
        <v>-87.435260400896922</v>
      </c>
      <c r="CN20" s="25">
        <f>[3]!'NGZ1 CLS'</f>
        <v>3.06</v>
      </c>
      <c r="CO20" s="25">
        <f t="shared" si="35"/>
        <v>0.31999999999999984</v>
      </c>
      <c r="CQ20" s="57">
        <f>+CD20</f>
        <v>320</v>
      </c>
      <c r="CR20" s="25">
        <f>+'EOL LINKS'!H63</f>
        <v>39.75</v>
      </c>
      <c r="CS20" s="25">
        <f t="shared" si="48"/>
        <v>12720</v>
      </c>
      <c r="CV20" s="958"/>
      <c r="DJ20" s="54">
        <f>[5]Cinergy!$D42</f>
        <v>37408</v>
      </c>
      <c r="DK20" s="30">
        <f t="shared" si="25"/>
        <v>20</v>
      </c>
      <c r="DL20" s="254">
        <v>35977</v>
      </c>
      <c r="DM20" s="255">
        <v>23</v>
      </c>
      <c r="DP20" s="55">
        <f>[5]Cinergy!$D11</f>
        <v>37150</v>
      </c>
      <c r="DQ20" s="56">
        <f ca="1">[5]OPPD_NPPD!$O11+[5]NSP!$O11</f>
        <v>0</v>
      </c>
      <c r="DR20" s="56">
        <f ca="1">[5]COMED!$O11</f>
        <v>0</v>
      </c>
      <c r="DS20" s="56">
        <f t="shared" ca="1" si="26"/>
        <v>0</v>
      </c>
      <c r="DT20" s="56">
        <f ca="1">SUM([5]OPPD_NPPD!$P11:$R11)+SUM([5]NSP!$P11:$R11)</f>
        <v>0</v>
      </c>
      <c r="DU20" s="56">
        <f ca="1">SUM([5]COMED!$P11:$R11)</f>
        <v>-3186.0859375</v>
      </c>
      <c r="DV20" s="56">
        <f t="shared" ca="1" si="27"/>
        <v>-3186.0859375</v>
      </c>
      <c r="DW20" s="57"/>
      <c r="DX20" s="58">
        <f>[5]OtherPosn!$D11</f>
        <v>37500</v>
      </c>
      <c r="DY20" s="56">
        <f>[5]OtherPosn!$N11</f>
        <v>30768.26953125</v>
      </c>
      <c r="DZ20" s="56">
        <f>SUM([5]OtherPosn!$O11:$P11)</f>
        <v>0</v>
      </c>
      <c r="EO20" s="54">
        <f t="shared" si="7"/>
        <v>37408</v>
      </c>
      <c r="EP20" s="449">
        <f t="shared" si="7"/>
        <v>20</v>
      </c>
      <c r="EQ20" s="297">
        <f t="shared" si="45"/>
        <v>560</v>
      </c>
      <c r="ER20" s="297">
        <f t="shared" si="46"/>
        <v>560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.75" thickBot="1" x14ac:dyDescent="0.3">
      <c r="A21" s="153">
        <f>[5]Cinergy!$D43</f>
        <v>37438</v>
      </c>
      <c r="B21" s="154">
        <f ca="1">[5]Cinergy!$O43</f>
        <v>-164653.953125</v>
      </c>
      <c r="C21" s="138">
        <f t="shared" ca="1" si="29"/>
        <v>-483.76513842871424</v>
      </c>
      <c r="D21" s="138">
        <f t="shared" si="9"/>
        <v>-650</v>
      </c>
      <c r="E21" s="137">
        <f t="shared" ca="1" si="10"/>
        <v>-385887.48367428908</v>
      </c>
      <c r="F21" s="172">
        <f t="shared" ca="1" si="0"/>
        <v>-1133.7651384287142</v>
      </c>
      <c r="G21" s="139">
        <f>[5]Cinergy!$E43</f>
        <v>55.375</v>
      </c>
      <c r="H21" s="143">
        <f t="shared" si="11"/>
        <v>-0.5</v>
      </c>
      <c r="I21" s="134">
        <f t="shared" si="12"/>
        <v>54.875</v>
      </c>
      <c r="J21" s="137">
        <f t="shared" ca="1" si="1"/>
        <v>82326.9765625</v>
      </c>
      <c r="K21" s="140">
        <f t="shared" si="13"/>
        <v>116998.5017327971</v>
      </c>
      <c r="L21" s="140">
        <f t="shared" ca="1" si="2"/>
        <v>199325.4782952971</v>
      </c>
      <c r="M21"/>
      <c r="N21" s="124">
        <f t="shared" si="3"/>
        <v>37438</v>
      </c>
      <c r="O21" s="165">
        <v>27</v>
      </c>
      <c r="P21" s="165">
        <v>28</v>
      </c>
      <c r="Q21" s="162">
        <f t="shared" si="30"/>
        <v>-27.875</v>
      </c>
      <c r="R21" s="287">
        <f>+Master!L31</f>
        <v>-0.5</v>
      </c>
      <c r="S21" s="431">
        <f t="shared" si="31"/>
        <v>54.875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33.579686063878675</v>
      </c>
      <c r="X21" s="190">
        <f t="array" ref="X21">AVERAGE(IF((YEAR($A$12:$A$47)=T21),$I$12:$I$47))</f>
        <v>33.550955182371126</v>
      </c>
      <c r="Y21" s="198">
        <f t="shared" si="34"/>
        <v>7.0632798138786725</v>
      </c>
      <c r="Z21" s="198">
        <f>W21-$W$13</f>
        <v>4.9064303800388949</v>
      </c>
      <c r="AA21" s="198">
        <f t="shared" si="39"/>
        <v>0.4103908776584646</v>
      </c>
      <c r="AB21" s="198">
        <f t="shared" si="37"/>
        <v>-12.975001436121325</v>
      </c>
      <c r="AC21" s="198">
        <f t="shared" si="40"/>
        <v>4.5796860638786754</v>
      </c>
      <c r="AD21" s="198">
        <f>W21-$W$17</f>
        <v>4.1137934199871111</v>
      </c>
      <c r="AE21" s="198">
        <f>W21-$W$18</f>
        <v>0.65743976020943506</v>
      </c>
      <c r="AF21" s="198">
        <f>W21-$W$19</f>
        <v>-9.0316420611213246</v>
      </c>
      <c r="AG21" s="198">
        <f>W21-$W$20</f>
        <v>-0.79188256357230813</v>
      </c>
      <c r="AH21" s="199">
        <v>0</v>
      </c>
      <c r="AI21" s="201"/>
      <c r="AJ21" s="47">
        <f t="shared" si="4"/>
        <v>37438</v>
      </c>
      <c r="AK21" s="781">
        <v>50</v>
      </c>
      <c r="AL21" s="778">
        <v>55</v>
      </c>
      <c r="AM21" s="781"/>
      <c r="AN21" s="778"/>
      <c r="AO21" s="781"/>
      <c r="AP21" s="778"/>
      <c r="AQ21" s="781"/>
      <c r="AR21" s="778"/>
      <c r="AS21" s="789">
        <v>-700</v>
      </c>
      <c r="AT21" s="790">
        <v>55.375</v>
      </c>
      <c r="AU21" s="843">
        <f t="shared" si="41"/>
        <v>0</v>
      </c>
      <c r="AV21" s="844">
        <f t="shared" si="42"/>
        <v>0</v>
      </c>
      <c r="AW21" s="843">
        <f t="shared" si="43"/>
        <v>0</v>
      </c>
      <c r="AX21" s="844">
        <f t="shared" si="44"/>
        <v>0</v>
      </c>
      <c r="AY21" s="781"/>
      <c r="AZ21" s="778"/>
      <c r="BA21" s="843"/>
      <c r="BB21" s="844"/>
      <c r="BC21" s="781"/>
      <c r="BD21" s="778"/>
      <c r="BE21" s="781"/>
      <c r="BF21" s="778"/>
      <c r="BG21" s="781"/>
      <c r="BH21" s="778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49">AK21+AM21+AO21+AQ21+AS21+AU21+AW21+AY21+BA21+BC21+BE21+BG21+BI21+BK21+BM21+BO21+BQ21+BS21+BU21+BW21</f>
        <v>-650</v>
      </c>
      <c r="BZ21" s="49">
        <f t="shared" ref="BZ21:BZ28" si="50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55.35</v>
      </c>
      <c r="CB21" s="51">
        <f t="shared" si="5"/>
        <v>37438</v>
      </c>
      <c r="CC21" s="50">
        <f t="shared" si="6"/>
        <v>750</v>
      </c>
      <c r="CD21" s="52">
        <f t="shared" si="18"/>
        <v>352</v>
      </c>
      <c r="CE21" s="50">
        <f>VLOOKUP(A21,Interest!$X$8:$AC$367,6)</f>
        <v>0.96692976638675288</v>
      </c>
      <c r="CF21" s="53">
        <f t="shared" ca="1" si="19"/>
        <v>-221233.53054928908</v>
      </c>
      <c r="CG21" s="53">
        <f t="shared" si="20"/>
        <v>0</v>
      </c>
      <c r="CH21" s="53">
        <f t="shared" si="21"/>
        <v>0</v>
      </c>
      <c r="CI21" s="53">
        <f t="shared" si="22"/>
        <v>0</v>
      </c>
      <c r="CJ21" s="25">
        <f t="shared" si="23"/>
        <v>264000</v>
      </c>
      <c r="CK21" s="838">
        <f>[3]!'NGF2 LAST'</f>
        <v>3.2</v>
      </c>
      <c r="CL21" s="554">
        <v>12.39</v>
      </c>
      <c r="CM21" s="438">
        <f t="shared" ca="1" si="24"/>
        <v>-274.10834435056915</v>
      </c>
      <c r="CN21" s="25">
        <f>[3]!'NGF2 CLS'</f>
        <v>3.2050000000000001</v>
      </c>
      <c r="CO21" s="25">
        <f t="shared" si="35"/>
        <v>0.14500000000000002</v>
      </c>
      <c r="CV21" s="958"/>
      <c r="DJ21" s="54">
        <f>[5]Cinergy!$D43</f>
        <v>37438</v>
      </c>
      <c r="DK21" s="30">
        <f t="shared" si="25"/>
        <v>22</v>
      </c>
      <c r="DL21" s="254">
        <v>36008</v>
      </c>
      <c r="DM21" s="255">
        <v>21</v>
      </c>
      <c r="DP21" s="55">
        <f>[5]Cinergy!$D12</f>
        <v>37151</v>
      </c>
      <c r="DQ21" s="56">
        <f ca="1">[5]OPPD_NPPD!$O12+[5]NSP!$O12</f>
        <v>1593.04296875</v>
      </c>
      <c r="DR21" s="56">
        <f ca="1">[5]COMED!$O12</f>
        <v>15930.4296875</v>
      </c>
      <c r="DS21" s="56">
        <f t="shared" ca="1" si="26"/>
        <v>17523.47265625</v>
      </c>
      <c r="DT21" s="56">
        <f ca="1">SUM([5]OPPD_NPPD!$P12:$R12)+SUM([5]NSP!$P12:$R12)</f>
        <v>0</v>
      </c>
      <c r="DU21" s="56">
        <f ca="1">SUM([5]COMED!$P12:$R12)</f>
        <v>-796.521484375</v>
      </c>
      <c r="DV21" s="56">
        <f t="shared" ca="1" si="27"/>
        <v>-796.521484375</v>
      </c>
      <c r="DW21" s="57"/>
      <c r="DX21" s="58">
        <f>[5]OtherPosn!$D12</f>
        <v>37530</v>
      </c>
      <c r="DY21" s="56">
        <f>[5]OtherPosn!$N12</f>
        <v>35258.61328125</v>
      </c>
      <c r="DZ21" s="56">
        <f>SUM([5]OtherPosn!$O12:$P12)</f>
        <v>0</v>
      </c>
      <c r="EO21" s="54">
        <f t="shared" si="7"/>
        <v>37438</v>
      </c>
      <c r="EP21" s="449">
        <f t="shared" si="7"/>
        <v>22</v>
      </c>
      <c r="EQ21" s="297">
        <f t="shared" si="45"/>
        <v>726</v>
      </c>
      <c r="ER21" s="297">
        <f t="shared" si="46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.75" thickBot="1" x14ac:dyDescent="0.3">
      <c r="A22" s="151">
        <f>[5]Cinergy!$D44</f>
        <v>37469</v>
      </c>
      <c r="B22" s="152">
        <f ca="1">[5]Cinergy!$O44</f>
        <v>-174802.015625</v>
      </c>
      <c r="C22" s="142">
        <f t="shared" ca="1" si="29"/>
        <v>-515.26152109775364</v>
      </c>
      <c r="D22" s="141">
        <f t="shared" si="9"/>
        <v>-650</v>
      </c>
      <c r="E22" s="142">
        <f t="shared" ca="1" si="10"/>
        <v>-395313.9411306777</v>
      </c>
      <c r="F22" s="171">
        <f t="shared" ca="1" si="0"/>
        <v>-1165.2615210977538</v>
      </c>
      <c r="G22" s="143">
        <f>[5]Cinergy!$E44</f>
        <v>55.375</v>
      </c>
      <c r="H22" s="143">
        <f t="shared" si="11"/>
        <v>-0.5</v>
      </c>
      <c r="I22" s="174">
        <f t="shared" si="12"/>
        <v>54.875</v>
      </c>
      <c r="J22" s="152">
        <f t="shared" ca="1" si="1"/>
        <v>87401.0078125</v>
      </c>
      <c r="K22" s="144">
        <f t="shared" si="13"/>
        <v>116616.88368088723</v>
      </c>
      <c r="L22" s="144">
        <f t="shared" ca="1" si="2"/>
        <v>204017.89149338723</v>
      </c>
      <c r="M22"/>
      <c r="N22" s="124">
        <f t="shared" si="3"/>
        <v>37469</v>
      </c>
      <c r="O22" s="165">
        <v>29</v>
      </c>
      <c r="P22" s="165">
        <v>30</v>
      </c>
      <c r="Q22" s="162">
        <f t="shared" si="30"/>
        <v>-25.875</v>
      </c>
      <c r="R22" s="287">
        <f>+R21</f>
        <v>-0.5</v>
      </c>
      <c r="S22" s="431">
        <f t="shared" si="31"/>
        <v>54.875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33.932698616701657</v>
      </c>
      <c r="X22" s="195">
        <f t="array" ref="X22">AVERAGE(IF((YEAR($A$12:$A$50)=T22),$I$12:$I$50))</f>
        <v>33.85512229408581</v>
      </c>
      <c r="Y22" s="202">
        <f t="shared" si="34"/>
        <v>7.4162923667016543</v>
      </c>
      <c r="Z22" s="202">
        <f t="shared" si="36"/>
        <v>5.2594429328618766</v>
      </c>
      <c r="AA22" s="202">
        <f t="shared" si="39"/>
        <v>0.76340343048144632</v>
      </c>
      <c r="AB22" s="202">
        <f t="shared" si="37"/>
        <v>-12.621988883298343</v>
      </c>
      <c r="AC22" s="202">
        <f t="shared" si="40"/>
        <v>4.9326986167016571</v>
      </c>
      <c r="AD22" s="202">
        <f>W22-$W$17</f>
        <v>4.4668059728100928</v>
      </c>
      <c r="AE22" s="202">
        <f>W22-$W$18</f>
        <v>1.0104523130324168</v>
      </c>
      <c r="AF22" s="202">
        <f>W22-$W$19</f>
        <v>-8.6786295082983429</v>
      </c>
      <c r="AG22" s="202">
        <f>W22-$W$20</f>
        <v>-0.43887001074932641</v>
      </c>
      <c r="AH22" s="202">
        <f>W22-$W$21</f>
        <v>0.35301255282298172</v>
      </c>
      <c r="AI22" s="203">
        <v>0</v>
      </c>
      <c r="AJ22" s="47">
        <f t="shared" si="4"/>
        <v>37469</v>
      </c>
      <c r="AK22" s="781">
        <f t="shared" ref="AK22:AR22" si="51">+AK21</f>
        <v>50</v>
      </c>
      <c r="AL22" s="778">
        <f t="shared" si="51"/>
        <v>55</v>
      </c>
      <c r="AM22" s="781">
        <f t="shared" si="51"/>
        <v>0</v>
      </c>
      <c r="AN22" s="778">
        <f t="shared" si="51"/>
        <v>0</v>
      </c>
      <c r="AO22" s="781">
        <f t="shared" si="51"/>
        <v>0</v>
      </c>
      <c r="AP22" s="778">
        <f t="shared" si="51"/>
        <v>0</v>
      </c>
      <c r="AQ22" s="781">
        <f t="shared" si="51"/>
        <v>0</v>
      </c>
      <c r="AR22" s="778">
        <f t="shared" si="51"/>
        <v>0</v>
      </c>
      <c r="AS22" s="789">
        <v>-700</v>
      </c>
      <c r="AT22" s="790">
        <v>55.375</v>
      </c>
      <c r="AU22" s="843">
        <f t="shared" si="41"/>
        <v>0</v>
      </c>
      <c r="AV22" s="844">
        <f t="shared" si="42"/>
        <v>0</v>
      </c>
      <c r="AW22" s="843">
        <f t="shared" si="43"/>
        <v>0</v>
      </c>
      <c r="AX22" s="844">
        <f t="shared" si="44"/>
        <v>0</v>
      </c>
      <c r="AY22" s="989"/>
      <c r="AZ22" s="990"/>
      <c r="BA22" s="843"/>
      <c r="BB22" s="844"/>
      <c r="BC22" s="781"/>
      <c r="BD22" s="778"/>
      <c r="BE22" s="781"/>
      <c r="BF22" s="778"/>
      <c r="BG22" s="781"/>
      <c r="BH22" s="778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49"/>
        <v>-650</v>
      </c>
      <c r="BZ22" s="49">
        <f t="shared" si="50"/>
        <v>55.35</v>
      </c>
      <c r="CB22" s="51">
        <f t="shared" si="5"/>
        <v>37469</v>
      </c>
      <c r="CC22" s="50">
        <f t="shared" si="6"/>
        <v>750</v>
      </c>
      <c r="CD22" s="52">
        <f t="shared" si="18"/>
        <v>352</v>
      </c>
      <c r="CE22" s="50">
        <f>VLOOKUP(A22,Interest!$X$8:$AC$367,6)</f>
        <v>0.96377589818915066</v>
      </c>
      <c r="CF22" s="53">
        <f t="shared" ca="1" si="19"/>
        <v>-220511.9255056777</v>
      </c>
      <c r="CG22" s="53">
        <f t="shared" si="20"/>
        <v>0</v>
      </c>
      <c r="CH22" s="53">
        <f t="shared" si="21"/>
        <v>0</v>
      </c>
      <c r="CI22" s="53">
        <f t="shared" si="22"/>
        <v>0</v>
      </c>
      <c r="CJ22" s="25">
        <f t="shared" si="23"/>
        <v>264000</v>
      </c>
      <c r="CK22" s="838"/>
      <c r="CL22" s="554">
        <v>16.52</v>
      </c>
      <c r="CM22" s="438">
        <f t="shared" ca="1" si="24"/>
        <v>-364.28570093537957</v>
      </c>
      <c r="CN22" s="25">
        <f>[3]!'NGG2 CLS'</f>
        <v>3.177</v>
      </c>
      <c r="CO22" s="25">
        <f t="shared" si="35"/>
        <v>-2.8000000000000025E-2</v>
      </c>
      <c r="CQ22" s="57">
        <f>SUM(CD21:CD22)</f>
        <v>704</v>
      </c>
      <c r="CR22" s="25">
        <f>+'EOL LINKS'!H64</f>
        <v>54.125</v>
      </c>
      <c r="CS22" s="25">
        <f t="shared" si="48"/>
        <v>38104</v>
      </c>
      <c r="CV22" s="958"/>
      <c r="DJ22" s="54">
        <f>[5]Cinergy!$D44</f>
        <v>37469</v>
      </c>
      <c r="DK22" s="30">
        <f t="shared" si="25"/>
        <v>22</v>
      </c>
      <c r="DL22" s="254">
        <v>36039</v>
      </c>
      <c r="DM22" s="255">
        <v>21</v>
      </c>
      <c r="DP22" s="55">
        <f>[5]Cinergy!$D13</f>
        <v>37152</v>
      </c>
      <c r="DQ22" s="56">
        <f ca="1">[5]OPPD_NPPD!$O13+[5]NSP!$O13</f>
        <v>1593.04296875</v>
      </c>
      <c r="DR22" s="56">
        <f ca="1">[5]COMED!$O13</f>
        <v>15930.4296875</v>
      </c>
      <c r="DS22" s="56">
        <f t="shared" ca="1" si="26"/>
        <v>17523.47265625</v>
      </c>
      <c r="DT22" s="56">
        <f ca="1">SUM([5]OPPD_NPPD!$P13:$R13)+SUM([5]NSP!$P13:$R13)</f>
        <v>0</v>
      </c>
      <c r="DU22" s="56">
        <f ca="1">SUM([5]COMED!$P13:$R13)</f>
        <v>-796.521484375</v>
      </c>
      <c r="DV22" s="56">
        <f t="shared" ca="1" si="27"/>
        <v>-796.521484375</v>
      </c>
      <c r="DW22" s="57"/>
      <c r="DX22" s="58">
        <f>[5]OtherPosn!$D13</f>
        <v>37561</v>
      </c>
      <c r="DY22" s="56">
        <f>[5]OtherPosn!$N13</f>
        <v>30556.296875</v>
      </c>
      <c r="DZ22" s="56">
        <f>SUM([5]OtherPosn!$O13:$P13)</f>
        <v>0</v>
      </c>
      <c r="EO22" s="54">
        <f t="shared" si="7"/>
        <v>37469</v>
      </c>
      <c r="EP22" s="449">
        <f t="shared" si="7"/>
        <v>22</v>
      </c>
      <c r="EQ22" s="297">
        <f t="shared" si="45"/>
        <v>726</v>
      </c>
      <c r="ER22" s="297">
        <f t="shared" si="46"/>
        <v>770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8" x14ac:dyDescent="0.25">
      <c r="A23" s="153">
        <f>[5]Cinergy!$D45</f>
        <v>37500</v>
      </c>
      <c r="B23" s="154">
        <f ca="1">[5]Cinergy!$O45</f>
        <v>-245783.4375</v>
      </c>
      <c r="C23" s="138">
        <f t="shared" ca="1" si="29"/>
        <v>-799.5067105854049</v>
      </c>
      <c r="D23" s="138">
        <f t="shared" si="9"/>
        <v>-50</v>
      </c>
      <c r="E23" s="137">
        <f t="shared" ca="1" si="10"/>
        <v>-261154.38024793737</v>
      </c>
      <c r="F23" s="172">
        <f t="shared" ca="1" si="0"/>
        <v>-849.5067105854049</v>
      </c>
      <c r="G23" s="139">
        <f>[5]Cinergy!$E45</f>
        <v>28.25</v>
      </c>
      <c r="H23" s="143">
        <f t="shared" si="11"/>
        <v>0</v>
      </c>
      <c r="I23" s="134">
        <f t="shared" si="12"/>
        <v>28.25</v>
      </c>
      <c r="J23" s="137">
        <f t="shared" ca="1" si="1"/>
        <v>0</v>
      </c>
      <c r="K23" s="140">
        <f t="shared" si="13"/>
        <v>0</v>
      </c>
      <c r="L23" s="140">
        <f t="shared" ca="1" si="2"/>
        <v>0</v>
      </c>
      <c r="M23"/>
      <c r="N23" s="124">
        <f t="shared" si="3"/>
        <v>37500</v>
      </c>
      <c r="O23" s="165">
        <v>37</v>
      </c>
      <c r="P23" s="165">
        <v>40</v>
      </c>
      <c r="Q23" s="162">
        <f t="shared" si="30"/>
        <v>10.25</v>
      </c>
      <c r="R23" s="287">
        <f>+Master!L32</f>
        <v>0</v>
      </c>
      <c r="S23" s="431">
        <f t="shared" si="31"/>
        <v>28.25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34.372858827354044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37500</v>
      </c>
      <c r="AK23" s="781"/>
      <c r="AL23" s="778"/>
      <c r="AM23" s="781"/>
      <c r="AN23" s="778"/>
      <c r="AO23" s="781"/>
      <c r="AP23" s="778"/>
      <c r="AQ23" s="781"/>
      <c r="AR23" s="778"/>
      <c r="AS23" s="789">
        <v>-50</v>
      </c>
      <c r="AT23" s="790">
        <v>28.25</v>
      </c>
      <c r="AU23" s="843">
        <f t="shared" si="41"/>
        <v>0</v>
      </c>
      <c r="AV23" s="844">
        <f t="shared" si="42"/>
        <v>0</v>
      </c>
      <c r="AW23" s="843">
        <f t="shared" si="43"/>
        <v>0</v>
      </c>
      <c r="AX23" s="844">
        <f t="shared" si="44"/>
        <v>0</v>
      </c>
      <c r="AY23" s="989"/>
      <c r="AZ23" s="990"/>
      <c r="BA23" s="843"/>
      <c r="BB23" s="844"/>
      <c r="BC23" s="781"/>
      <c r="BD23" s="778"/>
      <c r="BE23" s="993"/>
      <c r="BF23" s="994"/>
      <c r="BG23" s="781"/>
      <c r="BH23" s="778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49"/>
        <v>-50</v>
      </c>
      <c r="BZ23" s="49">
        <f t="shared" si="50"/>
        <v>28.25</v>
      </c>
      <c r="CB23" s="51">
        <f t="shared" si="5"/>
        <v>37500</v>
      </c>
      <c r="CC23" s="50">
        <f t="shared" si="6"/>
        <v>50</v>
      </c>
      <c r="CD23" s="52">
        <f t="shared" si="18"/>
        <v>320</v>
      </c>
      <c r="CE23" s="50">
        <f>VLOOKUP(A23,Interest!$X$8:$AC$367,6)</f>
        <v>0.96068392174608619</v>
      </c>
      <c r="CF23" s="53">
        <f t="shared" ca="1" si="19"/>
        <v>-15370.94274793737</v>
      </c>
      <c r="CG23" s="53">
        <f t="shared" si="20"/>
        <v>0</v>
      </c>
      <c r="CH23" s="53">
        <f t="shared" si="21"/>
        <v>0</v>
      </c>
      <c r="CI23" s="53">
        <f t="shared" si="22"/>
        <v>0</v>
      </c>
      <c r="CJ23" s="25">
        <f t="shared" si="23"/>
        <v>16000</v>
      </c>
      <c r="CK23" s="838"/>
      <c r="CL23" s="554">
        <v>16.329999999999998</v>
      </c>
      <c r="CM23" s="438">
        <f t="shared" ca="1" si="24"/>
        <v>-25.100749507381725</v>
      </c>
      <c r="CN23" s="25">
        <f>[3]!'NGH2 CLS'</f>
        <v>3.105</v>
      </c>
      <c r="CO23" s="25">
        <f t="shared" si="35"/>
        <v>-7.2000000000000064E-2</v>
      </c>
      <c r="CQ23" s="57">
        <f>+CD23</f>
        <v>320</v>
      </c>
      <c r="CR23" s="25">
        <f>+'EOL LINKS'!H65</f>
        <v>27.5</v>
      </c>
      <c r="CS23" s="25">
        <f t="shared" si="48"/>
        <v>8800</v>
      </c>
      <c r="CV23" s="958"/>
      <c r="DJ23" s="54">
        <f>[5]Cinergy!$D45</f>
        <v>37500</v>
      </c>
      <c r="DK23" s="30">
        <f t="shared" si="25"/>
        <v>20</v>
      </c>
      <c r="DL23" s="254">
        <v>36069</v>
      </c>
      <c r="DM23" s="255">
        <v>22</v>
      </c>
      <c r="DP23" s="55">
        <f>[5]Cinergy!$D14</f>
        <v>37153</v>
      </c>
      <c r="DQ23" s="56">
        <f ca="1">[5]OPPD_NPPD!$O14+[5]NSP!$O14</f>
        <v>1593.04296875</v>
      </c>
      <c r="DR23" s="56">
        <f ca="1">[5]COMED!$O14</f>
        <v>15930.4296875</v>
      </c>
      <c r="DS23" s="56">
        <f t="shared" ca="1" si="26"/>
        <v>17523.47265625</v>
      </c>
      <c r="DT23" s="56">
        <f ca="1">SUM([5]OPPD_NPPD!$P14:$R14)+SUM([5]NSP!$P14:$R14)</f>
        <v>0</v>
      </c>
      <c r="DU23" s="56">
        <f ca="1">SUM([5]COMED!$P14:$R14)</f>
        <v>-796.521484375</v>
      </c>
      <c r="DV23" s="56">
        <f t="shared" ca="1" si="27"/>
        <v>-796.521484375</v>
      </c>
      <c r="DW23" s="57"/>
      <c r="DX23" s="58">
        <f>[5]OtherPosn!$D14</f>
        <v>37591</v>
      </c>
      <c r="DY23" s="56">
        <f>[5]OtherPosn!$N14</f>
        <v>31956.65234375</v>
      </c>
      <c r="DZ23" s="56">
        <f>SUM([5]OtherPosn!$O14:$P14)</f>
        <v>0</v>
      </c>
      <c r="EO23" s="54">
        <f t="shared" si="7"/>
        <v>37500</v>
      </c>
      <c r="EP23" s="449">
        <f t="shared" si="7"/>
        <v>20</v>
      </c>
      <c r="EQ23" s="297">
        <f t="shared" si="45"/>
        <v>540</v>
      </c>
      <c r="ER23" s="297">
        <f t="shared" si="46"/>
        <v>560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.75" thickBot="1" x14ac:dyDescent="0.3">
      <c r="A24" s="151">
        <f>[5]Cinergy!$D46</f>
        <v>37530</v>
      </c>
      <c r="B24" s="152">
        <f ca="1">[5]Cinergy!$O46</f>
        <v>227736.65625</v>
      </c>
      <c r="C24" s="142">
        <f t="shared" ca="1" si="29"/>
        <v>646.37715128731486</v>
      </c>
      <c r="D24" s="141">
        <f t="shared" si="9"/>
        <v>-50</v>
      </c>
      <c r="E24" s="142">
        <f t="shared" ca="1" si="10"/>
        <v>210120.26496849794</v>
      </c>
      <c r="F24" s="171">
        <f t="shared" ca="1" si="0"/>
        <v>596.37715128731486</v>
      </c>
      <c r="G24" s="143">
        <f>[5]Cinergy!$E46</f>
        <v>28.806249618530273</v>
      </c>
      <c r="H24" s="143">
        <f t="shared" si="11"/>
        <v>-3.2782554626464844E-7</v>
      </c>
      <c r="I24" s="174">
        <f t="shared" si="12"/>
        <v>28.806249290704727</v>
      </c>
      <c r="J24" s="152">
        <f t="shared" ca="1" si="1"/>
        <v>-7.4657893739640713E-2</v>
      </c>
      <c r="K24" s="144">
        <f t="shared" si="13"/>
        <v>5.7751030950702071E-3</v>
      </c>
      <c r="L24" s="144">
        <f t="shared" ca="1" si="2"/>
        <v>-6.8882790644570507E-2</v>
      </c>
      <c r="M24" s="289"/>
      <c r="N24" s="124">
        <f t="shared" si="3"/>
        <v>37530</v>
      </c>
      <c r="O24" s="165">
        <v>68</v>
      </c>
      <c r="P24" s="165">
        <v>70</v>
      </c>
      <c r="Q24" s="162">
        <f t="shared" si="30"/>
        <v>40.193750381469727</v>
      </c>
      <c r="R24" s="287">
        <f>+Master!L33</f>
        <v>-3.2782554626464844E-7</v>
      </c>
      <c r="S24" s="431">
        <f t="shared" si="31"/>
        <v>28.806249290704727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34.543053958462735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37530</v>
      </c>
      <c r="AK24" s="781"/>
      <c r="AL24" s="778"/>
      <c r="AM24" s="781"/>
      <c r="AN24" s="778"/>
      <c r="AO24" s="781"/>
      <c r="AP24" s="778"/>
      <c r="AQ24" s="781"/>
      <c r="AR24" s="778"/>
      <c r="AS24" s="789">
        <v>-50</v>
      </c>
      <c r="AT24" s="790">
        <v>28.806249618530273</v>
      </c>
      <c r="AU24" s="843">
        <f t="shared" si="41"/>
        <v>0</v>
      </c>
      <c r="AV24" s="844">
        <f t="shared" si="42"/>
        <v>0</v>
      </c>
      <c r="AW24" s="843">
        <f t="shared" si="43"/>
        <v>0</v>
      </c>
      <c r="AX24" s="844">
        <f t="shared" si="44"/>
        <v>0</v>
      </c>
      <c r="AY24" s="781"/>
      <c r="AZ24" s="778"/>
      <c r="BA24" s="843"/>
      <c r="BB24" s="844"/>
      <c r="BC24" s="781"/>
      <c r="BD24" s="778"/>
      <c r="BE24" s="993"/>
      <c r="BF24" s="994"/>
      <c r="BG24" s="781"/>
      <c r="BH24" s="778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49"/>
        <v>-50</v>
      </c>
      <c r="BZ24" s="49">
        <f t="shared" si="50"/>
        <v>28.806249618530273</v>
      </c>
      <c r="CB24" s="51">
        <f t="shared" si="5"/>
        <v>37530</v>
      </c>
      <c r="CC24" s="50">
        <f t="shared" si="6"/>
        <v>50</v>
      </c>
      <c r="CD24" s="52">
        <f t="shared" si="18"/>
        <v>368</v>
      </c>
      <c r="CE24" s="50">
        <f>VLOOKUP(A24,Interest!$X$8:$AC$367,6)</f>
        <v>0.95741256964685173</v>
      </c>
      <c r="CF24" s="53">
        <f t="shared" ca="1" si="19"/>
        <v>-17616.391281502059</v>
      </c>
      <c r="CG24" s="53">
        <f t="shared" si="20"/>
        <v>0</v>
      </c>
      <c r="CH24" s="53">
        <f t="shared" si="21"/>
        <v>0</v>
      </c>
      <c r="CI24" s="53">
        <f t="shared" si="22"/>
        <v>0</v>
      </c>
      <c r="CJ24" s="25">
        <f t="shared" si="23"/>
        <v>18400</v>
      </c>
      <c r="CK24" s="838"/>
      <c r="CL24" s="554">
        <v>8.1</v>
      </c>
      <c r="CM24" s="438">
        <f t="shared" ca="1" si="24"/>
        <v>-14.269276938016667</v>
      </c>
      <c r="CN24" s="25">
        <f>[3]!'NGJ2 CLS'</f>
        <v>3.012</v>
      </c>
      <c r="CO24" s="25">
        <f t="shared" si="35"/>
        <v>-9.2999999999999972E-2</v>
      </c>
      <c r="DJ24" s="54">
        <f>[5]Cinergy!$D46</f>
        <v>37530</v>
      </c>
      <c r="DK24" s="30">
        <f t="shared" si="25"/>
        <v>23</v>
      </c>
      <c r="DL24" s="254">
        <v>36100</v>
      </c>
      <c r="DM24" s="255">
        <v>20</v>
      </c>
      <c r="DP24" s="55">
        <f>[5]Cinergy!$D15</f>
        <v>37154</v>
      </c>
      <c r="DQ24" s="56">
        <f ca="1">[5]OPPD_NPPD!$O15+[5]NSP!$O15</f>
        <v>1593.04296875</v>
      </c>
      <c r="DR24" s="56">
        <f ca="1">[5]COMED!$O15</f>
        <v>15930.4296875</v>
      </c>
      <c r="DS24" s="56">
        <f t="shared" ca="1" si="26"/>
        <v>17523.47265625</v>
      </c>
      <c r="DT24" s="56">
        <f ca="1">SUM([5]OPPD_NPPD!$P15:$R15)+SUM([5]NSP!$P15:$R15)</f>
        <v>0</v>
      </c>
      <c r="DU24" s="56">
        <f ca="1">SUM([5]COMED!$P15:$R15)</f>
        <v>-796.521484375</v>
      </c>
      <c r="DV24" s="56">
        <f t="shared" ca="1" si="27"/>
        <v>-796.521484375</v>
      </c>
      <c r="DW24" s="57"/>
      <c r="DX24" s="58">
        <f>[5]OtherPosn!$D15</f>
        <v>37140</v>
      </c>
      <c r="DY24" s="56">
        <f>[5]OtherPosn!$N15</f>
        <v>0</v>
      </c>
      <c r="DZ24" s="56">
        <f>SUM([5]OtherPosn!$O15:$P15)</f>
        <v>0</v>
      </c>
      <c r="EO24" s="54">
        <f t="shared" si="7"/>
        <v>37530</v>
      </c>
      <c r="EP24" s="449">
        <f t="shared" si="7"/>
        <v>23</v>
      </c>
      <c r="EQ24" s="297">
        <f t="shared" si="45"/>
        <v>667</v>
      </c>
      <c r="ER24" s="297">
        <f t="shared" si="46"/>
        <v>690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.75" thickBot="1" x14ac:dyDescent="0.3">
      <c r="A25" s="153">
        <f>[5]Cinergy!$D47</f>
        <v>37561</v>
      </c>
      <c r="B25" s="154">
        <f ca="1">[5]Cinergy!$O47</f>
        <v>197330.859375</v>
      </c>
      <c r="C25" s="138">
        <f t="shared" ca="1" si="29"/>
        <v>646.33259622812761</v>
      </c>
      <c r="D25" s="138">
        <f t="shared" si="9"/>
        <v>-50</v>
      </c>
      <c r="E25" s="137">
        <f t="shared" ca="1" si="10"/>
        <v>182065.43252459937</v>
      </c>
      <c r="F25" s="172">
        <f t="shared" ca="1" si="0"/>
        <v>596.33259622812761</v>
      </c>
      <c r="G25" s="139">
        <f>[5]Cinergy!$E47</f>
        <v>29.006252288818359</v>
      </c>
      <c r="H25" s="143">
        <f t="shared" si="11"/>
        <v>-3.2782554626464844E-7</v>
      </c>
      <c r="I25" s="134">
        <f t="shared" si="12"/>
        <v>29.006251960992813</v>
      </c>
      <c r="J25" s="137">
        <f t="shared" ca="1" si="1"/>
        <v>-6.4690096769481897E-2</v>
      </c>
      <c r="K25" s="140">
        <f t="shared" si="13"/>
        <v>5.0043968961956146E-3</v>
      </c>
      <c r="L25" s="140">
        <f t="shared" ca="1" si="2"/>
        <v>-5.9685699873286285E-2</v>
      </c>
      <c r="M25" s="289"/>
      <c r="N25" s="124">
        <f t="shared" si="3"/>
        <v>37561</v>
      </c>
      <c r="O25" s="165">
        <v>127.5</v>
      </c>
      <c r="P25" s="165">
        <v>130</v>
      </c>
      <c r="Q25" s="162">
        <f t="shared" si="30"/>
        <v>99.743747711181641</v>
      </c>
      <c r="R25" s="287">
        <f>+R24</f>
        <v>-3.2782554626464844E-7</v>
      </c>
      <c r="S25" s="431">
        <f t="shared" si="31"/>
        <v>29.006251960992813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37561</v>
      </c>
      <c r="AK25" s="781">
        <f t="shared" ref="AK25:AR26" si="52">+AK24</f>
        <v>0</v>
      </c>
      <c r="AL25" s="778">
        <f t="shared" si="52"/>
        <v>0</v>
      </c>
      <c r="AM25" s="781">
        <f t="shared" si="52"/>
        <v>0</v>
      </c>
      <c r="AN25" s="778">
        <f t="shared" si="52"/>
        <v>0</v>
      </c>
      <c r="AO25" s="781">
        <f t="shared" si="52"/>
        <v>0</v>
      </c>
      <c r="AP25" s="778">
        <f t="shared" si="52"/>
        <v>0</v>
      </c>
      <c r="AQ25" s="781">
        <f t="shared" si="52"/>
        <v>0</v>
      </c>
      <c r="AR25" s="778">
        <f t="shared" si="52"/>
        <v>0</v>
      </c>
      <c r="AS25" s="789">
        <v>-50</v>
      </c>
      <c r="AT25" s="790">
        <v>29.006252288818359</v>
      </c>
      <c r="AU25" s="843">
        <f t="shared" si="41"/>
        <v>0</v>
      </c>
      <c r="AV25" s="844">
        <f t="shared" si="42"/>
        <v>0</v>
      </c>
      <c r="AW25" s="843">
        <f t="shared" si="43"/>
        <v>0</v>
      </c>
      <c r="AX25" s="844">
        <f t="shared" si="44"/>
        <v>0</v>
      </c>
      <c r="AY25" s="781"/>
      <c r="AZ25" s="778"/>
      <c r="BA25" s="843"/>
      <c r="BB25" s="844"/>
      <c r="BC25" s="781"/>
      <c r="BD25" s="778"/>
      <c r="BE25" s="781"/>
      <c r="BF25" s="778"/>
      <c r="BG25" s="781"/>
      <c r="BH25" s="778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49"/>
        <v>-50</v>
      </c>
      <c r="BZ25" s="49">
        <f t="shared" si="50"/>
        <v>29.006252288818359</v>
      </c>
      <c r="CB25" s="51">
        <f t="shared" si="5"/>
        <v>37561</v>
      </c>
      <c r="CC25" s="50">
        <f t="shared" si="6"/>
        <v>50</v>
      </c>
      <c r="CD25" s="52">
        <f t="shared" si="18"/>
        <v>320</v>
      </c>
      <c r="CE25" s="50">
        <f>VLOOKUP(A25,Interest!$X$8:$AC$367,6)</f>
        <v>0.95408917815003869</v>
      </c>
      <c r="CF25" s="53">
        <f t="shared" ca="1" si="19"/>
        <v>-15265.426850400632</v>
      </c>
      <c r="CG25" s="53">
        <f t="shared" si="20"/>
        <v>0</v>
      </c>
      <c r="CH25" s="53">
        <f t="shared" si="21"/>
        <v>0</v>
      </c>
      <c r="CI25" s="53">
        <f t="shared" si="22"/>
        <v>0</v>
      </c>
      <c r="CJ25" s="25">
        <f t="shared" si="23"/>
        <v>16000</v>
      </c>
      <c r="CK25" s="838"/>
      <c r="CL25" s="554">
        <v>8.1999999999999993</v>
      </c>
      <c r="CM25" s="438">
        <f t="shared" ca="1" si="24"/>
        <v>-12.517650017328517</v>
      </c>
      <c r="CN25" s="25">
        <f>[3]!'NGK2 CLS'</f>
        <v>3.0350000000000001</v>
      </c>
      <c r="CO25" s="25">
        <f t="shared" si="35"/>
        <v>2.3000000000000131E-2</v>
      </c>
      <c r="CW25" s="29"/>
      <c r="DJ25" s="54">
        <f>[5]Cinergy!$D47</f>
        <v>37561</v>
      </c>
      <c r="DK25" s="30">
        <f t="shared" si="25"/>
        <v>20</v>
      </c>
      <c r="DL25" s="254">
        <v>36130</v>
      </c>
      <c r="DM25" s="255">
        <v>22</v>
      </c>
      <c r="DP25" s="55">
        <f>[5]Cinergy!$D16</f>
        <v>37155</v>
      </c>
      <c r="DQ25" s="56">
        <f ca="1">[5]OPPD_NPPD!$O16+[5]NSP!$O16</f>
        <v>1593.04296875</v>
      </c>
      <c r="DR25" s="56">
        <f ca="1">[5]COMED!$O16</f>
        <v>15930.4296875</v>
      </c>
      <c r="DS25" s="56">
        <f t="shared" ca="1" si="26"/>
        <v>17523.47265625</v>
      </c>
      <c r="DT25" s="56">
        <f ca="1">SUM([5]OPPD_NPPD!$P16:$R16)+SUM([5]NSP!$P16:$R16)</f>
        <v>0</v>
      </c>
      <c r="DU25" s="56">
        <f ca="1">SUM([5]COMED!$P16:$R16)</f>
        <v>-796.521484375</v>
      </c>
      <c r="DV25" s="56">
        <f t="shared" ca="1" si="27"/>
        <v>-796.521484375</v>
      </c>
      <c r="DW25" s="57"/>
      <c r="DX25" s="58">
        <f>[5]OtherPosn!$D16</f>
        <v>37141</v>
      </c>
      <c r="DY25" s="56">
        <f>[5]OtherPosn!$N16</f>
        <v>-3.9999999840167888E-12</v>
      </c>
      <c r="DZ25" s="56">
        <f>SUM([5]OtherPosn!$O16:$P16)</f>
        <v>0</v>
      </c>
      <c r="EO25" s="54">
        <f t="shared" si="7"/>
        <v>37561</v>
      </c>
      <c r="EP25" s="449">
        <f t="shared" si="7"/>
        <v>20</v>
      </c>
      <c r="EQ25" s="297">
        <f t="shared" si="45"/>
        <v>740</v>
      </c>
      <c r="ER25" s="297">
        <f t="shared" si="46"/>
        <v>800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.75" thickBot="1" x14ac:dyDescent="0.3">
      <c r="A26" s="151">
        <f>[5]Cinergy!$D48</f>
        <v>37591</v>
      </c>
      <c r="B26" s="152">
        <f ca="1">[5]Cinergy!$O48</f>
        <v>206411.78125</v>
      </c>
      <c r="C26" s="142">
        <f t="shared" ca="1" si="29"/>
        <v>646.22075185588983</v>
      </c>
      <c r="D26" s="141">
        <f t="shared" si="9"/>
        <v>-50</v>
      </c>
      <c r="E26" s="142">
        <f t="shared" ca="1" si="10"/>
        <v>190441.09471159935</v>
      </c>
      <c r="F26" s="171">
        <f t="shared" ca="1" si="0"/>
        <v>596.22075185588983</v>
      </c>
      <c r="G26" s="143">
        <f>[5]Cinergy!$E48</f>
        <v>29.206249237060547</v>
      </c>
      <c r="H26" s="143">
        <f t="shared" si="11"/>
        <v>-3.2782554626464844E-7</v>
      </c>
      <c r="I26" s="174">
        <f t="shared" si="12"/>
        <v>29.206248909235001</v>
      </c>
      <c r="J26" s="152">
        <f t="shared" ca="1" si="1"/>
        <v>-6.7667054943740368E-2</v>
      </c>
      <c r="K26" s="144">
        <f t="shared" si="13"/>
        <v>5.2355990386726567E-3</v>
      </c>
      <c r="L26" s="144">
        <f t="shared" ca="1" si="2"/>
        <v>-6.2431455905067712E-2</v>
      </c>
      <c r="M26" s="289"/>
      <c r="N26" s="124">
        <f t="shared" si="3"/>
        <v>37591</v>
      </c>
      <c r="O26" s="165">
        <v>127.5</v>
      </c>
      <c r="P26" s="165">
        <v>130</v>
      </c>
      <c r="Q26" s="162">
        <f t="shared" si="30"/>
        <v>99.543750762939453</v>
      </c>
      <c r="R26" s="287">
        <f>+R25</f>
        <v>-3.2782554626464844E-7</v>
      </c>
      <c r="S26" s="431">
        <f t="shared" si="31"/>
        <v>29.206248909235001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3">A12</f>
        <v>37195</v>
      </c>
      <c r="AA26" s="175">
        <f t="shared" ref="AA26:AA38" si="54">I12</f>
        <v>25.950000000000003</v>
      </c>
      <c r="AB26" s="176">
        <f t="shared" ref="AB26:AB38" ca="1" si="55">F12</f>
        <v>-527.37915233465037</v>
      </c>
      <c r="AC26" s="177">
        <f t="shared" ref="AC26:AC38" ca="1" si="56">F56</f>
        <v>280.04477279299238</v>
      </c>
      <c r="AD26" s="177">
        <f t="shared" ref="AD26:AD38" ca="1" si="57">AC26+AB26</f>
        <v>-247.334379541658</v>
      </c>
      <c r="AE26" s="104"/>
      <c r="AF26" s="104"/>
      <c r="AG26" s="104"/>
      <c r="AH26" s="104"/>
      <c r="AI26" s="104"/>
      <c r="AJ26" s="47">
        <f t="shared" si="4"/>
        <v>37591</v>
      </c>
      <c r="AK26" s="781">
        <f t="shared" si="52"/>
        <v>0</v>
      </c>
      <c r="AL26" s="778">
        <f t="shared" si="52"/>
        <v>0</v>
      </c>
      <c r="AM26" s="781">
        <f t="shared" si="52"/>
        <v>0</v>
      </c>
      <c r="AN26" s="778">
        <f t="shared" si="52"/>
        <v>0</v>
      </c>
      <c r="AO26" s="781">
        <f t="shared" si="52"/>
        <v>0</v>
      </c>
      <c r="AP26" s="778">
        <f t="shared" si="52"/>
        <v>0</v>
      </c>
      <c r="AQ26" s="781">
        <f t="shared" si="52"/>
        <v>0</v>
      </c>
      <c r="AR26" s="778">
        <f t="shared" si="52"/>
        <v>0</v>
      </c>
      <c r="AS26" s="789">
        <v>-50</v>
      </c>
      <c r="AT26" s="790">
        <v>29.206249237060547</v>
      </c>
      <c r="AU26" s="843">
        <f t="shared" si="41"/>
        <v>0</v>
      </c>
      <c r="AV26" s="844">
        <f t="shared" si="42"/>
        <v>0</v>
      </c>
      <c r="AW26" s="843">
        <f t="shared" si="43"/>
        <v>0</v>
      </c>
      <c r="AX26" s="844">
        <f t="shared" si="44"/>
        <v>0</v>
      </c>
      <c r="AY26" s="781"/>
      <c r="AZ26" s="778"/>
      <c r="BA26" s="843"/>
      <c r="BB26" s="844"/>
      <c r="BC26" s="781"/>
      <c r="BD26" s="778"/>
      <c r="BE26" s="781"/>
      <c r="BF26" s="778"/>
      <c r="BG26" s="781"/>
      <c r="BH26" s="778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49"/>
        <v>-50</v>
      </c>
      <c r="BZ26" s="49">
        <f t="shared" si="50"/>
        <v>29.206249237060547</v>
      </c>
      <c r="CB26" s="51">
        <f t="shared" si="5"/>
        <v>37591</v>
      </c>
      <c r="CC26" s="50">
        <f t="shared" si="6"/>
        <v>50</v>
      </c>
      <c r="CD26" s="52">
        <f t="shared" si="18"/>
        <v>336</v>
      </c>
      <c r="CE26" s="50">
        <f>VLOOKUP(A26,Interest!$X$8:$AC$367,6)</f>
        <v>0.95063610347622851</v>
      </c>
      <c r="CF26" s="53">
        <f t="shared" ca="1" si="19"/>
        <v>-15970.686538400652</v>
      </c>
      <c r="CG26" s="53">
        <f t="shared" si="20"/>
        <v>0</v>
      </c>
      <c r="CH26" s="53">
        <f t="shared" si="21"/>
        <v>0</v>
      </c>
      <c r="CI26" s="53">
        <f t="shared" si="22"/>
        <v>0</v>
      </c>
      <c r="CJ26" s="25">
        <f t="shared" si="23"/>
        <v>16800</v>
      </c>
      <c r="CK26" s="838"/>
      <c r="CL26" s="554">
        <v>7.93</v>
      </c>
      <c r="CM26" s="438">
        <f t="shared" ca="1" si="24"/>
        <v>-12.664754424951717</v>
      </c>
      <c r="CN26" s="25">
        <f>[3]!'NGM2 CLS'</f>
        <v>3.07</v>
      </c>
      <c r="CO26" s="25">
        <f t="shared" si="35"/>
        <v>3.4999999999999698E-2</v>
      </c>
      <c r="CQ26" s="57">
        <f>SUM(CD24:CD26)</f>
        <v>1024</v>
      </c>
      <c r="CR26" s="25">
        <f>+'EOL LINKS'!H66</f>
        <v>28.125</v>
      </c>
      <c r="CS26" s="25">
        <f t="shared" si="48"/>
        <v>28800</v>
      </c>
      <c r="DJ26" s="54">
        <f>[5]Cinergy!$D48</f>
        <v>37591</v>
      </c>
      <c r="DK26" s="30">
        <f t="shared" si="25"/>
        <v>21</v>
      </c>
      <c r="DL26" s="254">
        <v>36161</v>
      </c>
      <c r="DM26" s="255">
        <v>20</v>
      </c>
      <c r="DP26" s="55">
        <f>[5]Cinergy!$D17</f>
        <v>37156</v>
      </c>
      <c r="DQ26" s="56">
        <f ca="1">[5]OPPD_NPPD!$O17+[5]NSP!$O17</f>
        <v>0</v>
      </c>
      <c r="DR26" s="56">
        <f ca="1">[5]COMED!$O17</f>
        <v>0</v>
      </c>
      <c r="DS26" s="56">
        <f t="shared" ca="1" si="26"/>
        <v>0</v>
      </c>
      <c r="DT26" s="56">
        <f ca="1">SUM([5]OPPD_NPPD!$P17:$R17)+SUM([5]NSP!$P17:$R17)</f>
        <v>0</v>
      </c>
      <c r="DU26" s="56">
        <f ca="1">SUM([5]COMED!$P17:$R17)</f>
        <v>-3186.0859375</v>
      </c>
      <c r="DV26" s="56">
        <f t="shared" ca="1" si="27"/>
        <v>-3186.0859375</v>
      </c>
      <c r="DW26" s="57"/>
      <c r="DX26" s="58">
        <f>[5]OtherPosn!$D17</f>
        <v>37144</v>
      </c>
      <c r="DY26" s="56">
        <f>[5]OtherPosn!$N17</f>
        <v>-10354.779296875</v>
      </c>
      <c r="DZ26" s="56">
        <f>SUM([5]OtherPosn!$O17:$P17)</f>
        <v>0</v>
      </c>
      <c r="EO26" s="54">
        <f t="shared" si="7"/>
        <v>37591</v>
      </c>
      <c r="EP26" s="449">
        <f t="shared" si="7"/>
        <v>21</v>
      </c>
      <c r="EQ26" s="297">
        <f t="shared" si="45"/>
        <v>1428</v>
      </c>
      <c r="ER26" s="297">
        <f t="shared" si="46"/>
        <v>1470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8" x14ac:dyDescent="0.25">
      <c r="A27" s="153">
        <f>[5]Cinergy!$D49</f>
        <v>37622</v>
      </c>
      <c r="B27" s="154">
        <f ca="1">[5]Cinergy!$O49</f>
        <v>-399578.375</v>
      </c>
      <c r="C27" s="138">
        <f t="shared" ca="1" si="29"/>
        <v>-1198.6227208750502</v>
      </c>
      <c r="D27" s="138">
        <f t="shared" si="9"/>
        <v>0</v>
      </c>
      <c r="E27" s="137">
        <f t="shared" ca="1" si="10"/>
        <v>-399578.375</v>
      </c>
      <c r="F27" s="172">
        <f t="shared" ca="1" si="0"/>
        <v>-1198.6227208750502</v>
      </c>
      <c r="G27" s="139">
        <f>[5]Cinergy!$E49</f>
        <v>30.285717010498047</v>
      </c>
      <c r="H27" s="143">
        <f t="shared" si="11"/>
        <v>1.8165225057487078E-7</v>
      </c>
      <c r="I27" s="134">
        <f t="shared" si="12"/>
        <v>30.285717192150297</v>
      </c>
      <c r="J27" s="137">
        <f t="shared" ca="1" si="1"/>
        <v>-7.2584311099799681E-2</v>
      </c>
      <c r="K27" s="140">
        <f t="shared" si="13"/>
        <v>0</v>
      </c>
      <c r="L27" s="140">
        <f t="shared" ca="1" si="2"/>
        <v>-7.2584311099799681E-2</v>
      </c>
      <c r="M27" s="289"/>
      <c r="N27" s="124">
        <f t="shared" si="3"/>
        <v>37622</v>
      </c>
      <c r="O27" s="165">
        <v>34</v>
      </c>
      <c r="P27" s="165">
        <v>35</v>
      </c>
      <c r="Q27" s="162">
        <f t="shared" si="30"/>
        <v>4.2142829895019531</v>
      </c>
      <c r="R27" s="287">
        <f>+Master!L38</f>
        <v>1.8165225057487078E-7</v>
      </c>
      <c r="S27" s="431">
        <f t="shared" si="31"/>
        <v>30.285717192150297</v>
      </c>
      <c r="T27" s="46">
        <f>IF(MONTH($B$2)&gt;=10,YEAR($B$2)+1,YEAR($B$2))</f>
        <v>2001</v>
      </c>
      <c r="U27" s="45">
        <f>IF(INT((MONTH($B$2)-1)/3)+2=5,1,INT((MONTH($B$2)-1)/3)+2)</f>
        <v>4</v>
      </c>
      <c r="V27" s="112" t="str">
        <f t="shared" ref="V27:V37" si="58">V12</f>
        <v>Q4 2001</v>
      </c>
      <c r="W27" s="112">
        <f t="array" aca="1" ref="W27" ca="1">SUM(IF((INT((MONTH($A$12:$A$47)-1)/3)=$U27-1)*(YEAR($A$12:$A$47)=$T27),$F$12:$F$47))</f>
        <v>-2655.4152834031861</v>
      </c>
      <c r="X27" s="168">
        <f t="array" aca="1" ref="X27" ca="1">SUM(IF((INT((MONTH($A$12:$A$47)-1)/3)=$U27-1)*(YEAR($A$12:$A$47)=$T27),$E$12:$E$47))</f>
        <v>-889239.53592416004</v>
      </c>
      <c r="Y27" s="104"/>
      <c r="Z27" s="185">
        <f t="shared" si="53"/>
        <v>37196</v>
      </c>
      <c r="AA27" s="204">
        <f t="shared" si="54"/>
        <v>26.200000000000003</v>
      </c>
      <c r="AB27" s="131">
        <f t="shared" ca="1" si="55"/>
        <v>-1469.2688209987768</v>
      </c>
      <c r="AC27" s="131">
        <f t="shared" ca="1" si="56"/>
        <v>430.08628787691333</v>
      </c>
      <c r="AD27" s="131">
        <f t="shared" ca="1" si="57"/>
        <v>-1039.1825331218636</v>
      </c>
      <c r="AE27" s="104"/>
      <c r="AF27" s="104"/>
      <c r="AG27" s="104"/>
      <c r="AH27" s="104"/>
      <c r="AI27" s="104"/>
      <c r="AJ27" s="47">
        <f t="shared" si="4"/>
        <v>37622</v>
      </c>
      <c r="AK27" s="781"/>
      <c r="AL27" s="778"/>
      <c r="AM27" s="781"/>
      <c r="AN27" s="778"/>
      <c r="AO27" s="781"/>
      <c r="AP27" s="778"/>
      <c r="AQ27" s="781"/>
      <c r="AR27" s="778"/>
      <c r="AS27" s="789"/>
      <c r="AT27" s="790"/>
      <c r="AU27" s="843"/>
      <c r="AV27" s="844"/>
      <c r="AW27" s="843"/>
      <c r="AX27" s="844"/>
      <c r="AY27" s="843"/>
      <c r="AZ27" s="844"/>
      <c r="BA27" s="843"/>
      <c r="BB27" s="844"/>
      <c r="BC27" s="781"/>
      <c r="BD27" s="778"/>
      <c r="BE27" s="781"/>
      <c r="BF27" s="778"/>
      <c r="BG27" s="781"/>
      <c r="BH27" s="778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49"/>
        <v>0</v>
      </c>
      <c r="BZ27" s="49">
        <f t="shared" si="50"/>
        <v>0</v>
      </c>
      <c r="CB27" s="51">
        <f t="shared" si="5"/>
        <v>37622</v>
      </c>
      <c r="CC27" s="50">
        <f t="shared" si="6"/>
        <v>0</v>
      </c>
      <c r="CD27" s="52">
        <f t="shared" si="18"/>
        <v>352</v>
      </c>
      <c r="CE27" s="50">
        <f>VLOOKUP(A27,Interest!$X$8:$AC$367,6)</f>
        <v>0.94705850164383509</v>
      </c>
      <c r="CF27" s="53">
        <f t="shared" ca="1" si="19"/>
        <v>0</v>
      </c>
      <c r="CG27" s="53">
        <f t="shared" si="20"/>
        <v>0</v>
      </c>
      <c r="CH27" s="53">
        <f t="shared" si="21"/>
        <v>0</v>
      </c>
      <c r="CI27" s="53">
        <f t="shared" si="22"/>
        <v>0</v>
      </c>
      <c r="CJ27" s="25">
        <f t="shared" si="23"/>
        <v>0</v>
      </c>
      <c r="CK27" s="838"/>
      <c r="CL27" s="554">
        <v>7.7</v>
      </c>
      <c r="CM27" s="438">
        <f t="shared" ca="1" si="24"/>
        <v>0</v>
      </c>
      <c r="CN27" s="25">
        <f>[3]!'NGN2 CLS'</f>
        <v>3.1120000000000001</v>
      </c>
      <c r="CO27" s="25">
        <f t="shared" si="35"/>
        <v>4.2000000000000259E-2</v>
      </c>
      <c r="DJ27" s="54">
        <f>[5]Cinergy!$D49</f>
        <v>37622</v>
      </c>
      <c r="DK27" s="30">
        <f t="shared" si="25"/>
        <v>22</v>
      </c>
      <c r="DL27" s="254">
        <v>36192</v>
      </c>
      <c r="DM27" s="255">
        <v>20</v>
      </c>
      <c r="DP27" s="55">
        <f>[5]Cinergy!$D18</f>
        <v>37157</v>
      </c>
      <c r="DQ27" s="56">
        <f ca="1">[5]OPPD_NPPD!$O18+[5]NSP!$O18</f>
        <v>0</v>
      </c>
      <c r="DR27" s="56">
        <f ca="1">[5]COMED!$O18</f>
        <v>0</v>
      </c>
      <c r="DS27" s="56">
        <f t="shared" ca="1" si="26"/>
        <v>0</v>
      </c>
      <c r="DT27" s="56">
        <f ca="1">SUM([5]OPPD_NPPD!$P18:$R18)+SUM([5]NSP!$P18:$R18)</f>
        <v>0</v>
      </c>
      <c r="DU27" s="56">
        <f ca="1">SUM([5]COMED!$P18:$R18)</f>
        <v>-3186.0859375</v>
      </c>
      <c r="DV27" s="56">
        <f t="shared" ca="1" si="27"/>
        <v>-3186.0859375</v>
      </c>
      <c r="DW27" s="57"/>
      <c r="DX27" s="58">
        <f>[5]OtherPosn!$D18</f>
        <v>37145</v>
      </c>
      <c r="DY27" s="56">
        <f>[5]OtherPosn!$N18</f>
        <v>-10354.779296875</v>
      </c>
      <c r="DZ27" s="56">
        <f>SUM([5]OtherPosn!$O18:$P18)</f>
        <v>0</v>
      </c>
      <c r="EO27" s="54">
        <f t="shared" si="7"/>
        <v>37622</v>
      </c>
      <c r="EP27" s="449">
        <f t="shared" si="7"/>
        <v>22</v>
      </c>
      <c r="EQ27" s="297">
        <f t="shared" si="45"/>
        <v>2805</v>
      </c>
      <c r="ER27" s="297">
        <f t="shared" si="46"/>
        <v>2860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8" x14ac:dyDescent="0.25">
      <c r="A28" s="151">
        <f>[5]Cinergy!$D50</f>
        <v>37653</v>
      </c>
      <c r="B28" s="152">
        <f ca="1">[5]Cinergy!$O50</f>
        <v>-361950.875</v>
      </c>
      <c r="C28" s="142">
        <f t="shared" ca="1" si="29"/>
        <v>-1198.6480914703659</v>
      </c>
      <c r="D28" s="141">
        <f t="shared" si="9"/>
        <v>0</v>
      </c>
      <c r="E28" s="142">
        <f t="shared" ca="1" si="10"/>
        <v>-361950.875</v>
      </c>
      <c r="F28" s="171">
        <f t="shared" ca="1" si="0"/>
        <v>-1198.6480914703659</v>
      </c>
      <c r="G28" s="143">
        <f>[5]Cinergy!$E50</f>
        <v>29.685710906982422</v>
      </c>
      <c r="H28" s="143">
        <f t="shared" si="11"/>
        <v>1.8165225057487078E-7</v>
      </c>
      <c r="I28" s="174">
        <f t="shared" si="12"/>
        <v>29.685711088634672</v>
      </c>
      <c r="J28" s="152">
        <f t="shared" ca="1" si="1"/>
        <v>-6.5749191041293731E-2</v>
      </c>
      <c r="K28" s="144">
        <f t="shared" si="13"/>
        <v>0</v>
      </c>
      <c r="L28" s="144">
        <f t="shared" ref="L28:L33" ca="1" si="59">J28+K28</f>
        <v>-6.5749191041293731E-2</v>
      </c>
      <c r="M28" s="289"/>
      <c r="N28" s="124">
        <f t="shared" si="3"/>
        <v>37653</v>
      </c>
      <c r="O28" s="165">
        <v>27.5</v>
      </c>
      <c r="P28" s="165">
        <v>29</v>
      </c>
      <c r="Q28" s="162">
        <f t="shared" si="30"/>
        <v>-1.4357109069824219</v>
      </c>
      <c r="R28" s="287">
        <f>+R27</f>
        <v>1.8165225057487078E-7</v>
      </c>
      <c r="S28" s="431">
        <f t="shared" si="31"/>
        <v>29.685711088634672</v>
      </c>
      <c r="T28" s="46">
        <f>IF(U27=4,T27+1,T27)</f>
        <v>2002</v>
      </c>
      <c r="U28" s="45">
        <f>IF(U27=4,1,U27+1)</f>
        <v>1</v>
      </c>
      <c r="V28" s="131" t="str">
        <f t="shared" si="58"/>
        <v>Q1 2002</v>
      </c>
      <c r="W28" s="131">
        <f t="array" aca="1" ref="W28" ca="1">SUM(IF((INT((MONTH($A$12:$A$47)-1)/3)=$U28-1)*(YEAR($A$12:$A$47)=$T28),$F$12:$F$47))</f>
        <v>1972.5328579219918</v>
      </c>
      <c r="X28" s="132">
        <f t="array" aca="1" ref="X28" ca="1">SUM(IF((INT((MONTH($A$12:$A$47)-1)/3)=$U28-1)*(YEAR($A$12:$A$47)=$T28),$E$12:$E$47))</f>
        <v>651405.61191428127</v>
      </c>
      <c r="Y28" s="104"/>
      <c r="Z28" s="187">
        <f t="shared" si="53"/>
        <v>37226</v>
      </c>
      <c r="AA28" s="178">
        <f t="shared" si="54"/>
        <v>27.5</v>
      </c>
      <c r="AB28" s="179">
        <f t="shared" ca="1" si="55"/>
        <v>-658.76731006975888</v>
      </c>
      <c r="AC28" s="180">
        <f t="shared" ca="1" si="56"/>
        <v>527.62289475347779</v>
      </c>
      <c r="AD28" s="180">
        <f t="shared" ca="1" si="57"/>
        <v>-131.14441531628108</v>
      </c>
      <c r="AE28" s="104"/>
      <c r="AF28" s="104"/>
      <c r="AG28" s="104"/>
      <c r="AH28" s="104"/>
      <c r="AI28" s="104"/>
      <c r="AJ28" s="47">
        <f t="shared" si="4"/>
        <v>37653</v>
      </c>
      <c r="AK28" s="781">
        <f t="shared" ref="AK28:AR28" si="60">+AK27</f>
        <v>0</v>
      </c>
      <c r="AL28" s="778">
        <f t="shared" si="60"/>
        <v>0</v>
      </c>
      <c r="AM28" s="781">
        <f t="shared" si="60"/>
        <v>0</v>
      </c>
      <c r="AN28" s="778">
        <f t="shared" si="60"/>
        <v>0</v>
      </c>
      <c r="AO28" s="781">
        <f t="shared" si="60"/>
        <v>0</v>
      </c>
      <c r="AP28" s="778">
        <f t="shared" si="60"/>
        <v>0</v>
      </c>
      <c r="AQ28" s="781">
        <f t="shared" si="60"/>
        <v>0</v>
      </c>
      <c r="AR28" s="778">
        <f t="shared" si="60"/>
        <v>0</v>
      </c>
      <c r="AS28" s="789"/>
      <c r="AT28" s="790"/>
      <c r="AU28" s="843">
        <f>+AU27</f>
        <v>0</v>
      </c>
      <c r="AV28" s="844">
        <f>+AV27</f>
        <v>0</v>
      </c>
      <c r="AW28" s="843">
        <f>+AW27</f>
        <v>0</v>
      </c>
      <c r="AX28" s="844">
        <f>+AX27</f>
        <v>0</v>
      </c>
      <c r="AY28" s="843"/>
      <c r="AZ28" s="844"/>
      <c r="BA28" s="843"/>
      <c r="BB28" s="844"/>
      <c r="BC28" s="781"/>
      <c r="BD28" s="778"/>
      <c r="BE28" s="781"/>
      <c r="BF28" s="778"/>
      <c r="BG28" s="781"/>
      <c r="BH28" s="778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49"/>
        <v>0</v>
      </c>
      <c r="BZ28" s="49">
        <f t="shared" si="50"/>
        <v>0</v>
      </c>
      <c r="CB28" s="51">
        <f t="shared" si="5"/>
        <v>37653</v>
      </c>
      <c r="CC28" s="50">
        <f t="shared" si="6"/>
        <v>0</v>
      </c>
      <c r="CD28" s="52">
        <f t="shared" si="18"/>
        <v>320</v>
      </c>
      <c r="CE28" s="50">
        <f>VLOOKUP(A28,Interest!$X$8:$AC$367,6)</f>
        <v>0.94364350339681324</v>
      </c>
      <c r="CF28" s="53">
        <f t="shared" ca="1" si="19"/>
        <v>0</v>
      </c>
      <c r="CG28" s="53">
        <f t="shared" si="20"/>
        <v>0</v>
      </c>
      <c r="CH28" s="53">
        <f t="shared" si="21"/>
        <v>0</v>
      </c>
      <c r="CI28" s="53">
        <f t="shared" si="22"/>
        <v>0</v>
      </c>
      <c r="CJ28" s="25">
        <f t="shared" si="23"/>
        <v>0</v>
      </c>
      <c r="CK28" s="838"/>
      <c r="CL28" s="554">
        <v>8.1999999999999993</v>
      </c>
      <c r="CM28" s="438">
        <f t="shared" ca="1" si="24"/>
        <v>0</v>
      </c>
      <c r="CN28" s="25">
        <f>[3]!'NGQ2 CLS'</f>
        <v>3.1469999999999998</v>
      </c>
      <c r="CO28" s="25">
        <f t="shared" si="35"/>
        <v>3.4999999999999698E-2</v>
      </c>
      <c r="CQ28" s="449">
        <f>SUM(CQ16:CQ26)</f>
        <v>4080</v>
      </c>
      <c r="CR28" s="29">
        <f>SUM(CS16:CS26)/CQ28</f>
        <v>33.581862745098036</v>
      </c>
      <c r="CW28" s="25">
        <v>33.21</v>
      </c>
      <c r="CX28" s="25">
        <v>3.55</v>
      </c>
      <c r="CY28" s="838">
        <f>+CW28/CX28</f>
        <v>9.3549295774647891</v>
      </c>
      <c r="DJ28" s="54">
        <f>[5]Cinergy!$D50</f>
        <v>37653</v>
      </c>
      <c r="DK28" s="30">
        <f t="shared" si="25"/>
        <v>20</v>
      </c>
      <c r="DL28" s="254">
        <v>36220</v>
      </c>
      <c r="DM28" s="255">
        <v>23</v>
      </c>
      <c r="DP28" s="55">
        <f>[5]Cinergy!$D19</f>
        <v>37158</v>
      </c>
      <c r="DQ28" s="56">
        <f ca="1">[5]OPPD_NPPD!$O19+[5]NSP!$O19</f>
        <v>1593.04296875</v>
      </c>
      <c r="DR28" s="56">
        <f ca="1">[5]COMED!$O19</f>
        <v>15930.4296875</v>
      </c>
      <c r="DS28" s="56">
        <f t="shared" ca="1" si="26"/>
        <v>17523.47265625</v>
      </c>
      <c r="DT28" s="56">
        <f ca="1">SUM([5]OPPD_NPPD!$P19:$R19)+SUM([5]NSP!$P19:$R19)</f>
        <v>0</v>
      </c>
      <c r="DU28" s="56">
        <f ca="1">SUM([5]COMED!$P19:$R19)</f>
        <v>-796.521484375</v>
      </c>
      <c r="DV28" s="56">
        <f t="shared" ca="1" si="27"/>
        <v>-796.521484375</v>
      </c>
      <c r="DW28" s="57"/>
      <c r="DX28" s="58">
        <f>[5]OtherPosn!$D19</f>
        <v>37146</v>
      </c>
      <c r="DY28" s="56">
        <f>[5]OtherPosn!$N19</f>
        <v>-10354.779296875</v>
      </c>
      <c r="DZ28" s="56">
        <f>SUM([5]OtherPosn!$O19:$P19)</f>
        <v>0</v>
      </c>
      <c r="EO28" s="54">
        <f t="shared" si="7"/>
        <v>37653</v>
      </c>
      <c r="EP28" s="449">
        <f t="shared" si="7"/>
        <v>20</v>
      </c>
      <c r="EQ28" s="297">
        <f t="shared" si="45"/>
        <v>2550</v>
      </c>
      <c r="ER28" s="297">
        <f t="shared" si="46"/>
        <v>2600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8" x14ac:dyDescent="0.25">
      <c r="A29" s="153">
        <f>[5]Cinergy!$D51</f>
        <v>37681</v>
      </c>
      <c r="B29" s="154">
        <f ca="1">[5]Cinergy!$O51</f>
        <v>-410062.84375</v>
      </c>
      <c r="C29" s="138">
        <f t="shared" ca="1" si="29"/>
        <v>-1298.3984117156663</v>
      </c>
      <c r="D29" s="138">
        <f t="shared" ref="D29:D44" si="61">BY29+IF(YEAR(A29)=$T$20,$BY$48,0)+IF(YEAR(A29)=$T$21,$BY$49,0)+IF(YEAR(A29)=$T$22,$BY$50,0)</f>
        <v>0</v>
      </c>
      <c r="E29" s="137">
        <f t="shared" ref="E29:E46" ca="1" si="62">B29+(D29*CD29*CE29)</f>
        <v>-410062.84375</v>
      </c>
      <c r="F29" s="172">
        <f t="shared" ref="F29:F46" ca="1" si="63">C29+D29</f>
        <v>-1298.3984117156663</v>
      </c>
      <c r="G29" s="139">
        <f>[5]Cinergy!$E51</f>
        <v>28.647678375244141</v>
      </c>
      <c r="H29" s="143">
        <f t="shared" si="11"/>
        <v>-0.25000044356944784</v>
      </c>
      <c r="I29" s="134">
        <f t="shared" ref="I29:I46" si="64">G29+H29</f>
        <v>28.397677931674693</v>
      </c>
      <c r="J29" s="137">
        <f t="shared" ref="J29:J46" ca="1" si="65">H29*B29</f>
        <v>102515.89282884919</v>
      </c>
      <c r="K29" s="140">
        <f t="shared" ref="K29:K44" si="66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ca="1" si="59"/>
        <v>102515.89282884919</v>
      </c>
      <c r="M29" s="289"/>
      <c r="N29" s="124">
        <f t="shared" si="3"/>
        <v>37681</v>
      </c>
      <c r="O29" s="165">
        <v>27.5</v>
      </c>
      <c r="P29" s="165">
        <v>29</v>
      </c>
      <c r="Q29" s="162">
        <f t="shared" si="30"/>
        <v>-0.39767837524414063</v>
      </c>
      <c r="R29" s="287">
        <f>+Master!L41</f>
        <v>-0.25000044356944784</v>
      </c>
      <c r="S29" s="431">
        <f t="shared" si="31"/>
        <v>28.397677931674693</v>
      </c>
      <c r="T29" s="46">
        <f t="shared" ref="T29:T34" si="67">IF(U28=4,T28+1,T28)</f>
        <v>2002</v>
      </c>
      <c r="U29" s="45">
        <f t="shared" ref="U29:U34" si="68">IF(U28=4,1,U28+1)</f>
        <v>2</v>
      </c>
      <c r="V29" s="112" t="str">
        <f t="shared" si="58"/>
        <v>Q2 2002</v>
      </c>
      <c r="W29" s="112">
        <f t="array" aca="1" ref="W29" ca="1">SUM(IF((INT((MONTH($A$12:$A$47)-1)/3)=$U29-1)*(YEAR($A$12:$A$47)=$T29),$F$12:$F$47))</f>
        <v>-2115.8817216088219</v>
      </c>
      <c r="X29" s="168">
        <f t="array" aca="1" ref="X29" ca="1">SUM(IF((INT((MONTH($A$12:$A$47)-1)/3)=$U29-1)*(YEAR($A$12:$A$47)=$T29),$E$12:$E$47))</f>
        <v>-671655.72953392845</v>
      </c>
      <c r="Y29" s="108"/>
      <c r="Z29" s="185">
        <f t="shared" si="53"/>
        <v>37257</v>
      </c>
      <c r="AA29" s="204">
        <f t="shared" si="54"/>
        <v>29.416667756580171</v>
      </c>
      <c r="AB29" s="131">
        <f t="shared" ca="1" si="55"/>
        <v>975.40959467741936</v>
      </c>
      <c r="AC29" s="131">
        <f t="shared" ca="1" si="56"/>
        <v>-1220.048226076872</v>
      </c>
      <c r="AD29" s="131">
        <f t="shared" ca="1" si="57"/>
        <v>-244.63863139945261</v>
      </c>
      <c r="AE29" s="104"/>
      <c r="AF29" s="104"/>
      <c r="AG29" s="104"/>
      <c r="AH29" s="104"/>
      <c r="AI29" s="104"/>
      <c r="AJ29" s="47">
        <f t="shared" si="4"/>
        <v>37681</v>
      </c>
      <c r="AK29" s="781"/>
      <c r="AL29" s="778"/>
      <c r="AM29" s="781"/>
      <c r="AN29" s="778"/>
      <c r="AO29" s="781"/>
      <c r="AP29" s="778"/>
      <c r="AQ29" s="781"/>
      <c r="AR29" s="778"/>
      <c r="AS29" s="789"/>
      <c r="AT29" s="790"/>
      <c r="AU29" s="843">
        <f t="shared" ref="AU29:AU38" si="69">+AU28</f>
        <v>0</v>
      </c>
      <c r="AV29" s="844">
        <f t="shared" ref="AV29:AV38" si="70">+AV28</f>
        <v>0</v>
      </c>
      <c r="AW29" s="843">
        <f t="shared" ref="AW29:AW38" si="71">+AW28</f>
        <v>0</v>
      </c>
      <c r="AX29" s="844">
        <f t="shared" ref="AX29:AX38" si="72">+AX28</f>
        <v>0</v>
      </c>
      <c r="AY29" s="843"/>
      <c r="AZ29" s="844"/>
      <c r="BA29" s="843"/>
      <c r="BB29" s="844"/>
      <c r="BC29" s="781"/>
      <c r="BD29" s="778"/>
      <c r="BE29" s="781"/>
      <c r="BF29" s="778"/>
      <c r="BG29" s="781"/>
      <c r="BH29" s="778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ref="BY29:BY44" si="73">AK29+AM29+AO29+AQ29+AS29+AU29+AW29+AY29+BA29+BC29+BE29+BG29+BI29+BK29+BM29+BO29+BQ29+BS29+BU29+BW29</f>
        <v>0</v>
      </c>
      <c r="BZ29" s="49">
        <f t="shared" ref="BZ29:BZ44" si="74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37681</v>
      </c>
      <c r="CC29" s="50">
        <f t="shared" ref="CC29:CC44" si="75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76">16*DK29</f>
        <v>336</v>
      </c>
      <c r="CE29" s="50">
        <f>VLOOKUP(A29,Interest!$X$8:$AC$367,6)</f>
        <v>0.93994656739890692</v>
      </c>
      <c r="CF29" s="53">
        <f t="shared" ref="CF29:CF44" ca="1" si="77">E29-B29</f>
        <v>0</v>
      </c>
      <c r="CG29" s="53">
        <f t="shared" ref="CG29:CG44" si="78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79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0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81">CC29*CD29</f>
        <v>0</v>
      </c>
      <c r="CK29" s="838"/>
      <c r="CL29" s="554">
        <v>8.3000000000000007</v>
      </c>
      <c r="CM29" s="438">
        <f t="shared" ca="1" si="24"/>
        <v>0</v>
      </c>
      <c r="CN29" s="25">
        <f>[3]!'NGU2 CLS'</f>
        <v>3.1459999999999999</v>
      </c>
      <c r="CO29" s="25">
        <f t="shared" si="35"/>
        <v>-9.9999999999988987E-4</v>
      </c>
      <c r="CW29" s="25">
        <v>32.85</v>
      </c>
      <c r="CX29" s="25">
        <v>3.57</v>
      </c>
      <c r="CY29" s="838">
        <f t="shared" ref="CY29:CY37" si="82">+CW29/CX29</f>
        <v>9.2016806722689086</v>
      </c>
      <c r="DJ29" s="54">
        <f>[5]Cinergy!$D51</f>
        <v>37681</v>
      </c>
      <c r="DK29" s="30">
        <f t="shared" ref="DK29:DK44" si="83">VLOOKUP(DJ29,DL29:DM270,2)</f>
        <v>21</v>
      </c>
      <c r="DL29" s="254">
        <v>36251</v>
      </c>
      <c r="DM29" s="255">
        <v>22</v>
      </c>
      <c r="DP29" s="55">
        <f>[5]Cinergy!$D20</f>
        <v>37159</v>
      </c>
      <c r="DQ29" s="56">
        <f ca="1">[5]OPPD_NPPD!$O20+[5]NSP!$O20</f>
        <v>1593.04296875</v>
      </c>
      <c r="DR29" s="56">
        <f ca="1">[5]COMED!$O20</f>
        <v>15930.4296875</v>
      </c>
      <c r="DS29" s="56">
        <f t="shared" ca="1" si="26"/>
        <v>17523.47265625</v>
      </c>
      <c r="DT29" s="56">
        <f ca="1">SUM([5]OPPD_NPPD!$P20:$R20)+SUM([5]NSP!$P20:$R20)</f>
        <v>0</v>
      </c>
      <c r="DU29" s="56">
        <f ca="1">SUM([5]COMED!$P20:$R20)</f>
        <v>-796.521484375</v>
      </c>
      <c r="DV29" s="56">
        <f t="shared" ca="1" si="27"/>
        <v>-796.521484375</v>
      </c>
      <c r="DW29" s="57"/>
      <c r="DX29" s="58">
        <f>[5]OtherPosn!$D20</f>
        <v>37147</v>
      </c>
      <c r="DY29" s="56">
        <f>[5]OtherPosn!$N20</f>
        <v>-10354.779296875</v>
      </c>
      <c r="DZ29" s="56">
        <f>SUM([5]OtherPosn!$O20:$P20)</f>
        <v>0</v>
      </c>
      <c r="EO29" s="54">
        <f t="shared" si="7"/>
        <v>37681</v>
      </c>
      <c r="EP29" s="449">
        <f t="shared" si="7"/>
        <v>21</v>
      </c>
      <c r="EQ29" s="297">
        <f t="shared" si="45"/>
        <v>714</v>
      </c>
      <c r="ER29" s="297">
        <f t="shared" si="46"/>
        <v>735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8" x14ac:dyDescent="0.25">
      <c r="A30" s="151">
        <f>[5]Cinergy!$D52</f>
        <v>37712</v>
      </c>
      <c r="B30" s="152">
        <f ca="1">[5]Cinergy!$O52</f>
        <v>-427889.71875</v>
      </c>
      <c r="C30" s="142">
        <f t="shared" ref="C30:C46" ca="1" si="84">B30/(CE30*CD30)</f>
        <v>-1298.3901279974041</v>
      </c>
      <c r="D30" s="141">
        <f t="shared" si="61"/>
        <v>0</v>
      </c>
      <c r="E30" s="142">
        <f t="shared" ca="1" si="62"/>
        <v>-427889.71875</v>
      </c>
      <c r="F30" s="171">
        <f t="shared" ca="1" si="63"/>
        <v>-1298.3901279974041</v>
      </c>
      <c r="G30" s="143">
        <f>[5]Cinergy!$E52</f>
        <v>28.847671508789063</v>
      </c>
      <c r="H30" s="143">
        <f t="shared" si="11"/>
        <v>-0.25000044356944784</v>
      </c>
      <c r="I30" s="174">
        <f t="shared" si="64"/>
        <v>28.597671065219615</v>
      </c>
      <c r="J30" s="152">
        <f t="shared" ca="1" si="65"/>
        <v>106972.61948630628</v>
      </c>
      <c r="K30" s="144">
        <f t="shared" si="66"/>
        <v>0</v>
      </c>
      <c r="L30" s="144">
        <f t="shared" ca="1" si="59"/>
        <v>106972.61948630628</v>
      </c>
      <c r="M30" s="289"/>
      <c r="N30" s="124">
        <f t="shared" si="3"/>
        <v>37712</v>
      </c>
      <c r="O30" s="165">
        <v>27.5</v>
      </c>
      <c r="P30" s="165">
        <v>29</v>
      </c>
      <c r="Q30" s="162">
        <f t="shared" si="30"/>
        <v>-0.5976715087890625</v>
      </c>
      <c r="R30" s="287">
        <f>+R29</f>
        <v>-0.25000044356944784</v>
      </c>
      <c r="S30" s="431">
        <f t="shared" si="31"/>
        <v>28.597671065219615</v>
      </c>
      <c r="T30" s="46">
        <f t="shared" si="67"/>
        <v>2002</v>
      </c>
      <c r="U30" s="45">
        <f t="shared" si="68"/>
        <v>3</v>
      </c>
      <c r="V30" s="131" t="str">
        <f t="shared" si="58"/>
        <v>Q3 2002</v>
      </c>
      <c r="W30" s="131">
        <f t="array" aca="1" ref="W30" ca="1">SUM(IF((INT((MONTH($A$12:$A$47)-1)/3)=$U30-1)*(YEAR($A$12:$A$47)=$T30),$F$12:$F$47))</f>
        <v>-3148.533370111873</v>
      </c>
      <c r="X30" s="132">
        <f t="array" aca="1" ref="X30" ca="1">SUM(IF((INT((MONTH($A$12:$A$47)-1)/3)=$U30-1)*(YEAR($A$12:$A$47)=$T30),$E$12:$E$47))</f>
        <v>-1042355.8050529042</v>
      </c>
      <c r="Y30" s="110"/>
      <c r="Z30" s="187">
        <f t="shared" si="53"/>
        <v>37288</v>
      </c>
      <c r="AA30" s="178">
        <f t="shared" si="54"/>
        <v>29.066665467761812</v>
      </c>
      <c r="AB30" s="179">
        <f t="shared" ca="1" si="55"/>
        <v>972.37899313420075</v>
      </c>
      <c r="AC30" s="180">
        <f t="shared" ca="1" si="56"/>
        <v>-1220.0305873600678</v>
      </c>
      <c r="AD30" s="180">
        <f t="shared" ca="1" si="57"/>
        <v>-247.65159422586703</v>
      </c>
      <c r="AE30" s="104"/>
      <c r="AF30" s="104"/>
      <c r="AG30" s="104"/>
      <c r="AH30" s="104"/>
      <c r="AI30" s="104"/>
      <c r="AJ30" s="47">
        <f t="shared" si="4"/>
        <v>37712</v>
      </c>
      <c r="AK30" s="781">
        <f t="shared" ref="AK30:AR30" si="85">+AK29</f>
        <v>0</v>
      </c>
      <c r="AL30" s="778">
        <f t="shared" si="85"/>
        <v>0</v>
      </c>
      <c r="AM30" s="781">
        <f t="shared" si="85"/>
        <v>0</v>
      </c>
      <c r="AN30" s="778">
        <f t="shared" si="85"/>
        <v>0</v>
      </c>
      <c r="AO30" s="781">
        <f t="shared" si="85"/>
        <v>0</v>
      </c>
      <c r="AP30" s="778">
        <f t="shared" si="85"/>
        <v>0</v>
      </c>
      <c r="AQ30" s="781">
        <f t="shared" si="85"/>
        <v>0</v>
      </c>
      <c r="AR30" s="778">
        <f t="shared" si="85"/>
        <v>0</v>
      </c>
      <c r="AS30" s="789"/>
      <c r="AT30" s="790"/>
      <c r="AU30" s="843">
        <f t="shared" si="69"/>
        <v>0</v>
      </c>
      <c r="AV30" s="844">
        <f t="shared" si="70"/>
        <v>0</v>
      </c>
      <c r="AW30" s="843">
        <f t="shared" si="71"/>
        <v>0</v>
      </c>
      <c r="AX30" s="844">
        <f t="shared" si="72"/>
        <v>0</v>
      </c>
      <c r="AY30" s="843"/>
      <c r="AZ30" s="844"/>
      <c r="BA30" s="843"/>
      <c r="BB30" s="844"/>
      <c r="BC30" s="781"/>
      <c r="BD30" s="778"/>
      <c r="BE30" s="781"/>
      <c r="BF30" s="778"/>
      <c r="BG30" s="781"/>
      <c r="BH30" s="778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73"/>
        <v>0</v>
      </c>
      <c r="BZ30" s="49">
        <f t="shared" si="74"/>
        <v>0</v>
      </c>
      <c r="CB30" s="51">
        <f t="shared" si="5"/>
        <v>37712</v>
      </c>
      <c r="CC30" s="50">
        <f t="shared" si="75"/>
        <v>0</v>
      </c>
      <c r="CD30" s="52">
        <f t="shared" si="76"/>
        <v>352</v>
      </c>
      <c r="CE30" s="50">
        <f>VLOOKUP(A30,Interest!$X$8:$AC$367,6)</f>
        <v>0.9362330825622539</v>
      </c>
      <c r="CF30" s="53">
        <f t="shared" ca="1" si="77"/>
        <v>0</v>
      </c>
      <c r="CG30" s="53">
        <f t="shared" si="78"/>
        <v>0</v>
      </c>
      <c r="CH30" s="53">
        <f t="shared" si="79"/>
        <v>0</v>
      </c>
      <c r="CI30" s="53">
        <f t="shared" si="80"/>
        <v>0</v>
      </c>
      <c r="CJ30" s="25">
        <f t="shared" si="81"/>
        <v>0</v>
      </c>
      <c r="CK30" s="838"/>
      <c r="CL30" s="554">
        <v>8.1</v>
      </c>
      <c r="CM30" s="438">
        <f t="shared" ca="1" si="24"/>
        <v>0</v>
      </c>
      <c r="CN30" s="25">
        <f>[3]!'NGV2 CLS'</f>
        <v>3.157</v>
      </c>
      <c r="CO30" s="25">
        <f t="shared" si="35"/>
        <v>1.1000000000000121E-2</v>
      </c>
      <c r="CW30" s="25">
        <v>33.75</v>
      </c>
      <c r="CX30" s="25">
        <v>3.61</v>
      </c>
      <c r="CY30" s="838">
        <f t="shared" si="82"/>
        <v>9.3490304709141281</v>
      </c>
      <c r="DJ30" s="54">
        <f>[5]Cinergy!$D52</f>
        <v>37712</v>
      </c>
      <c r="DK30" s="30">
        <f t="shared" si="83"/>
        <v>22</v>
      </c>
      <c r="DL30" s="254">
        <v>36281</v>
      </c>
      <c r="DM30" s="255">
        <v>20</v>
      </c>
      <c r="DP30" s="55">
        <f>[5]Cinergy!$D21</f>
        <v>37160</v>
      </c>
      <c r="DQ30" s="56">
        <f ca="1">[5]OPPD_NPPD!$O21+[5]NSP!$O21</f>
        <v>1593.04296875</v>
      </c>
      <c r="DR30" s="56">
        <f ca="1">[5]COMED!$O21</f>
        <v>15930.4296875</v>
      </c>
      <c r="DS30" s="56">
        <f t="shared" ca="1" si="26"/>
        <v>17523.47265625</v>
      </c>
      <c r="DT30" s="56">
        <f ca="1">SUM([5]OPPD_NPPD!$P21:$R21)+SUM([5]NSP!$P21:$R21)</f>
        <v>0</v>
      </c>
      <c r="DU30" s="56">
        <f ca="1">SUM([5]COMED!$P21:$R21)</f>
        <v>-796.521484375</v>
      </c>
      <c r="DV30" s="56">
        <f t="shared" ca="1" si="27"/>
        <v>-796.521484375</v>
      </c>
      <c r="DW30" s="57"/>
      <c r="DX30" s="58">
        <f>[5]OtherPosn!$D21</f>
        <v>37148</v>
      </c>
      <c r="DY30" s="56">
        <f>[5]OtherPosn!$N21</f>
        <v>-10354.779296875</v>
      </c>
      <c r="DZ30" s="56">
        <f>SUM([5]OtherPosn!$O21:$P21)</f>
        <v>0</v>
      </c>
      <c r="EO30" s="54">
        <f t="shared" si="7"/>
        <v>37712</v>
      </c>
      <c r="EP30" s="449">
        <f t="shared" si="7"/>
        <v>22</v>
      </c>
      <c r="EQ30" s="297">
        <f t="shared" si="45"/>
        <v>605</v>
      </c>
      <c r="ER30" s="297">
        <f t="shared" si="46"/>
        <v>638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8" x14ac:dyDescent="0.25">
      <c r="A31" s="153">
        <f>[5]Cinergy!$D53</f>
        <v>37742</v>
      </c>
      <c r="B31" s="154">
        <f ca="1">[5]Cinergy!$O53</f>
        <v>-324609.15625</v>
      </c>
      <c r="C31" s="138">
        <f t="shared" ca="1" si="84"/>
        <v>-1036.1245342860627</v>
      </c>
      <c r="D31" s="138">
        <f t="shared" si="61"/>
        <v>0</v>
      </c>
      <c r="E31" s="137">
        <f t="shared" ca="1" si="62"/>
        <v>-324609.15625</v>
      </c>
      <c r="F31" s="172">
        <f t="shared" ca="1" si="63"/>
        <v>-1036.1245342860627</v>
      </c>
      <c r="G31" s="139">
        <f>[5]Cinergy!$E53</f>
        <v>30.5</v>
      </c>
      <c r="H31" s="143">
        <f t="shared" si="11"/>
        <v>0</v>
      </c>
      <c r="I31" s="134">
        <f t="shared" si="64"/>
        <v>30.5</v>
      </c>
      <c r="J31" s="137">
        <f t="shared" ca="1" si="65"/>
        <v>0</v>
      </c>
      <c r="K31" s="140">
        <f t="shared" si="66"/>
        <v>0</v>
      </c>
      <c r="L31" s="140">
        <f t="shared" ca="1" si="59"/>
        <v>0</v>
      </c>
      <c r="M31" s="289"/>
      <c r="N31" s="124">
        <f t="shared" si="3"/>
        <v>37742</v>
      </c>
      <c r="O31" s="165">
        <v>24</v>
      </c>
      <c r="P31" s="165">
        <v>25</v>
      </c>
      <c r="Q31" s="162">
        <f t="shared" si="30"/>
        <v>-6</v>
      </c>
      <c r="R31" s="287">
        <f>+Master!L42</f>
        <v>0</v>
      </c>
      <c r="S31" s="431">
        <f t="shared" si="31"/>
        <v>30.5</v>
      </c>
      <c r="T31" s="46">
        <f t="shared" si="67"/>
        <v>2002</v>
      </c>
      <c r="U31" s="45">
        <f t="shared" si="68"/>
        <v>4</v>
      </c>
      <c r="V31" s="112" t="str">
        <f t="shared" si="58"/>
        <v>Q4 2002</v>
      </c>
      <c r="W31" s="112">
        <f t="array" aca="1" ref="W31" ca="1">SUM(IF((INT((MONTH($A$12:$A$47)-1)/3)=$U31-1)*(YEAR($A$12:$A$47)=$T31),$F$12:$F$47))</f>
        <v>1788.9304993713322</v>
      </c>
      <c r="X31" s="168">
        <f t="array" aca="1" ref="X31" ca="1">SUM(IF((INT((MONTH($A$12:$A$47)-1)/3)=$U31-1)*(YEAR($A$12:$A$47)=$T31),$E$12:$E$47))</f>
        <v>582626.79220469669</v>
      </c>
      <c r="Y31" s="104"/>
      <c r="Z31" s="185">
        <f t="shared" si="53"/>
        <v>37316</v>
      </c>
      <c r="AA31" s="204">
        <f t="shared" si="54"/>
        <v>27.519767051519349</v>
      </c>
      <c r="AB31" s="131">
        <f t="shared" ca="1" si="55"/>
        <v>24.744270110371531</v>
      </c>
      <c r="AC31" s="131">
        <f t="shared" ca="1" si="56"/>
        <v>-169.99491430145073</v>
      </c>
      <c r="AD31" s="131">
        <f t="shared" ca="1" si="57"/>
        <v>-145.2506441910792</v>
      </c>
      <c r="AE31" s="104"/>
      <c r="AF31" s="104"/>
      <c r="AG31" s="104"/>
      <c r="AH31" s="104"/>
      <c r="AI31" s="104"/>
      <c r="AJ31" s="47">
        <f t="shared" si="4"/>
        <v>37742</v>
      </c>
      <c r="AK31" s="781"/>
      <c r="AL31" s="778"/>
      <c r="AM31" s="781"/>
      <c r="AN31" s="778"/>
      <c r="AO31" s="781"/>
      <c r="AP31" s="778"/>
      <c r="AQ31" s="781"/>
      <c r="AR31" s="778"/>
      <c r="AS31" s="789"/>
      <c r="AT31" s="790"/>
      <c r="AU31" s="843">
        <f t="shared" si="69"/>
        <v>0</v>
      </c>
      <c r="AV31" s="844">
        <f t="shared" si="70"/>
        <v>0</v>
      </c>
      <c r="AW31" s="843">
        <f t="shared" si="71"/>
        <v>0</v>
      </c>
      <c r="AX31" s="844">
        <f t="shared" si="72"/>
        <v>0</v>
      </c>
      <c r="AY31" s="843"/>
      <c r="AZ31" s="844"/>
      <c r="BA31" s="843"/>
      <c r="BB31" s="844"/>
      <c r="BC31" s="781"/>
      <c r="BD31" s="778"/>
      <c r="BE31" s="781"/>
      <c r="BF31" s="778"/>
      <c r="BG31" s="781"/>
      <c r="BH31" s="778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73"/>
        <v>0</v>
      </c>
      <c r="BZ31" s="49">
        <f t="shared" si="74"/>
        <v>0</v>
      </c>
      <c r="CB31" s="51">
        <f t="shared" si="5"/>
        <v>37742</v>
      </c>
      <c r="CC31" s="50">
        <f t="shared" si="75"/>
        <v>0</v>
      </c>
      <c r="CD31" s="52">
        <f t="shared" si="76"/>
        <v>336</v>
      </c>
      <c r="CE31" s="50">
        <f>VLOOKUP(A31,Interest!$X$8:$AC$367,6)</f>
        <v>0.93241560000426249</v>
      </c>
      <c r="CF31" s="53">
        <f t="shared" ca="1" si="77"/>
        <v>0</v>
      </c>
      <c r="CG31" s="53">
        <f t="shared" si="78"/>
        <v>0</v>
      </c>
      <c r="CH31" s="53">
        <f t="shared" si="79"/>
        <v>0</v>
      </c>
      <c r="CI31" s="53">
        <f t="shared" si="80"/>
        <v>0</v>
      </c>
      <c r="CJ31" s="25">
        <f t="shared" si="81"/>
        <v>0</v>
      </c>
      <c r="CK31" s="838"/>
      <c r="CL31" s="554">
        <v>8.6999999999999993</v>
      </c>
      <c r="CM31" s="438">
        <f t="shared" ca="1" si="24"/>
        <v>0</v>
      </c>
      <c r="CN31" s="25">
        <f>[3]!'NGX2 CLS'</f>
        <v>3.3170000000000002</v>
      </c>
      <c r="CO31" s="25">
        <f t="shared" si="35"/>
        <v>0.16000000000000014</v>
      </c>
      <c r="CW31" s="25">
        <v>34.65</v>
      </c>
      <c r="CX31" s="25">
        <v>3.67</v>
      </c>
      <c r="CY31" s="838">
        <f t="shared" si="82"/>
        <v>9.4414168937329705</v>
      </c>
      <c r="DJ31" s="54">
        <f>[5]Cinergy!$D53</f>
        <v>37742</v>
      </c>
      <c r="DK31" s="30">
        <f t="shared" si="83"/>
        <v>21</v>
      </c>
      <c r="DL31" s="254">
        <v>36312</v>
      </c>
      <c r="DM31" s="255">
        <v>22</v>
      </c>
      <c r="DP31" s="55">
        <f>[5]Cinergy!$D22</f>
        <v>37161</v>
      </c>
      <c r="DQ31" s="56">
        <f ca="1">[5]OPPD_NPPD!$O22+[5]NSP!$O22</f>
        <v>1593.04296875</v>
      </c>
      <c r="DR31" s="56">
        <f ca="1">[5]COMED!$O22</f>
        <v>15930.4296875</v>
      </c>
      <c r="DS31" s="56">
        <f t="shared" ca="1" si="26"/>
        <v>17523.47265625</v>
      </c>
      <c r="DT31" s="56">
        <f ca="1">SUM([5]OPPD_NPPD!$P22:$R22)+SUM([5]NSP!$P22:$R22)</f>
        <v>0</v>
      </c>
      <c r="DU31" s="56">
        <f ca="1">SUM([5]COMED!$P22:$R22)</f>
        <v>-796.521484375</v>
      </c>
      <c r="DV31" s="56">
        <f t="shared" ca="1" si="27"/>
        <v>-796.521484375</v>
      </c>
      <c r="DW31" s="57"/>
      <c r="DX31" s="58">
        <f>[5]OtherPosn!$D22</f>
        <v>37151</v>
      </c>
      <c r="DY31" s="56">
        <f>[5]OtherPosn!$N22</f>
        <v>-10354.779296875</v>
      </c>
      <c r="DZ31" s="56">
        <f>SUM([5]OtherPosn!$O22:$P22)</f>
        <v>0</v>
      </c>
      <c r="EO31" s="54">
        <f t="shared" si="7"/>
        <v>37742</v>
      </c>
      <c r="EP31" s="449">
        <f t="shared" si="7"/>
        <v>21</v>
      </c>
      <c r="EQ31" s="297">
        <f t="shared" si="45"/>
        <v>577.5</v>
      </c>
      <c r="ER31" s="297">
        <f t="shared" si="46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8" x14ac:dyDescent="0.25">
      <c r="A32" s="151">
        <f>[5]Cinergy!$D54</f>
        <v>37773</v>
      </c>
      <c r="B32" s="152">
        <f ca="1">[5]Cinergy!$O54</f>
        <v>-62318.49609375</v>
      </c>
      <c r="C32" s="142">
        <f t="shared" ca="1" si="84"/>
        <v>-199.72863851110728</v>
      </c>
      <c r="D32" s="141">
        <f t="shared" si="61"/>
        <v>0</v>
      </c>
      <c r="E32" s="142">
        <f t="shared" ca="1" si="62"/>
        <v>-62318.49609375</v>
      </c>
      <c r="F32" s="171">
        <f t="shared" ca="1" si="63"/>
        <v>-199.72863851110728</v>
      </c>
      <c r="G32" s="143">
        <f>[5]Cinergy!$E54</f>
        <v>40.375</v>
      </c>
      <c r="H32" s="143">
        <f t="shared" si="11"/>
        <v>-0.5</v>
      </c>
      <c r="I32" s="174">
        <f t="shared" si="64"/>
        <v>39.875</v>
      </c>
      <c r="J32" s="152">
        <f t="shared" ca="1" si="65"/>
        <v>31159.248046875</v>
      </c>
      <c r="K32" s="144">
        <f t="shared" si="66"/>
        <v>0</v>
      </c>
      <c r="L32" s="144">
        <f t="shared" ca="1" si="59"/>
        <v>31159.248046875</v>
      </c>
      <c r="M32" s="289"/>
      <c r="N32" s="124">
        <f t="shared" si="3"/>
        <v>37773</v>
      </c>
      <c r="O32" s="165">
        <v>24.5</v>
      </c>
      <c r="P32" s="165">
        <v>25</v>
      </c>
      <c r="Q32" s="162">
        <f t="shared" si="30"/>
        <v>-15.625</v>
      </c>
      <c r="R32" s="287">
        <f>+Master!L43</f>
        <v>-0.5</v>
      </c>
      <c r="S32" s="431">
        <f t="shared" si="31"/>
        <v>39.875</v>
      </c>
      <c r="T32" s="46">
        <f t="shared" si="67"/>
        <v>2003</v>
      </c>
      <c r="U32" s="45">
        <f t="shared" si="68"/>
        <v>1</v>
      </c>
      <c r="V32" s="131" t="str">
        <f t="shared" si="58"/>
        <v>Q1 2003</v>
      </c>
      <c r="W32" s="131">
        <f t="array" aca="1" ref="W32" ca="1">SUM(IF((INT((MONTH($A$12:$A$47)-1)/3)=$U32-1)*(YEAR($A$12:$A$47)=$T32),$F$12:$F$47))</f>
        <v>-3695.6692240610819</v>
      </c>
      <c r="X32" s="132">
        <f t="array" aca="1" ref="X32" ca="1">SUM(IF((INT((MONTH($A$12:$A$47)-1)/3)=$U32-1)*(YEAR($A$12:$A$47)=$T32),$E$12:$E$47))</f>
        <v>-1171592.09375</v>
      </c>
      <c r="Y32" s="104"/>
      <c r="Z32" s="187">
        <f t="shared" si="53"/>
        <v>37347</v>
      </c>
      <c r="AA32" s="178">
        <f t="shared" si="54"/>
        <v>27.969767814458802</v>
      </c>
      <c r="AB32" s="179">
        <f t="shared" ca="1" si="55"/>
        <v>20.916939608042924</v>
      </c>
      <c r="AC32" s="180">
        <f t="shared" ca="1" si="56"/>
        <v>-169.98586109684334</v>
      </c>
      <c r="AD32" s="180">
        <f t="shared" ca="1" si="57"/>
        <v>-149.06892148880041</v>
      </c>
      <c r="AE32" s="104"/>
      <c r="AF32" s="104"/>
      <c r="AG32" s="104"/>
      <c r="AH32" s="104"/>
      <c r="AI32" s="104"/>
      <c r="AJ32" s="47">
        <f t="shared" si="4"/>
        <v>37773</v>
      </c>
      <c r="AK32" s="781"/>
      <c r="AL32" s="778"/>
      <c r="AM32" s="781"/>
      <c r="AN32" s="778"/>
      <c r="AO32" s="781"/>
      <c r="AP32" s="778"/>
      <c r="AQ32" s="781"/>
      <c r="AR32" s="778"/>
      <c r="AS32" s="789"/>
      <c r="AT32" s="790"/>
      <c r="AU32" s="843">
        <f t="shared" si="69"/>
        <v>0</v>
      </c>
      <c r="AV32" s="844">
        <f t="shared" si="70"/>
        <v>0</v>
      </c>
      <c r="AW32" s="843">
        <f t="shared" si="71"/>
        <v>0</v>
      </c>
      <c r="AX32" s="844">
        <f t="shared" si="72"/>
        <v>0</v>
      </c>
      <c r="AY32" s="843"/>
      <c r="AZ32" s="844"/>
      <c r="BA32" s="843"/>
      <c r="BB32" s="844"/>
      <c r="BC32" s="781"/>
      <c r="BD32" s="778"/>
      <c r="BE32" s="781"/>
      <c r="BF32" s="778"/>
      <c r="BG32" s="781"/>
      <c r="BH32" s="778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73"/>
        <v>0</v>
      </c>
      <c r="BZ32" s="49">
        <f t="shared" si="74"/>
        <v>0</v>
      </c>
      <c r="CB32" s="51">
        <f t="shared" si="5"/>
        <v>37773</v>
      </c>
      <c r="CC32" s="50">
        <f t="shared" si="75"/>
        <v>0</v>
      </c>
      <c r="CD32" s="52">
        <f t="shared" si="76"/>
        <v>336</v>
      </c>
      <c r="CE32" s="50">
        <f>VLOOKUP(A32,Interest!$X$8:$AC$367,6)</f>
        <v>0.92861852935735956</v>
      </c>
      <c r="CF32" s="53">
        <f t="shared" ca="1" si="77"/>
        <v>0</v>
      </c>
      <c r="CG32" s="53">
        <f t="shared" si="78"/>
        <v>0</v>
      </c>
      <c r="CH32" s="53">
        <f t="shared" si="79"/>
        <v>0</v>
      </c>
      <c r="CI32" s="53">
        <f t="shared" si="80"/>
        <v>0</v>
      </c>
      <c r="CJ32" s="25">
        <f t="shared" si="81"/>
        <v>0</v>
      </c>
      <c r="CK32" s="838"/>
      <c r="CL32" s="554">
        <v>9.1</v>
      </c>
      <c r="CM32" s="438">
        <f t="shared" ca="1" si="24"/>
        <v>0</v>
      </c>
      <c r="CN32" s="25">
        <f>[3]!'NGZ2 CLS'</f>
        <v>3.4780000000000002</v>
      </c>
      <c r="CO32" s="25">
        <f t="shared" si="35"/>
        <v>0.16100000000000003</v>
      </c>
      <c r="CW32" s="25">
        <v>35.54</v>
      </c>
      <c r="CX32" s="25">
        <v>3.72</v>
      </c>
      <c r="CY32" s="838">
        <f t="shared" si="82"/>
        <v>9.5537634408602141</v>
      </c>
      <c r="DJ32" s="54">
        <f>[5]Cinergy!$D54</f>
        <v>37773</v>
      </c>
      <c r="DK32" s="30">
        <f t="shared" si="83"/>
        <v>21</v>
      </c>
      <c r="DL32" s="254">
        <v>36342</v>
      </c>
      <c r="DM32" s="255">
        <v>21</v>
      </c>
      <c r="DP32" s="55">
        <f>[5]Cinergy!$D23</f>
        <v>37162</v>
      </c>
      <c r="DQ32" s="56">
        <f ca="1">[5]OPPD_NPPD!$O23+[5]NSP!$O23</f>
        <v>1593.04296875</v>
      </c>
      <c r="DR32" s="56">
        <f ca="1">[5]COMED!$O23</f>
        <v>15930.4296875</v>
      </c>
      <c r="DS32" s="56">
        <f t="shared" ca="1" si="26"/>
        <v>17523.47265625</v>
      </c>
      <c r="DT32" s="56">
        <f ca="1">SUM([5]OPPD_NPPD!$P23:$R23)+SUM([5]NSP!$P23:$R23)</f>
        <v>0</v>
      </c>
      <c r="DU32" s="56">
        <f ca="1">SUM([5]COMED!$P23:$R23)</f>
        <v>-796.521484375</v>
      </c>
      <c r="DV32" s="56">
        <f t="shared" ca="1" si="27"/>
        <v>-796.521484375</v>
      </c>
      <c r="DW32" s="57"/>
      <c r="DX32" s="58">
        <f>[5]OtherPosn!$D23</f>
        <v>37152</v>
      </c>
      <c r="DY32" s="56">
        <f>[5]OtherPosn!$N23</f>
        <v>-10354.779296875</v>
      </c>
      <c r="DZ32" s="56">
        <f>SUM([5]OtherPosn!$O23:$P23)</f>
        <v>0</v>
      </c>
      <c r="EO32" s="54">
        <f t="shared" si="7"/>
        <v>37773</v>
      </c>
      <c r="EP32" s="449">
        <f t="shared" si="7"/>
        <v>21</v>
      </c>
      <c r="EQ32" s="297">
        <f t="shared" si="45"/>
        <v>577.5</v>
      </c>
      <c r="ER32" s="297">
        <f t="shared" si="46"/>
        <v>609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25">
      <c r="A33" s="153">
        <f>[5]Cinergy!$D55</f>
        <v>37803</v>
      </c>
      <c r="B33" s="154">
        <f ca="1">[5]Cinergy!$O55</f>
        <v>-2715.5859375</v>
      </c>
      <c r="C33" s="138">
        <f t="shared" ca="1" si="84"/>
        <v>-8.3430179767698487</v>
      </c>
      <c r="D33" s="138">
        <f t="shared" si="61"/>
        <v>0</v>
      </c>
      <c r="E33" s="137">
        <f t="shared" ca="1" si="62"/>
        <v>-2715.5859375</v>
      </c>
      <c r="F33" s="172">
        <f t="shared" ca="1" si="63"/>
        <v>-8.3430179767698487</v>
      </c>
      <c r="G33" s="139">
        <f>[5]Cinergy!$E55</f>
        <v>50.125</v>
      </c>
      <c r="H33" s="143">
        <f t="shared" si="11"/>
        <v>-0.5</v>
      </c>
      <c r="I33" s="134">
        <f t="shared" si="64"/>
        <v>49.625</v>
      </c>
      <c r="J33" s="137">
        <f t="shared" ca="1" si="65"/>
        <v>1357.79296875</v>
      </c>
      <c r="K33" s="140">
        <f t="shared" si="66"/>
        <v>0</v>
      </c>
      <c r="L33" s="140">
        <f t="shared" ca="1" si="59"/>
        <v>1357.79296875</v>
      </c>
      <c r="M33" s="665"/>
      <c r="N33" s="47">
        <f t="shared" si="3"/>
        <v>37803</v>
      </c>
      <c r="O33" s="699">
        <v>28</v>
      </c>
      <c r="P33" s="699">
        <v>29</v>
      </c>
      <c r="Q33" s="700">
        <f>AVERAGE(O33:P33)-G33</f>
        <v>-21.625</v>
      </c>
      <c r="R33" s="287">
        <f>+Master!L44</f>
        <v>-0.5</v>
      </c>
      <c r="S33" s="701">
        <f t="shared" si="31"/>
        <v>49.625</v>
      </c>
      <c r="T33" s="46">
        <f t="shared" si="67"/>
        <v>2003</v>
      </c>
      <c r="U33" s="45">
        <f t="shared" si="68"/>
        <v>2</v>
      </c>
      <c r="V33" s="112" t="str">
        <f t="shared" si="58"/>
        <v>Q2 2003</v>
      </c>
      <c r="W33" s="112">
        <f t="array" aca="1" ref="W33" ca="1">SUM(IF((INT((MONTH($A$12:$A$47)-1)/3)=$U33-1)*(YEAR($A$12:$A$47)=$T33),$F$12:$F$47))</f>
        <v>-2534.2433007945742</v>
      </c>
      <c r="X33" s="168">
        <f t="array" aca="1" ref="X33" ca="1">SUM(IF((INT((MONTH($A$12:$A$47)-1)/3)=$U33-1)*(YEAR($A$12:$A$47)=$T33),$E$12:$E$47))</f>
        <v>-814817.37109375</v>
      </c>
      <c r="Y33" s="106"/>
      <c r="Z33" s="185">
        <f t="shared" si="53"/>
        <v>37377</v>
      </c>
      <c r="AA33" s="204">
        <f t="shared" si="54"/>
        <v>31.25</v>
      </c>
      <c r="AB33" s="131">
        <f t="shared" ca="1" si="55"/>
        <v>-487.1536882227719</v>
      </c>
      <c r="AC33" s="131">
        <f t="shared" ca="1" si="56"/>
        <v>-419.94537069038313</v>
      </c>
      <c r="AD33" s="131">
        <f t="shared" ca="1" si="57"/>
        <v>-907.09905891315498</v>
      </c>
      <c r="AE33" s="106"/>
      <c r="AF33" s="106"/>
      <c r="AG33" s="106"/>
      <c r="AH33" s="106"/>
      <c r="AI33" s="106"/>
      <c r="AJ33" s="47">
        <f t="shared" si="4"/>
        <v>37803</v>
      </c>
      <c r="AK33" s="781"/>
      <c r="AL33" s="778"/>
      <c r="AM33" s="781"/>
      <c r="AN33" s="778"/>
      <c r="AO33" s="781"/>
      <c r="AP33" s="778"/>
      <c r="AQ33" s="781"/>
      <c r="AR33" s="778"/>
      <c r="AS33" s="789"/>
      <c r="AT33" s="790"/>
      <c r="AU33" s="843">
        <f t="shared" si="69"/>
        <v>0</v>
      </c>
      <c r="AV33" s="844">
        <f t="shared" si="70"/>
        <v>0</v>
      </c>
      <c r="AW33" s="843">
        <f t="shared" si="71"/>
        <v>0</v>
      </c>
      <c r="AX33" s="844">
        <f t="shared" si="72"/>
        <v>0</v>
      </c>
      <c r="AY33" s="843"/>
      <c r="AZ33" s="844"/>
      <c r="BA33" s="843"/>
      <c r="BB33" s="844"/>
      <c r="BC33" s="781"/>
      <c r="BD33" s="778"/>
      <c r="BE33" s="781"/>
      <c r="BF33" s="778"/>
      <c r="BG33" s="781"/>
      <c r="BH33" s="778"/>
      <c r="BI33" s="666"/>
      <c r="BJ33" s="667"/>
      <c r="BK33" s="666"/>
      <c r="BL33" s="667"/>
      <c r="BM33" s="666"/>
      <c r="BN33" s="667"/>
      <c r="BO33" s="666"/>
      <c r="BP33" s="667"/>
      <c r="BQ33" s="666"/>
      <c r="BR33" s="667"/>
      <c r="BS33" s="666"/>
      <c r="BT33" s="667"/>
      <c r="BU33" s="666"/>
      <c r="BV33" s="667"/>
      <c r="BW33" s="666"/>
      <c r="BX33" s="667"/>
      <c r="BY33" s="668">
        <f t="shared" si="73"/>
        <v>0</v>
      </c>
      <c r="BZ33" s="669">
        <f t="shared" si="74"/>
        <v>0</v>
      </c>
      <c r="CB33" s="670">
        <f t="shared" si="5"/>
        <v>37803</v>
      </c>
      <c r="CC33" s="671">
        <f t="shared" si="75"/>
        <v>0</v>
      </c>
      <c r="CD33" s="52">
        <f t="shared" si="76"/>
        <v>352</v>
      </c>
      <c r="CE33" s="671">
        <f>VLOOKUP(A33,Interest!$X$8:$AC$367,6)</f>
        <v>0.92469329425747382</v>
      </c>
      <c r="CF33" s="672">
        <f t="shared" ca="1" si="77"/>
        <v>0</v>
      </c>
      <c r="CG33" s="672">
        <f t="shared" si="78"/>
        <v>0</v>
      </c>
      <c r="CH33" s="672">
        <f t="shared" si="79"/>
        <v>0</v>
      </c>
      <c r="CI33" s="672">
        <f t="shared" si="80"/>
        <v>0</v>
      </c>
      <c r="CJ33" s="30">
        <f t="shared" si="81"/>
        <v>0</v>
      </c>
      <c r="CK33" s="673"/>
      <c r="CL33" s="673">
        <v>11.95</v>
      </c>
      <c r="CM33" s="438">
        <f t="shared" ca="1" si="24"/>
        <v>0</v>
      </c>
      <c r="CW33" s="30">
        <v>36.44</v>
      </c>
      <c r="CX33" s="30">
        <v>3.78</v>
      </c>
      <c r="CY33" s="838">
        <f t="shared" si="82"/>
        <v>9.6402116402116409</v>
      </c>
      <c r="DJ33" s="674">
        <f>[5]Cinergy!$D55</f>
        <v>37803</v>
      </c>
      <c r="DK33" s="30">
        <f t="shared" si="83"/>
        <v>22</v>
      </c>
      <c r="DL33" s="254">
        <v>36373</v>
      </c>
      <c r="DM33" s="255">
        <v>22</v>
      </c>
      <c r="DP33" s="55">
        <f>[5]Cinergy!$D24</f>
        <v>37163</v>
      </c>
      <c r="DQ33" s="56">
        <f ca="1">[5]OPPD_NPPD!$O24+[5]NSP!$O24</f>
        <v>0</v>
      </c>
      <c r="DR33" s="56">
        <f ca="1">[5]COMED!$O24</f>
        <v>0</v>
      </c>
      <c r="DS33" s="56">
        <f t="shared" ca="1" si="26"/>
        <v>0</v>
      </c>
      <c r="DT33" s="56">
        <f ca="1">SUM([5]OPPD_NPPD!$P24:$R24)+SUM([5]NSP!$P24:$R24)</f>
        <v>0</v>
      </c>
      <c r="DU33" s="56">
        <f ca="1">SUM([5]COMED!$P24:$R24)</f>
        <v>-2389.564453125</v>
      </c>
      <c r="DV33" s="56">
        <f t="shared" ca="1" si="27"/>
        <v>-2389.564453125</v>
      </c>
      <c r="DW33" s="675"/>
      <c r="DX33" s="58">
        <f>[5]OtherPosn!$D24</f>
        <v>37153</v>
      </c>
      <c r="DY33" s="56">
        <f>[5]OtherPosn!$N24</f>
        <v>-10354.779296875</v>
      </c>
      <c r="DZ33" s="56">
        <f>SUM([5]OtherPosn!$O24:$P24)</f>
        <v>0</v>
      </c>
      <c r="EO33" s="674">
        <f t="shared" si="7"/>
        <v>37803</v>
      </c>
      <c r="EP33" s="676">
        <f t="shared" si="7"/>
        <v>22</v>
      </c>
      <c r="EQ33" s="677">
        <f>O33*$EP33</f>
        <v>616</v>
      </c>
      <c r="ER33" s="677">
        <f>P33*$EP33</f>
        <v>638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8" x14ac:dyDescent="0.25">
      <c r="A34" s="678">
        <f>[5]Cinergy!$D56</f>
        <v>37834</v>
      </c>
      <c r="B34" s="679">
        <f ca="1">[5]Cinergy!$O56</f>
        <v>-10535.326171875</v>
      </c>
      <c r="C34" s="680">
        <f t="shared" ca="1" si="84"/>
        <v>-34.056173967939195</v>
      </c>
      <c r="D34" s="680">
        <f t="shared" si="61"/>
        <v>0</v>
      </c>
      <c r="E34" s="679">
        <f t="shared" ca="1" si="62"/>
        <v>-10535.326171875</v>
      </c>
      <c r="F34" s="681">
        <f t="shared" ca="1" si="63"/>
        <v>-34.056173967939195</v>
      </c>
      <c r="G34" s="433">
        <f>[5]Cinergy!$E56</f>
        <v>50.125</v>
      </c>
      <c r="H34" s="143">
        <f t="shared" si="11"/>
        <v>-0.5</v>
      </c>
      <c r="I34" s="682">
        <f t="shared" si="64"/>
        <v>49.625</v>
      </c>
      <c r="J34" s="679">
        <f t="shared" ca="1" si="65"/>
        <v>5267.6630859375</v>
      </c>
      <c r="K34" s="142">
        <f t="shared" si="66"/>
        <v>0</v>
      </c>
      <c r="L34" s="144">
        <f t="shared" ref="L34:L43" ca="1" si="86">J34+K34</f>
        <v>5267.6630859375</v>
      </c>
      <c r="M34"/>
      <c r="N34" s="124">
        <f t="shared" ref="N34:N47" si="87">A34</f>
        <v>37834</v>
      </c>
      <c r="O34" s="165">
        <v>28</v>
      </c>
      <c r="P34" s="165">
        <v>29</v>
      </c>
      <c r="Q34" s="162">
        <f t="shared" ref="Q34:Q46" si="88">AVERAGE(O34:P34)-G34</f>
        <v>-21.625</v>
      </c>
      <c r="R34" s="287">
        <f>+R33</f>
        <v>-0.5</v>
      </c>
      <c r="S34" s="431">
        <f t="shared" ref="S34:S47" si="89">I34</f>
        <v>49.625</v>
      </c>
      <c r="T34" s="46">
        <f t="shared" si="67"/>
        <v>2003</v>
      </c>
      <c r="U34" s="45">
        <f t="shared" si="68"/>
        <v>3</v>
      </c>
      <c r="V34" s="131" t="str">
        <f t="shared" si="58"/>
        <v>Q3 2003</v>
      </c>
      <c r="W34" s="131">
        <f t="array" aca="1" ref="W34" ca="1">SUM(IF((INT((MONTH($A$12:$A$47)-1)/3)=$U34-1)*(YEAR($A$12:$A$47)=$T34),$F$12:$F$47))</f>
        <v>-441.80332658118016</v>
      </c>
      <c r="X34" s="132">
        <f t="array" aca="1" ref="X34" ca="1">SUM(IF((INT((MONTH($A$12:$A$47)-1)/3)=$U34-1)*(YEAR($A$12:$A$47)=$T34),$E$12:$E$47))</f>
        <v>-136276.326171875</v>
      </c>
      <c r="Y34" s="104"/>
      <c r="Z34" s="187">
        <f t="shared" si="53"/>
        <v>37408</v>
      </c>
      <c r="AA34" s="178">
        <f t="shared" si="54"/>
        <v>41</v>
      </c>
      <c r="AB34" s="179">
        <f t="shared" ca="1" si="55"/>
        <v>-1649.6449729940928</v>
      </c>
      <c r="AC34" s="180">
        <f t="shared" ca="1" si="56"/>
        <v>-199.94739734698939</v>
      </c>
      <c r="AD34" s="180">
        <f t="shared" ca="1" si="57"/>
        <v>-1849.5923703410822</v>
      </c>
      <c r="AE34" s="104"/>
      <c r="AF34" s="104"/>
      <c r="AG34" s="104"/>
      <c r="AH34" s="104"/>
      <c r="AI34" s="104"/>
      <c r="AJ34" s="47">
        <f t="shared" si="4"/>
        <v>37834</v>
      </c>
      <c r="AK34" s="781">
        <f t="shared" ref="AK34:AR34" si="90">+AK33</f>
        <v>0</v>
      </c>
      <c r="AL34" s="778">
        <f t="shared" si="90"/>
        <v>0</v>
      </c>
      <c r="AM34" s="781">
        <f t="shared" si="90"/>
        <v>0</v>
      </c>
      <c r="AN34" s="778">
        <f t="shared" si="90"/>
        <v>0</v>
      </c>
      <c r="AO34" s="781">
        <f t="shared" si="90"/>
        <v>0</v>
      </c>
      <c r="AP34" s="778">
        <f t="shared" si="90"/>
        <v>0</v>
      </c>
      <c r="AQ34" s="781">
        <f t="shared" si="90"/>
        <v>0</v>
      </c>
      <c r="AR34" s="778">
        <f t="shared" si="90"/>
        <v>0</v>
      </c>
      <c r="AS34" s="789"/>
      <c r="AT34" s="790"/>
      <c r="AU34" s="843">
        <f t="shared" si="69"/>
        <v>0</v>
      </c>
      <c r="AV34" s="844">
        <f t="shared" si="70"/>
        <v>0</v>
      </c>
      <c r="AW34" s="843">
        <f t="shared" si="71"/>
        <v>0</v>
      </c>
      <c r="AX34" s="844">
        <f t="shared" si="72"/>
        <v>0</v>
      </c>
      <c r="AY34" s="843"/>
      <c r="AZ34" s="844"/>
      <c r="BA34" s="843"/>
      <c r="BB34" s="844"/>
      <c r="BC34" s="781"/>
      <c r="BD34" s="778"/>
      <c r="BE34" s="781"/>
      <c r="BF34" s="778"/>
      <c r="BG34" s="781"/>
      <c r="BH34" s="778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73"/>
        <v>0</v>
      </c>
      <c r="BZ34" s="49">
        <f t="shared" si="74"/>
        <v>0</v>
      </c>
      <c r="CA34" s="50"/>
      <c r="CB34" s="51">
        <f t="shared" si="5"/>
        <v>37834</v>
      </c>
      <c r="CC34" s="50">
        <f t="shared" si="75"/>
        <v>0</v>
      </c>
      <c r="CD34" s="52">
        <f t="shared" si="76"/>
        <v>336</v>
      </c>
      <c r="CE34" s="50">
        <f>VLOOKUP(A34,Interest!$X$8:$AC$367,6)</f>
        <v>0.92068878453030767</v>
      </c>
      <c r="CF34" s="53">
        <f t="shared" ca="1" si="77"/>
        <v>0</v>
      </c>
      <c r="CG34" s="53">
        <f t="shared" si="78"/>
        <v>0</v>
      </c>
      <c r="CH34" s="53">
        <f t="shared" si="79"/>
        <v>0</v>
      </c>
      <c r="CI34" s="53">
        <f t="shared" si="80"/>
        <v>0</v>
      </c>
      <c r="CJ34" s="25">
        <f t="shared" si="81"/>
        <v>0</v>
      </c>
      <c r="CK34" s="554"/>
      <c r="CL34" s="554">
        <v>14.2</v>
      </c>
      <c r="CM34" s="438">
        <f t="shared" ca="1" si="24"/>
        <v>0</v>
      </c>
      <c r="CW34" s="106">
        <v>37.17</v>
      </c>
      <c r="CX34" s="106">
        <v>3.85</v>
      </c>
      <c r="CY34" s="838">
        <f t="shared" si="82"/>
        <v>9.6545454545454543</v>
      </c>
      <c r="DJ34" s="54">
        <f>[5]Cinergy!$D56</f>
        <v>37834</v>
      </c>
      <c r="DK34" s="30">
        <f t="shared" si="83"/>
        <v>21</v>
      </c>
      <c r="DL34" s="254">
        <v>36404</v>
      </c>
      <c r="DM34" s="255">
        <v>21</v>
      </c>
      <c r="DP34" s="55">
        <f>[5]Cinergy!$D25</f>
        <v>37164</v>
      </c>
      <c r="DQ34" s="56">
        <f ca="1">[5]OPPD_NPPD!$O25+[5]NSP!$O25</f>
        <v>0</v>
      </c>
      <c r="DR34" s="56">
        <f ca="1">[5]COMED!$O25</f>
        <v>0</v>
      </c>
      <c r="DS34" s="56">
        <f t="shared" ca="1" si="26"/>
        <v>0</v>
      </c>
      <c r="DT34" s="56">
        <f ca="1">SUM([5]OPPD_NPPD!$P25:$R25)+SUM([5]NSP!$P25:$R25)</f>
        <v>0</v>
      </c>
      <c r="DU34" s="56">
        <f ca="1">SUM([5]COMED!$P25:$R25)</f>
        <v>-2389.564453125</v>
      </c>
      <c r="DV34" s="56">
        <f t="shared" ca="1" si="27"/>
        <v>-2389.564453125</v>
      </c>
      <c r="DW34" s="57"/>
      <c r="DX34" s="58">
        <f>[5]OtherPosn!$D25</f>
        <v>37154</v>
      </c>
      <c r="DY34" s="56">
        <f>[5]OtherPosn!$N25</f>
        <v>-10354.779296875</v>
      </c>
      <c r="DZ34" s="56">
        <f>SUM([5]OtherPosn!$O25:$P25)</f>
        <v>0</v>
      </c>
      <c r="EO34" s="54">
        <f t="shared" si="7"/>
        <v>37834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.75" thickBot="1" x14ac:dyDescent="0.3">
      <c r="A35" s="683">
        <f>[5]Cinergy!$D57</f>
        <v>37865</v>
      </c>
      <c r="B35" s="684">
        <f ca="1">[5]Cinergy!$O57</f>
        <v>-123025.4140625</v>
      </c>
      <c r="C35" s="685">
        <f t="shared" ca="1" si="84"/>
        <v>-399.4041346364711</v>
      </c>
      <c r="D35" s="685">
        <f t="shared" si="61"/>
        <v>0</v>
      </c>
      <c r="E35" s="684">
        <f t="shared" ca="1" si="62"/>
        <v>-123025.4140625</v>
      </c>
      <c r="F35" s="686">
        <f t="shared" ca="1" si="63"/>
        <v>-399.4041346364711</v>
      </c>
      <c r="G35" s="687">
        <f>[5]Cinergy!$E57</f>
        <v>28.25</v>
      </c>
      <c r="H35" s="143">
        <f t="shared" si="11"/>
        <v>0</v>
      </c>
      <c r="I35" s="688">
        <f t="shared" si="64"/>
        <v>28.25</v>
      </c>
      <c r="J35" s="684">
        <f t="shared" ca="1" si="65"/>
        <v>0</v>
      </c>
      <c r="K35" s="689">
        <f t="shared" si="66"/>
        <v>0</v>
      </c>
      <c r="L35" s="690">
        <f t="shared" ca="1" si="86"/>
        <v>0</v>
      </c>
      <c r="M35"/>
      <c r="N35" s="124">
        <f t="shared" si="87"/>
        <v>37865</v>
      </c>
      <c r="O35" s="165">
        <v>28</v>
      </c>
      <c r="P35" s="165">
        <v>29</v>
      </c>
      <c r="Q35" s="162">
        <f t="shared" si="88"/>
        <v>0.25</v>
      </c>
      <c r="R35" s="287">
        <f>+Master!L45</f>
        <v>0</v>
      </c>
      <c r="S35" s="431">
        <f t="shared" si="89"/>
        <v>28.25</v>
      </c>
      <c r="T35" s="46">
        <f>IF(MONTH($B$2)&gt;8,YEAR($B$2)+1,YEAR($B$2))</f>
        <v>2002</v>
      </c>
      <c r="U35" s="45"/>
      <c r="V35" s="112" t="str">
        <f t="shared" si="58"/>
        <v>Bal 2002</v>
      </c>
      <c r="W35" s="112">
        <f t="array" aca="1" ref="W35" ca="1">SUM(IF((YEAR($A$12:$A$47)=$T35),$F$12:$F$47))</f>
        <v>-1502.9517344273709</v>
      </c>
      <c r="X35" s="168">
        <f t="array" aca="1" ref="X35" ca="1">SUM(IF((YEAR($A$12:$A$47)=$T35),$E$12:$E$47))</f>
        <v>-479979.1304678545</v>
      </c>
      <c r="Y35" s="104"/>
      <c r="Z35" s="185">
        <f t="shared" si="53"/>
        <v>37438</v>
      </c>
      <c r="AA35" s="204">
        <f t="shared" si="54"/>
        <v>54.875</v>
      </c>
      <c r="AB35" s="131">
        <f t="shared" ca="1" si="55"/>
        <v>-1133.7651384287142</v>
      </c>
      <c r="AC35" s="131">
        <f t="shared" ca="1" si="56"/>
        <v>-849.65850834542073</v>
      </c>
      <c r="AD35" s="131">
        <f t="shared" ca="1" si="57"/>
        <v>-1983.4236467741348</v>
      </c>
      <c r="AE35" s="104"/>
      <c r="AF35" s="104"/>
      <c r="AG35" s="104"/>
      <c r="AH35" s="104"/>
      <c r="AI35" s="104"/>
      <c r="AJ35" s="47">
        <f t="shared" si="4"/>
        <v>37865</v>
      </c>
      <c r="AK35" s="781"/>
      <c r="AL35" s="778"/>
      <c r="AM35" s="781"/>
      <c r="AN35" s="778"/>
      <c r="AO35" s="781"/>
      <c r="AP35" s="778"/>
      <c r="AQ35" s="781"/>
      <c r="AR35" s="778"/>
      <c r="AS35" s="789"/>
      <c r="AT35" s="790"/>
      <c r="AU35" s="843">
        <f t="shared" si="69"/>
        <v>0</v>
      </c>
      <c r="AV35" s="844">
        <f t="shared" si="70"/>
        <v>0</v>
      </c>
      <c r="AW35" s="843">
        <f t="shared" si="71"/>
        <v>0</v>
      </c>
      <c r="AX35" s="844">
        <f t="shared" si="72"/>
        <v>0</v>
      </c>
      <c r="AY35" s="843"/>
      <c r="AZ35" s="844"/>
      <c r="BA35" s="843"/>
      <c r="BB35" s="844"/>
      <c r="BC35" s="781"/>
      <c r="BD35" s="778"/>
      <c r="BE35" s="781"/>
      <c r="BF35" s="778"/>
      <c r="BG35" s="781"/>
      <c r="BH35" s="778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73"/>
        <v>0</v>
      </c>
      <c r="BZ35" s="49">
        <f t="shared" si="74"/>
        <v>0</v>
      </c>
      <c r="CA35" s="50"/>
      <c r="CB35" s="51">
        <f t="shared" si="5"/>
        <v>37865</v>
      </c>
      <c r="CC35" s="50">
        <f t="shared" si="75"/>
        <v>0</v>
      </c>
      <c r="CD35" s="52">
        <f t="shared" si="76"/>
        <v>336</v>
      </c>
      <c r="CE35" s="50">
        <f>VLOOKUP(A35,Interest!$X$8:$AC$367,6)</f>
        <v>0.91673328819057276</v>
      </c>
      <c r="CF35" s="53">
        <f t="shared" ca="1" si="77"/>
        <v>0</v>
      </c>
      <c r="CG35" s="53">
        <f t="shared" si="78"/>
        <v>0</v>
      </c>
      <c r="CH35" s="53">
        <f t="shared" si="79"/>
        <v>0</v>
      </c>
      <c r="CI35" s="53">
        <f t="shared" si="80"/>
        <v>0</v>
      </c>
      <c r="CJ35" s="25">
        <f t="shared" si="81"/>
        <v>0</v>
      </c>
      <c r="CK35" s="554"/>
      <c r="CL35" s="554">
        <v>14.1</v>
      </c>
      <c r="CM35" s="438">
        <f t="shared" ca="1" si="24"/>
        <v>0</v>
      </c>
      <c r="CW35" s="106">
        <v>37.19</v>
      </c>
      <c r="CX35" s="106">
        <v>3.91</v>
      </c>
      <c r="CY35" s="838">
        <f t="shared" si="82"/>
        <v>9.5115089514066486</v>
      </c>
      <c r="DJ35" s="54">
        <f>[5]Cinergy!$D57</f>
        <v>37865</v>
      </c>
      <c r="DK35" s="30">
        <f t="shared" si="83"/>
        <v>21</v>
      </c>
      <c r="DL35" s="254">
        <v>36434</v>
      </c>
      <c r="DM35" s="255">
        <v>21</v>
      </c>
      <c r="DP35" s="55">
        <f>[5]Cinergy!$D26</f>
        <v>37165</v>
      </c>
      <c r="DQ35" s="56">
        <f ca="1">[5]OPPD_NPPD!$O26+[5]NSP!$O26</f>
        <v>1588.2744140625</v>
      </c>
      <c r="DR35" s="56">
        <f ca="1">[5]COMED!$O26</f>
        <v>6035.44287109375</v>
      </c>
      <c r="DS35" s="56">
        <f t="shared" ca="1" si="26"/>
        <v>7623.71728515625</v>
      </c>
      <c r="DT35" s="56">
        <f ca="1">SUM([5]OPPD_NPPD!$P26:$R26)+SUM([5]NSP!$P26:$R26)</f>
        <v>0</v>
      </c>
      <c r="DU35" s="56">
        <f ca="1">SUM([5]COMED!$P26:$R26)</f>
        <v>-794.13720703125</v>
      </c>
      <c r="DV35" s="56">
        <f t="shared" ca="1" si="27"/>
        <v>-794.13720703125</v>
      </c>
      <c r="DW35" s="57"/>
      <c r="DX35" s="58">
        <f>[5]OtherPosn!$D26</f>
        <v>37155</v>
      </c>
      <c r="DY35" s="56">
        <f>[5]OtherPosn!$N26</f>
        <v>-10354.779296875</v>
      </c>
      <c r="DZ35" s="56">
        <f>SUM([5]OtherPosn!$O26:$P26)</f>
        <v>0</v>
      </c>
      <c r="EO35" s="54">
        <f t="shared" si="7"/>
        <v>37865</v>
      </c>
      <c r="EP35" s="449">
        <f t="shared" si="7"/>
        <v>21</v>
      </c>
      <c r="EQ35" s="297">
        <f t="shared" ref="EQ35:ER38" si="91">AG36*$EP35</f>
        <v>0</v>
      </c>
      <c r="ER35" s="297">
        <f t="shared" si="91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8" x14ac:dyDescent="0.25">
      <c r="A36" s="678">
        <f>[5]Cinergy!$D58</f>
        <v>37895</v>
      </c>
      <c r="B36" s="679">
        <f ca="1">[5]Cinergy!$O58</f>
        <v>-318573.625</v>
      </c>
      <c r="C36" s="680">
        <f t="shared" ca="1" si="84"/>
        <v>-948.52268007499902</v>
      </c>
      <c r="D36" s="680">
        <f t="shared" si="61"/>
        <v>0</v>
      </c>
      <c r="E36" s="679">
        <f t="shared" ca="1" si="62"/>
        <v>-318573.625</v>
      </c>
      <c r="F36" s="681">
        <f t="shared" ca="1" si="63"/>
        <v>-948.52268007499902</v>
      </c>
      <c r="G36" s="433">
        <f>[5]Cinergy!$E58</f>
        <v>29.521564483642578</v>
      </c>
      <c r="H36" s="143">
        <f t="shared" si="11"/>
        <v>-0.36500132083892822</v>
      </c>
      <c r="I36" s="682">
        <f t="shared" si="64"/>
        <v>29.15656316280365</v>
      </c>
      <c r="J36" s="679">
        <f t="shared" ca="1" si="65"/>
        <v>116279.79390944541</v>
      </c>
      <c r="K36" s="142">
        <f t="shared" si="66"/>
        <v>0</v>
      </c>
      <c r="L36" s="144">
        <f t="shared" ca="1" si="86"/>
        <v>116279.79390944541</v>
      </c>
      <c r="M36" s="104"/>
      <c r="N36" s="124">
        <f t="shared" si="87"/>
        <v>37895</v>
      </c>
      <c r="O36" s="165">
        <v>28</v>
      </c>
      <c r="P36" s="165">
        <v>29</v>
      </c>
      <c r="Q36" s="162">
        <f t="shared" si="88"/>
        <v>-1.0215644836425781</v>
      </c>
      <c r="R36" s="287">
        <f>+Master!L46</f>
        <v>-0.36500132083892822</v>
      </c>
      <c r="S36" s="431">
        <f t="shared" si="89"/>
        <v>29.15656316280365</v>
      </c>
      <c r="T36" s="46">
        <f>T35+1</f>
        <v>2003</v>
      </c>
      <c r="U36" s="45"/>
      <c r="V36" s="169">
        <f t="shared" si="58"/>
        <v>2003</v>
      </c>
      <c r="W36" s="131">
        <f t="array" aca="1" ref="W36" ca="1">SUM(IF((YEAR($A$12:$A$47)=$T36),$F$12:$F$47))</f>
        <v>-9517.1912047136975</v>
      </c>
      <c r="X36" s="132">
        <f t="array" aca="1" ref="X36" ca="1">SUM(IF((YEAR($A$12:$A$47)=$T36),$E$12:$E$47))</f>
        <v>-3005245.400390625</v>
      </c>
      <c r="Y36" s="104"/>
      <c r="Z36" s="187">
        <f t="shared" si="53"/>
        <v>37469</v>
      </c>
      <c r="AA36" s="178">
        <f t="shared" si="54"/>
        <v>54.875</v>
      </c>
      <c r="AB36" s="179">
        <f t="shared" ca="1" si="55"/>
        <v>-1165.2615210977538</v>
      </c>
      <c r="AC36" s="180">
        <f t="shared" ca="1" si="56"/>
        <v>-849.59746029779365</v>
      </c>
      <c r="AD36" s="180">
        <f t="shared" ca="1" si="57"/>
        <v>-2014.8589813955473</v>
      </c>
      <c r="AE36" s="104"/>
      <c r="AF36" s="257"/>
      <c r="AG36" s="444"/>
      <c r="AH36" s="444"/>
      <c r="AI36" s="445"/>
      <c r="AJ36" s="47">
        <f t="shared" si="4"/>
        <v>37895</v>
      </c>
      <c r="AK36" s="781"/>
      <c r="AL36" s="778"/>
      <c r="AM36" s="781"/>
      <c r="AN36" s="778"/>
      <c r="AO36" s="781"/>
      <c r="AP36" s="778"/>
      <c r="AQ36" s="781"/>
      <c r="AR36" s="778"/>
      <c r="AS36" s="789"/>
      <c r="AT36" s="790"/>
      <c r="AU36" s="843">
        <f t="shared" si="69"/>
        <v>0</v>
      </c>
      <c r="AV36" s="844">
        <f t="shared" si="70"/>
        <v>0</v>
      </c>
      <c r="AW36" s="843">
        <f t="shared" si="71"/>
        <v>0</v>
      </c>
      <c r="AX36" s="844">
        <f t="shared" si="72"/>
        <v>0</v>
      </c>
      <c r="AY36" s="843"/>
      <c r="AZ36" s="844"/>
      <c r="BA36" s="843"/>
      <c r="BB36" s="844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73"/>
        <v>0</v>
      </c>
      <c r="BZ36" s="49">
        <f t="shared" si="74"/>
        <v>0</v>
      </c>
      <c r="CA36" s="50"/>
      <c r="CB36" s="51">
        <f t="shared" si="5"/>
        <v>37895</v>
      </c>
      <c r="CC36" s="50">
        <f t="shared" si="75"/>
        <v>0</v>
      </c>
      <c r="CD36" s="52">
        <f t="shared" si="76"/>
        <v>368</v>
      </c>
      <c r="CE36" s="50">
        <f>VLOOKUP(A36,Interest!$X$8:$AC$367,6)</f>
        <v>0.91267105843069118</v>
      </c>
      <c r="CF36" s="53">
        <f t="shared" ca="1" si="77"/>
        <v>0</v>
      </c>
      <c r="CG36" s="53">
        <f t="shared" si="78"/>
        <v>0</v>
      </c>
      <c r="CH36" s="53">
        <f t="shared" si="79"/>
        <v>0</v>
      </c>
      <c r="CI36" s="53">
        <f t="shared" si="80"/>
        <v>0</v>
      </c>
      <c r="CJ36" s="25">
        <f t="shared" si="81"/>
        <v>0</v>
      </c>
      <c r="CK36" s="554"/>
      <c r="CL36" s="554">
        <v>8</v>
      </c>
      <c r="CM36" s="438">
        <f t="shared" ca="1" si="24"/>
        <v>0</v>
      </c>
      <c r="CW36" s="106">
        <v>38.64</v>
      </c>
      <c r="CX36" s="106">
        <v>4</v>
      </c>
      <c r="CY36" s="838">
        <f t="shared" si="82"/>
        <v>9.66</v>
      </c>
      <c r="DJ36" s="54">
        <f>[5]Cinergy!$D58</f>
        <v>37895</v>
      </c>
      <c r="DK36" s="30">
        <f t="shared" si="83"/>
        <v>23</v>
      </c>
      <c r="DL36" s="254">
        <v>36465</v>
      </c>
      <c r="DM36" s="255">
        <v>21</v>
      </c>
      <c r="DP36" s="55">
        <f>[5]Cinergy!$D27</f>
        <v>37166</v>
      </c>
      <c r="DQ36" s="56">
        <f ca="1">[5]OPPD_NPPD!$O27+[5]NSP!$O27</f>
        <v>1588.2744140625</v>
      </c>
      <c r="DR36" s="56">
        <f ca="1">[5]COMED!$O27</f>
        <v>6035.44287109375</v>
      </c>
      <c r="DS36" s="56">
        <f t="shared" ca="1" si="26"/>
        <v>7623.71728515625</v>
      </c>
      <c r="DT36" s="56">
        <f ca="1">SUM([5]OPPD_NPPD!$P27:$R27)+SUM([5]NSP!$P27:$R27)</f>
        <v>0</v>
      </c>
      <c r="DU36" s="56">
        <f ca="1">SUM([5]COMED!$P27:$R27)</f>
        <v>-794.13720703125</v>
      </c>
      <c r="DV36" s="56">
        <f t="shared" ca="1" si="27"/>
        <v>-794.13720703125</v>
      </c>
      <c r="DW36" s="57"/>
      <c r="DX36" s="58">
        <f>[5]OtherPosn!$D27</f>
        <v>37158</v>
      </c>
      <c r="DY36" s="56">
        <f>[5]OtherPosn!$N27</f>
        <v>-10354.779296875</v>
      </c>
      <c r="DZ36" s="56">
        <f>SUM([5]OtherPosn!$O27:$P27)</f>
        <v>0</v>
      </c>
      <c r="EO36" s="54">
        <f t="shared" si="7"/>
        <v>37895</v>
      </c>
      <c r="EP36" s="449">
        <f t="shared" si="7"/>
        <v>23</v>
      </c>
      <c r="EQ36" s="297">
        <f t="shared" si="91"/>
        <v>0</v>
      </c>
      <c r="ER36" s="297">
        <f t="shared" si="91"/>
        <v>0</v>
      </c>
    </row>
    <row r="37" spans="1:151" ht="18.75" thickBot="1" x14ac:dyDescent="0.3">
      <c r="A37" s="683">
        <f>[5]Cinergy!$D59</f>
        <v>37926</v>
      </c>
      <c r="B37" s="684">
        <f ca="1">[5]Cinergy!$O59</f>
        <v>-262008.234375</v>
      </c>
      <c r="C37" s="685">
        <f t="shared" ca="1" si="84"/>
        <v>-948.50743224332678</v>
      </c>
      <c r="D37" s="685">
        <f t="shared" si="61"/>
        <v>0</v>
      </c>
      <c r="E37" s="684">
        <f t="shared" ca="1" si="62"/>
        <v>-262008.234375</v>
      </c>
      <c r="F37" s="686">
        <f t="shared" ca="1" si="63"/>
        <v>-948.50743224332678</v>
      </c>
      <c r="G37" s="687">
        <f>[5]Cinergy!$E59</f>
        <v>29.621562957763672</v>
      </c>
      <c r="H37" s="143">
        <f t="shared" si="11"/>
        <v>-0.36500132083892822</v>
      </c>
      <c r="I37" s="688">
        <f t="shared" si="64"/>
        <v>29.256561636924744</v>
      </c>
      <c r="J37" s="684">
        <f t="shared" ca="1" si="65"/>
        <v>95633.351617550477</v>
      </c>
      <c r="K37" s="689">
        <f t="shared" si="66"/>
        <v>0</v>
      </c>
      <c r="L37" s="690">
        <f t="shared" ca="1" si="86"/>
        <v>95633.351617550477</v>
      </c>
      <c r="M37" s="104"/>
      <c r="N37" s="124">
        <f t="shared" si="87"/>
        <v>37926</v>
      </c>
      <c r="O37" s="165">
        <v>28</v>
      </c>
      <c r="P37" s="165">
        <v>29</v>
      </c>
      <c r="Q37" s="162">
        <f t="shared" si="88"/>
        <v>-1.1215629577636719</v>
      </c>
      <c r="R37" s="287">
        <f>+R36</f>
        <v>-0.36500132083892822</v>
      </c>
      <c r="S37" s="431">
        <f t="shared" si="89"/>
        <v>29.256561636924744</v>
      </c>
      <c r="T37" s="46">
        <f>T36+1</f>
        <v>2004</v>
      </c>
      <c r="U37" s="45"/>
      <c r="V37" s="170">
        <f t="shared" si="58"/>
        <v>2004</v>
      </c>
      <c r="W37" s="112">
        <f t="array" aca="1" ref="W37" ca="1">SUM(IF((YEAR($A$12:$A$47)=$T37),$F$12:$F$47))</f>
        <v>-1695.0331782904957</v>
      </c>
      <c r="X37" s="168">
        <f t="array" aca="1" ref="X37" ca="1">SUM(IF((YEAR($A$12:$A$47)=$T37),$E$12:$E$47))</f>
        <v>-516622.5791015625</v>
      </c>
      <c r="Y37" s="104"/>
      <c r="Z37" s="185">
        <f t="shared" si="53"/>
        <v>37500</v>
      </c>
      <c r="AA37" s="204">
        <f t="shared" si="54"/>
        <v>28.25</v>
      </c>
      <c r="AB37" s="131">
        <f t="shared" ca="1" si="55"/>
        <v>-849.5067105854049</v>
      </c>
      <c r="AC37" s="131">
        <f t="shared" ca="1" si="56"/>
        <v>299.81501646952688</v>
      </c>
      <c r="AD37" s="131">
        <f t="shared" ca="1" si="57"/>
        <v>-549.69169411587802</v>
      </c>
      <c r="AE37" s="104"/>
      <c r="AF37" s="260"/>
      <c r="AG37" s="446"/>
      <c r="AH37" s="166"/>
      <c r="AI37" s="163"/>
      <c r="AJ37" s="47">
        <f t="shared" si="4"/>
        <v>37926</v>
      </c>
      <c r="AK37" s="781">
        <f t="shared" ref="AK37:AR38" si="92">+AK36</f>
        <v>0</v>
      </c>
      <c r="AL37" s="778">
        <f t="shared" si="92"/>
        <v>0</v>
      </c>
      <c r="AM37" s="781">
        <f t="shared" si="92"/>
        <v>0</v>
      </c>
      <c r="AN37" s="778">
        <f t="shared" si="92"/>
        <v>0</v>
      </c>
      <c r="AO37" s="781">
        <f t="shared" si="92"/>
        <v>0</v>
      </c>
      <c r="AP37" s="778">
        <f t="shared" si="92"/>
        <v>0</v>
      </c>
      <c r="AQ37" s="781">
        <f t="shared" si="92"/>
        <v>0</v>
      </c>
      <c r="AR37" s="778">
        <f t="shared" si="92"/>
        <v>0</v>
      </c>
      <c r="AS37" s="789"/>
      <c r="AT37" s="790"/>
      <c r="AU37" s="843">
        <f t="shared" si="69"/>
        <v>0</v>
      </c>
      <c r="AV37" s="844">
        <f t="shared" si="70"/>
        <v>0</v>
      </c>
      <c r="AW37" s="843">
        <f t="shared" si="71"/>
        <v>0</v>
      </c>
      <c r="AX37" s="844">
        <f t="shared" si="72"/>
        <v>0</v>
      </c>
      <c r="AY37" s="843"/>
      <c r="AZ37" s="844"/>
      <c r="BA37" s="843"/>
      <c r="BB37" s="844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73"/>
        <v>0</v>
      </c>
      <c r="BZ37" s="49">
        <f t="shared" si="74"/>
        <v>0</v>
      </c>
      <c r="CA37" s="50"/>
      <c r="CB37" s="51">
        <f t="shared" si="5"/>
        <v>37926</v>
      </c>
      <c r="CC37" s="50">
        <f t="shared" si="75"/>
        <v>0</v>
      </c>
      <c r="CD37" s="52">
        <f t="shared" si="76"/>
        <v>304</v>
      </c>
      <c r="CE37" s="50">
        <f>VLOOKUP(A37,Interest!$X$8:$AC$367,6)</f>
        <v>0.90865834333486328</v>
      </c>
      <c r="CF37" s="53">
        <f t="shared" ca="1" si="77"/>
        <v>0</v>
      </c>
      <c r="CG37" s="53">
        <f t="shared" si="78"/>
        <v>0</v>
      </c>
      <c r="CH37" s="53">
        <f t="shared" si="79"/>
        <v>0</v>
      </c>
      <c r="CI37" s="53">
        <f t="shared" si="80"/>
        <v>0</v>
      </c>
      <c r="CJ37" s="25">
        <f t="shared" si="81"/>
        <v>0</v>
      </c>
      <c r="CK37" s="554"/>
      <c r="CL37" s="554">
        <v>8.3000000000000007</v>
      </c>
      <c r="CM37" s="438">
        <f t="shared" ca="1" si="24"/>
        <v>0</v>
      </c>
      <c r="CW37" s="106">
        <v>39.369999999999997</v>
      </c>
      <c r="CX37" s="106">
        <v>4.07</v>
      </c>
      <c r="CY37" s="838">
        <f t="shared" si="82"/>
        <v>9.6732186732186722</v>
      </c>
      <c r="DJ37" s="54">
        <f>[5]Cinergy!$D59</f>
        <v>37926</v>
      </c>
      <c r="DK37" s="30">
        <f t="shared" si="83"/>
        <v>19</v>
      </c>
      <c r="DL37" s="254">
        <v>36495</v>
      </c>
      <c r="DM37" s="255">
        <v>23</v>
      </c>
      <c r="DP37" s="55">
        <f>[5]Cinergy!$D28</f>
        <v>37167</v>
      </c>
      <c r="DQ37" s="56">
        <f ca="1">[5]OPPD_NPPD!$O28+[5]NSP!$O28</f>
        <v>1588.2744140625</v>
      </c>
      <c r="DR37" s="56">
        <f ca="1">[5]COMED!$O28</f>
        <v>6035.44287109375</v>
      </c>
      <c r="DS37" s="56">
        <f t="shared" ca="1" si="26"/>
        <v>7623.71728515625</v>
      </c>
      <c r="DT37" s="56">
        <f ca="1">SUM([5]OPPD_NPPD!$P28:$R28)+SUM([5]NSP!$P28:$R28)</f>
        <v>0</v>
      </c>
      <c r="DU37" s="56">
        <f ca="1">SUM([5]COMED!$P28:$R28)</f>
        <v>-794.13720703125</v>
      </c>
      <c r="DV37" s="56">
        <f t="shared" ca="1" si="27"/>
        <v>-794.13720703125</v>
      </c>
      <c r="DW37" s="57"/>
      <c r="DX37" s="58">
        <f>[5]OtherPosn!$D28</f>
        <v>37159</v>
      </c>
      <c r="DY37" s="56">
        <f>[5]OtherPosn!$N28</f>
        <v>-10354.779296875</v>
      </c>
      <c r="DZ37" s="56">
        <f>SUM([5]OtherPosn!$O28:$P28)</f>
        <v>0</v>
      </c>
      <c r="EO37" s="54">
        <f t="shared" si="7"/>
        <v>37926</v>
      </c>
      <c r="EP37" s="449">
        <f t="shared" si="7"/>
        <v>19</v>
      </c>
      <c r="EQ37" s="297" t="e">
        <f t="shared" si="91"/>
        <v>#N/A</v>
      </c>
      <c r="ER37" s="297" t="e">
        <f t="shared" si="91"/>
        <v>#N/A</v>
      </c>
    </row>
    <row r="38" spans="1:151" ht="18.75" thickBot="1" x14ac:dyDescent="0.3">
      <c r="A38" s="678">
        <f>[5]Cinergy!$D60</f>
        <v>37956</v>
      </c>
      <c r="B38" s="679">
        <f ca="1">[5]Cinergy!$O60</f>
        <v>-301977.75</v>
      </c>
      <c r="C38" s="680">
        <f t="shared" ca="1" si="84"/>
        <v>-948.44524095853546</v>
      </c>
      <c r="D38" s="680">
        <f t="shared" si="61"/>
        <v>0</v>
      </c>
      <c r="E38" s="679">
        <f t="shared" ca="1" si="62"/>
        <v>-301977.75</v>
      </c>
      <c r="F38" s="681">
        <f t="shared" ca="1" si="63"/>
        <v>-948.44524095853546</v>
      </c>
      <c r="G38" s="433">
        <f>[5]Cinergy!$E60</f>
        <v>29.721561431884766</v>
      </c>
      <c r="H38" s="143">
        <f t="shared" si="11"/>
        <v>-0.36500132083892822</v>
      </c>
      <c r="I38" s="682">
        <f t="shared" si="64"/>
        <v>29.356560111045837</v>
      </c>
      <c r="J38" s="679">
        <f t="shared" ca="1" si="65"/>
        <v>110222.27761396766</v>
      </c>
      <c r="K38" s="142">
        <f t="shared" si="66"/>
        <v>0</v>
      </c>
      <c r="L38" s="144">
        <f t="shared" ca="1" si="86"/>
        <v>110222.27761396766</v>
      </c>
      <c r="M38" s="104"/>
      <c r="N38" s="124">
        <f t="shared" si="87"/>
        <v>37956</v>
      </c>
      <c r="O38" s="165">
        <v>28</v>
      </c>
      <c r="P38" s="165">
        <v>29</v>
      </c>
      <c r="Q38" s="162">
        <f t="shared" si="88"/>
        <v>-1.2215614318847656</v>
      </c>
      <c r="R38" s="287">
        <f>+R37</f>
        <v>-0.36500132083892822</v>
      </c>
      <c r="S38" s="431">
        <f t="shared" si="89"/>
        <v>29.356560111045837</v>
      </c>
      <c r="T38" s="104"/>
      <c r="U38" s="104"/>
      <c r="V38" s="160" t="s">
        <v>69</v>
      </c>
      <c r="W38" s="161">
        <f>SUM(D12:D47)</f>
        <v>4300</v>
      </c>
      <c r="X38" s="161">
        <f ca="1">SUM(CF12:CF47)</f>
        <v>1442623.4996236104</v>
      </c>
      <c r="Y38" s="104"/>
      <c r="Z38" s="188">
        <f t="shared" si="53"/>
        <v>37530</v>
      </c>
      <c r="AA38" s="181">
        <f t="shared" si="54"/>
        <v>28.806249290704727</v>
      </c>
      <c r="AB38" s="182">
        <f t="shared" ca="1" si="55"/>
        <v>596.37715128731486</v>
      </c>
      <c r="AC38" s="183">
        <f t="shared" ca="1" si="56"/>
        <v>-499.61517461818897</v>
      </c>
      <c r="AD38" s="183">
        <f t="shared" ca="1" si="57"/>
        <v>96.761976669125886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37956</v>
      </c>
      <c r="AK38" s="781">
        <f t="shared" si="92"/>
        <v>0</v>
      </c>
      <c r="AL38" s="778">
        <f t="shared" si="92"/>
        <v>0</v>
      </c>
      <c r="AM38" s="781">
        <f t="shared" si="92"/>
        <v>0</v>
      </c>
      <c r="AN38" s="778">
        <f t="shared" si="92"/>
        <v>0</v>
      </c>
      <c r="AO38" s="781">
        <f t="shared" si="92"/>
        <v>0</v>
      </c>
      <c r="AP38" s="778">
        <f t="shared" si="92"/>
        <v>0</v>
      </c>
      <c r="AQ38" s="781">
        <f t="shared" si="92"/>
        <v>0</v>
      </c>
      <c r="AR38" s="778">
        <f t="shared" si="92"/>
        <v>0</v>
      </c>
      <c r="AS38" s="789"/>
      <c r="AT38" s="790"/>
      <c r="AU38" s="843">
        <f t="shared" si="69"/>
        <v>0</v>
      </c>
      <c r="AV38" s="844">
        <f t="shared" si="70"/>
        <v>0</v>
      </c>
      <c r="AW38" s="843">
        <f t="shared" si="71"/>
        <v>0</v>
      </c>
      <c r="AX38" s="844">
        <f t="shared" si="72"/>
        <v>0</v>
      </c>
      <c r="AY38" s="843"/>
      <c r="AZ38" s="844"/>
      <c r="BA38" s="843"/>
      <c r="BB38" s="844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73"/>
        <v>0</v>
      </c>
      <c r="BZ38" s="49">
        <f t="shared" si="74"/>
        <v>0</v>
      </c>
      <c r="CB38" s="51">
        <f t="shared" si="5"/>
        <v>37956</v>
      </c>
      <c r="CC38" s="50">
        <f t="shared" si="75"/>
        <v>0</v>
      </c>
      <c r="CD38" s="52">
        <f t="shared" si="76"/>
        <v>352</v>
      </c>
      <c r="CE38" s="50">
        <f>VLOOKUP(A38,Interest!$X$8:$AC$367,6)</f>
        <v>0.90452384405477593</v>
      </c>
      <c r="CF38" s="53">
        <f t="shared" ca="1" si="77"/>
        <v>0</v>
      </c>
      <c r="CG38" s="53">
        <f t="shared" si="78"/>
        <v>0</v>
      </c>
      <c r="CH38" s="53">
        <f t="shared" si="79"/>
        <v>0</v>
      </c>
      <c r="CI38" s="53">
        <f t="shared" si="80"/>
        <v>0</v>
      </c>
      <c r="CJ38" s="25">
        <f t="shared" si="81"/>
        <v>0</v>
      </c>
      <c r="CK38" s="554"/>
      <c r="CL38" s="554">
        <v>8</v>
      </c>
      <c r="CM38" s="438">
        <f t="shared" ca="1" si="24"/>
        <v>0</v>
      </c>
      <c r="DJ38" s="54">
        <f>[5]Cinergy!$D60</f>
        <v>37956</v>
      </c>
      <c r="DK38" s="30">
        <f t="shared" si="83"/>
        <v>22</v>
      </c>
      <c r="DL38" s="254">
        <v>36526</v>
      </c>
      <c r="DM38" s="255">
        <v>21</v>
      </c>
      <c r="DP38" s="55">
        <f>[5]Cinergy!$D29</f>
        <v>37168</v>
      </c>
      <c r="DQ38" s="56">
        <f ca="1">[5]OPPD_NPPD!$O29+[5]NSP!$O29</f>
        <v>1588.2744140625</v>
      </c>
      <c r="DR38" s="56">
        <f ca="1">[5]COMED!$O29</f>
        <v>6035.44287109375</v>
      </c>
      <c r="DS38" s="56">
        <f t="shared" ca="1" si="26"/>
        <v>7623.71728515625</v>
      </c>
      <c r="DT38" s="56">
        <f ca="1">SUM([5]OPPD_NPPD!$P29:$R29)+SUM([5]NSP!$P29:$R29)</f>
        <v>0</v>
      </c>
      <c r="DU38" s="56">
        <f ca="1">SUM([5]COMED!$P29:$R29)</f>
        <v>-794.13720703125</v>
      </c>
      <c r="DV38" s="56">
        <f t="shared" ca="1" si="27"/>
        <v>-794.13720703125</v>
      </c>
      <c r="DW38" s="57"/>
      <c r="DX38" s="58">
        <f>[5]OtherPosn!$D29</f>
        <v>37160</v>
      </c>
      <c r="DY38" s="56">
        <f>[5]OtherPosn!$N29</f>
        <v>-10354.779296875</v>
      </c>
      <c r="DZ38" s="56">
        <f>SUM([5]OtherPosn!$O29:$P29)</f>
        <v>0</v>
      </c>
      <c r="EO38" s="54">
        <f t="shared" si="7"/>
        <v>37956</v>
      </c>
      <c r="EP38" s="449">
        <f t="shared" si="7"/>
        <v>22</v>
      </c>
      <c r="EQ38" s="297">
        <f t="shared" si="91"/>
        <v>517</v>
      </c>
      <c r="ER38" s="297">
        <f t="shared" si="91"/>
        <v>528</v>
      </c>
    </row>
    <row r="39" spans="1:151" ht="17.25" customHeight="1" thickBot="1" x14ac:dyDescent="0.3">
      <c r="A39" s="683">
        <f>[5]Cinergy!$D61</f>
        <v>37987</v>
      </c>
      <c r="B39" s="684">
        <f ca="1">[5]Cinergy!$O61</f>
        <v>-45300.3671875</v>
      </c>
      <c r="C39" s="685">
        <f t="shared" ca="1" si="84"/>
        <v>-149.74838623291825</v>
      </c>
      <c r="D39" s="685">
        <f t="shared" si="61"/>
        <v>0</v>
      </c>
      <c r="E39" s="684">
        <f t="shared" ca="1" si="62"/>
        <v>-45300.3671875</v>
      </c>
      <c r="F39" s="686">
        <f t="shared" ca="1" si="63"/>
        <v>-149.74838623291825</v>
      </c>
      <c r="G39" s="687">
        <f>[5]Cinergy!$E61</f>
        <v>31.260715484619141</v>
      </c>
      <c r="H39" s="143">
        <f t="shared" si="11"/>
        <v>1.8165225057487078E-7</v>
      </c>
      <c r="I39" s="688">
        <f t="shared" si="64"/>
        <v>31.260715666271391</v>
      </c>
      <c r="J39" s="684">
        <f t="shared" ca="1" si="65"/>
        <v>-8.2289136514774042E-3</v>
      </c>
      <c r="K39" s="689">
        <f t="shared" si="66"/>
        <v>0</v>
      </c>
      <c r="L39" s="690">
        <f t="shared" ca="1" si="86"/>
        <v>-8.2289136514774042E-3</v>
      </c>
      <c r="M39" s="104"/>
      <c r="N39" s="124">
        <f t="shared" si="87"/>
        <v>37987</v>
      </c>
      <c r="O39" s="165">
        <v>28</v>
      </c>
      <c r="P39" s="165">
        <v>29</v>
      </c>
      <c r="Q39" s="162">
        <f t="shared" si="88"/>
        <v>-2.7607154846191406</v>
      </c>
      <c r="R39" s="287">
        <f>+[5]Cinergy!$F61</f>
        <v>1.8165225057487078E-7</v>
      </c>
      <c r="S39" s="431">
        <f t="shared" si="89"/>
        <v>31.260715666271391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 ca="1">SUM(AD26:AD38)</f>
        <v>-9412.1748941556725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37987</v>
      </c>
      <c r="AK39" s="781"/>
      <c r="AL39" s="778"/>
      <c r="AM39" s="781"/>
      <c r="AN39" s="778"/>
      <c r="AO39" s="781"/>
      <c r="AP39" s="778"/>
      <c r="AQ39" s="781"/>
      <c r="AR39" s="778"/>
      <c r="AS39" s="789"/>
      <c r="AT39" s="790"/>
      <c r="AU39" s="843"/>
      <c r="AV39" s="844"/>
      <c r="AW39" s="843"/>
      <c r="AX39" s="844"/>
      <c r="AY39" s="843"/>
      <c r="AZ39" s="844"/>
      <c r="BA39" s="843"/>
      <c r="BB39" s="844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73"/>
        <v>0</v>
      </c>
      <c r="BZ39" s="49">
        <f t="shared" si="74"/>
        <v>0</v>
      </c>
      <c r="CB39" s="51">
        <f t="shared" si="5"/>
        <v>37987</v>
      </c>
      <c r="CC39" s="50">
        <f t="shared" si="75"/>
        <v>0</v>
      </c>
      <c r="CD39" s="52">
        <f t="shared" si="76"/>
        <v>336</v>
      </c>
      <c r="CE39" s="50">
        <f>VLOOKUP(A39,Interest!$X$8:$AC$367,6)</f>
        <v>0.90032704046417211</v>
      </c>
      <c r="CF39" s="53">
        <f t="shared" ca="1" si="77"/>
        <v>0</v>
      </c>
      <c r="CG39" s="53">
        <f t="shared" si="78"/>
        <v>0</v>
      </c>
      <c r="CH39" s="53">
        <f t="shared" si="79"/>
        <v>0</v>
      </c>
      <c r="CI39" s="53">
        <f t="shared" si="80"/>
        <v>0</v>
      </c>
      <c r="CJ39" s="25">
        <f t="shared" si="81"/>
        <v>0</v>
      </c>
      <c r="CK39" s="554"/>
      <c r="CL39" s="554">
        <v>7.7</v>
      </c>
      <c r="CM39" s="438">
        <f t="shared" ca="1" si="24"/>
        <v>0</v>
      </c>
      <c r="DJ39" s="54">
        <f>[5]Cinergy!$D61</f>
        <v>37987</v>
      </c>
      <c r="DK39" s="30">
        <f t="shared" si="83"/>
        <v>21</v>
      </c>
      <c r="DL39" s="254">
        <v>36557</v>
      </c>
      <c r="DM39" s="255">
        <v>21</v>
      </c>
      <c r="DP39" s="55">
        <f>[5]Cinergy!$D30</f>
        <v>37169</v>
      </c>
      <c r="DQ39" s="56">
        <f ca="1">[5]OPPD_NPPD!$O30+[5]NSP!$O30</f>
        <v>1588.2744140625</v>
      </c>
      <c r="DR39" s="56">
        <f ca="1">[5]COMED!$O30</f>
        <v>6035.44287109375</v>
      </c>
      <c r="DS39" s="56">
        <f t="shared" ca="1" si="26"/>
        <v>7623.71728515625</v>
      </c>
      <c r="DT39" s="56">
        <f ca="1">SUM([5]OPPD_NPPD!$P30:$R30)+SUM([5]NSP!$P30:$R30)</f>
        <v>0</v>
      </c>
      <c r="DU39" s="56">
        <f ca="1">SUM([5]COMED!$P30:$R30)</f>
        <v>-794.13720703125</v>
      </c>
      <c r="DV39" s="56">
        <f t="shared" ca="1" si="27"/>
        <v>-794.13720703125</v>
      </c>
      <c r="DW39" s="57"/>
      <c r="DX39" s="58">
        <f>[5]OtherPosn!$D30</f>
        <v>37161</v>
      </c>
      <c r="DY39" s="56">
        <f>[5]OtherPosn!$N30</f>
        <v>-10354.779296875</v>
      </c>
      <c r="DZ39" s="56">
        <f>SUM([5]OtherPosn!$O30:$P30)</f>
        <v>0</v>
      </c>
    </row>
    <row r="40" spans="1:151" ht="18" customHeight="1" x14ac:dyDescent="0.25">
      <c r="A40" s="678">
        <f>[5]Cinergy!$D62</f>
        <v>38018</v>
      </c>
      <c r="B40" s="679">
        <f ca="1">[5]Cinergy!$O62</f>
        <v>-42953.421875</v>
      </c>
      <c r="C40" s="680">
        <f t="shared" ca="1" si="84"/>
        <v>-149.75744525229183</v>
      </c>
      <c r="D40" s="680">
        <f t="shared" si="61"/>
        <v>0</v>
      </c>
      <c r="E40" s="679">
        <f t="shared" ca="1" si="62"/>
        <v>-42953.421875</v>
      </c>
      <c r="F40" s="681">
        <f t="shared" ca="1" si="63"/>
        <v>-149.75744525229183</v>
      </c>
      <c r="G40" s="433">
        <f>[5]Cinergy!$E62</f>
        <v>30.660709381103516</v>
      </c>
      <c r="H40" s="143">
        <f t="shared" si="11"/>
        <v>1.8165225057487078E-7</v>
      </c>
      <c r="I40" s="682">
        <f t="shared" si="64"/>
        <v>30.660709562755766</v>
      </c>
      <c r="J40" s="679">
        <f t="shared" ca="1" si="65"/>
        <v>-7.8025857534856358E-3</v>
      </c>
      <c r="K40" s="142">
        <f t="shared" si="66"/>
        <v>0</v>
      </c>
      <c r="L40" s="144">
        <f t="shared" ca="1" si="86"/>
        <v>-7.8025857534856358E-3</v>
      </c>
      <c r="M40" s="104"/>
      <c r="N40" s="124">
        <f t="shared" si="87"/>
        <v>38018</v>
      </c>
      <c r="O40" s="165">
        <v>28</v>
      </c>
      <c r="P40" s="165">
        <v>29</v>
      </c>
      <c r="Q40" s="162">
        <f t="shared" si="88"/>
        <v>-2.1607093811035156</v>
      </c>
      <c r="R40" s="287">
        <f>+[5]Cinergy!$F62</f>
        <v>1.8165225057487078E-7</v>
      </c>
      <c r="S40" s="431">
        <f t="shared" si="89"/>
        <v>30.660709562755766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38018</v>
      </c>
      <c r="AK40" s="781"/>
      <c r="AL40" s="778"/>
      <c r="AM40" s="781"/>
      <c r="AN40" s="778"/>
      <c r="AO40" s="781"/>
      <c r="AP40" s="778"/>
      <c r="AQ40" s="781"/>
      <c r="AR40" s="778"/>
      <c r="AS40" s="789"/>
      <c r="AT40" s="790"/>
      <c r="AU40" s="843"/>
      <c r="AV40" s="844"/>
      <c r="AW40" s="843"/>
      <c r="AX40" s="844"/>
      <c r="AY40" s="843"/>
      <c r="AZ40" s="844"/>
      <c r="BA40" s="843"/>
      <c r="BB40" s="844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73"/>
        <v>0</v>
      </c>
      <c r="BZ40" s="49">
        <f t="shared" si="74"/>
        <v>0</v>
      </c>
      <c r="CB40" s="51">
        <f t="shared" si="5"/>
        <v>38018</v>
      </c>
      <c r="CC40" s="50">
        <f t="shared" si="75"/>
        <v>0</v>
      </c>
      <c r="CD40" s="52">
        <f t="shared" si="76"/>
        <v>320</v>
      </c>
      <c r="CE40" s="50">
        <f>VLOOKUP(A40,Interest!$X$8:$AC$367,6)</f>
        <v>0.8963123211219497</v>
      </c>
      <c r="CF40" s="53">
        <f t="shared" ca="1" si="77"/>
        <v>0</v>
      </c>
      <c r="CG40" s="53">
        <f t="shared" si="78"/>
        <v>0</v>
      </c>
      <c r="CH40" s="53">
        <f t="shared" si="79"/>
        <v>0</v>
      </c>
      <c r="CI40" s="53">
        <f t="shared" si="80"/>
        <v>0</v>
      </c>
      <c r="CJ40" s="25">
        <f t="shared" si="81"/>
        <v>0</v>
      </c>
      <c r="CK40" s="554"/>
      <c r="CL40" s="554">
        <v>8.4</v>
      </c>
      <c r="CM40" s="438">
        <f t="shared" ca="1" si="24"/>
        <v>0</v>
      </c>
      <c r="DJ40" s="54">
        <f>[5]Cinergy!$D62</f>
        <v>38018</v>
      </c>
      <c r="DK40" s="30">
        <f t="shared" si="83"/>
        <v>20</v>
      </c>
      <c r="DL40" s="254">
        <v>36586</v>
      </c>
      <c r="DM40" s="255">
        <v>23</v>
      </c>
      <c r="DP40" s="55">
        <f>[5]Cinergy!$D31</f>
        <v>37170</v>
      </c>
      <c r="DQ40" s="56">
        <f ca="1">[5]OPPD_NPPD!$O31+[5]NSP!$O31</f>
        <v>0</v>
      </c>
      <c r="DR40" s="56">
        <f ca="1">[5]COMED!$O31</f>
        <v>0</v>
      </c>
      <c r="DS40" s="56">
        <f t="shared" ca="1" si="26"/>
        <v>0</v>
      </c>
      <c r="DT40" s="56">
        <f ca="1">SUM([5]OPPD_NPPD!$P31:$R31)+SUM([5]NSP!$P31:$R31)</f>
        <v>0</v>
      </c>
      <c r="DU40" s="56">
        <f ca="1">SUM([5]COMED!$P31:$R31)</f>
        <v>-2382.41162109375</v>
      </c>
      <c r="DV40" s="56">
        <f t="shared" ca="1" si="27"/>
        <v>-2382.41162109375</v>
      </c>
      <c r="DW40" s="57"/>
      <c r="DX40" s="58">
        <f>[5]OtherPosn!$D31</f>
        <v>37162</v>
      </c>
      <c r="DY40" s="56">
        <f>[5]OtherPosn!$N31</f>
        <v>-10354.779296875</v>
      </c>
      <c r="DZ40" s="56">
        <f>SUM([5]OtherPosn!$O31:$P31)</f>
        <v>0</v>
      </c>
    </row>
    <row r="41" spans="1:151" ht="18" customHeight="1" thickBot="1" x14ac:dyDescent="0.3">
      <c r="A41" s="683">
        <f>[5]Cinergy!$D63</f>
        <v>38047</v>
      </c>
      <c r="B41" s="684">
        <f ca="1">[5]Cinergy!$O63</f>
        <v>-49164.66015625</v>
      </c>
      <c r="C41" s="685">
        <f t="shared" ca="1" si="84"/>
        <v>-149.75746949740127</v>
      </c>
      <c r="D41" s="685">
        <f t="shared" si="61"/>
        <v>0</v>
      </c>
      <c r="E41" s="684">
        <f t="shared" ca="1" si="62"/>
        <v>-49164.66015625</v>
      </c>
      <c r="F41" s="686">
        <f t="shared" ca="1" si="63"/>
        <v>-149.75746949740127</v>
      </c>
      <c r="G41" s="687">
        <f>[5]Cinergy!$E63</f>
        <v>29.372671127319336</v>
      </c>
      <c r="H41" s="143">
        <f t="shared" si="11"/>
        <v>-0.25000044356944784</v>
      </c>
      <c r="I41" s="688">
        <f t="shared" si="64"/>
        <v>29.122670683749888</v>
      </c>
      <c r="J41" s="684">
        <f t="shared" ca="1" si="65"/>
        <v>12291.186847003659</v>
      </c>
      <c r="K41" s="689">
        <f t="shared" si="66"/>
        <v>0</v>
      </c>
      <c r="L41" s="690">
        <f t="shared" ca="1" si="86"/>
        <v>12291.186847003659</v>
      </c>
      <c r="M41" s="104"/>
      <c r="N41" s="124">
        <f t="shared" si="87"/>
        <v>38047</v>
      </c>
      <c r="O41" s="165">
        <v>28</v>
      </c>
      <c r="P41" s="165">
        <v>29</v>
      </c>
      <c r="Q41" s="162">
        <f t="shared" si="88"/>
        <v>-0.87267112731933594</v>
      </c>
      <c r="R41" s="287">
        <f>+[5]Cinergy!$F63</f>
        <v>-0.25000044356944784</v>
      </c>
      <c r="S41" s="431">
        <f t="shared" si="89"/>
        <v>29.122670683749888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38047</v>
      </c>
      <c r="AK41" s="781"/>
      <c r="AL41" s="778"/>
      <c r="AM41" s="781"/>
      <c r="AN41" s="778"/>
      <c r="AO41" s="781"/>
      <c r="AP41" s="778"/>
      <c r="AQ41" s="781"/>
      <c r="AR41" s="778"/>
      <c r="AS41" s="789"/>
      <c r="AT41" s="790"/>
      <c r="AU41" s="843"/>
      <c r="AV41" s="844"/>
      <c r="AW41" s="843"/>
      <c r="AX41" s="844"/>
      <c r="AY41" s="78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73"/>
        <v>0</v>
      </c>
      <c r="BZ41" s="49">
        <f t="shared" si="74"/>
        <v>0</v>
      </c>
      <c r="CB41" s="51">
        <f t="shared" si="5"/>
        <v>38047</v>
      </c>
      <c r="CC41" s="50">
        <f t="shared" si="75"/>
        <v>0</v>
      </c>
      <c r="CD41" s="52">
        <f t="shared" si="76"/>
        <v>368</v>
      </c>
      <c r="CE41" s="50">
        <f>VLOOKUP(A41,Interest!$X$8:$AC$367,6)</f>
        <v>0.89210655360418001</v>
      </c>
      <c r="CF41" s="53">
        <f t="shared" ca="1" si="77"/>
        <v>0</v>
      </c>
      <c r="CG41" s="53">
        <f t="shared" si="78"/>
        <v>0</v>
      </c>
      <c r="CH41" s="53">
        <f t="shared" si="79"/>
        <v>0</v>
      </c>
      <c r="CI41" s="53">
        <f t="shared" si="80"/>
        <v>0</v>
      </c>
      <c r="CJ41" s="25">
        <f t="shared" si="81"/>
        <v>0</v>
      </c>
      <c r="CK41" s="554"/>
      <c r="CL41" s="554">
        <v>8.5</v>
      </c>
      <c r="CM41" s="438">
        <f t="shared" ca="1" si="24"/>
        <v>0</v>
      </c>
      <c r="DJ41" s="54">
        <f>[5]Cinergy!$D63</f>
        <v>38047</v>
      </c>
      <c r="DK41" s="30">
        <f t="shared" si="83"/>
        <v>23</v>
      </c>
      <c r="DL41" s="254">
        <v>36617</v>
      </c>
      <c r="DM41" s="255">
        <v>20</v>
      </c>
      <c r="DP41" s="55">
        <f>[5]Cinergy!$D32</f>
        <v>37171</v>
      </c>
      <c r="DQ41" s="56">
        <f ca="1">[5]OPPD_NPPD!$O32+[5]NSP!$O32</f>
        <v>0</v>
      </c>
      <c r="DR41" s="56">
        <f ca="1">[5]COMED!$O32</f>
        <v>0</v>
      </c>
      <c r="DS41" s="56">
        <f t="shared" ca="1" si="26"/>
        <v>0</v>
      </c>
      <c r="DT41" s="56">
        <f ca="1">SUM([5]OPPD_NPPD!$P32:$R32)+SUM([5]NSP!$P32:$R32)</f>
        <v>0</v>
      </c>
      <c r="DU41" s="56">
        <f ca="1">SUM([5]COMED!$P32:$R32)</f>
        <v>-2382.41162109375</v>
      </c>
      <c r="DV41" s="56">
        <f t="shared" ca="1" si="27"/>
        <v>-2382.41162109375</v>
      </c>
      <c r="DW41" s="57"/>
      <c r="DX41" s="58">
        <f>[5]OtherPosn!$D32</f>
        <v>37165</v>
      </c>
      <c r="DY41" s="56">
        <f>[5]OtherPosn!$N32</f>
        <v>0</v>
      </c>
      <c r="DZ41" s="56">
        <f>SUM([5]OtherPosn!$O32:$P32)</f>
        <v>0</v>
      </c>
    </row>
    <row r="42" spans="1:151" ht="18" x14ac:dyDescent="0.25">
      <c r="A42" s="678">
        <f>[5]Cinergy!$D64</f>
        <v>38078</v>
      </c>
      <c r="B42" s="679">
        <f ca="1">[5]Cinergy!$O64</f>
        <v>-46812.14453125</v>
      </c>
      <c r="C42" s="680">
        <f t="shared" ca="1" si="84"/>
        <v>-149.7671858557384</v>
      </c>
      <c r="D42" s="680">
        <f t="shared" si="61"/>
        <v>0</v>
      </c>
      <c r="E42" s="679">
        <f t="shared" ca="1" si="62"/>
        <v>-46812.14453125</v>
      </c>
      <c r="F42" s="681">
        <f t="shared" ca="1" si="63"/>
        <v>-149.7671858557384</v>
      </c>
      <c r="G42" s="433">
        <f>[5]Cinergy!$E64</f>
        <v>29.572671890258789</v>
      </c>
      <c r="H42" s="143">
        <f t="shared" si="11"/>
        <v>-0.25000044356944784</v>
      </c>
      <c r="I42" s="682">
        <f t="shared" si="64"/>
        <v>29.322671446689341</v>
      </c>
      <c r="J42" s="679">
        <f t="shared" ca="1" si="65"/>
        <v>11703.056897249602</v>
      </c>
      <c r="K42" s="142">
        <f t="shared" si="66"/>
        <v>0</v>
      </c>
      <c r="L42" s="144">
        <f t="shared" ca="1" si="86"/>
        <v>11703.056897249602</v>
      </c>
      <c r="M42" s="104"/>
      <c r="N42" s="124">
        <f t="shared" si="87"/>
        <v>38078</v>
      </c>
      <c r="O42" s="165">
        <v>28</v>
      </c>
      <c r="P42" s="165">
        <v>29</v>
      </c>
      <c r="Q42" s="162">
        <f t="shared" si="88"/>
        <v>-1.0726718902587891</v>
      </c>
      <c r="R42" s="287">
        <f>+[5]Cinergy!$F64</f>
        <v>-0.25000044356944784</v>
      </c>
      <c r="S42" s="431">
        <f t="shared" si="89"/>
        <v>29.322671446689341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38078</v>
      </c>
      <c r="AK42" s="781"/>
      <c r="AL42" s="778"/>
      <c r="AM42" s="781"/>
      <c r="AN42" s="778"/>
      <c r="AO42" s="781"/>
      <c r="AP42" s="778"/>
      <c r="AQ42" s="781"/>
      <c r="AR42" s="778"/>
      <c r="AS42" s="789"/>
      <c r="AT42" s="790"/>
      <c r="AU42" s="843"/>
      <c r="AV42" s="844"/>
      <c r="AW42" s="843"/>
      <c r="AX42" s="844"/>
      <c r="AY42" s="78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73"/>
        <v>0</v>
      </c>
      <c r="BZ42" s="49">
        <f t="shared" si="74"/>
        <v>0</v>
      </c>
      <c r="CB42" s="51">
        <f t="shared" si="5"/>
        <v>38078</v>
      </c>
      <c r="CC42" s="50">
        <f t="shared" si="75"/>
        <v>0</v>
      </c>
      <c r="CD42" s="52">
        <f t="shared" si="76"/>
        <v>352</v>
      </c>
      <c r="CE42" s="50">
        <f>VLOOKUP(A42,Interest!$X$8:$AC$367,6)</f>
        <v>0.88797186248714488</v>
      </c>
      <c r="CF42" s="53">
        <f t="shared" ca="1" si="77"/>
        <v>0</v>
      </c>
      <c r="CG42" s="53">
        <f t="shared" si="78"/>
        <v>0</v>
      </c>
      <c r="CH42" s="53">
        <f t="shared" si="79"/>
        <v>0</v>
      </c>
      <c r="CI42" s="53">
        <f t="shared" si="80"/>
        <v>0</v>
      </c>
      <c r="CJ42" s="25">
        <f t="shared" si="81"/>
        <v>0</v>
      </c>
      <c r="CK42" s="554"/>
      <c r="CL42" s="554">
        <v>8.3000000000000007</v>
      </c>
      <c r="CM42" s="438">
        <f t="shared" ca="1" si="24"/>
        <v>0</v>
      </c>
      <c r="DJ42" s="54">
        <f>[5]Cinergy!$D64</f>
        <v>38078</v>
      </c>
      <c r="DK42" s="30">
        <f t="shared" si="83"/>
        <v>22</v>
      </c>
      <c r="DL42" s="254">
        <v>36647</v>
      </c>
      <c r="DM42" s="255">
        <v>22</v>
      </c>
      <c r="DP42" s="55">
        <f>[5]Cinergy!$D33</f>
        <v>37172</v>
      </c>
      <c r="DQ42" s="56">
        <f ca="1">[5]OPPD_NPPD!$O33+[5]NSP!$O33</f>
        <v>1588.2744140625</v>
      </c>
      <c r="DR42" s="56">
        <f>[5]COMED!$O33</f>
        <v>0</v>
      </c>
      <c r="DS42" s="56">
        <f t="shared" ca="1" si="26"/>
        <v>1588.2744140625</v>
      </c>
      <c r="DT42" s="56">
        <f ca="1">SUM([5]OPPD_NPPD!$P33:$R33)+SUM([5]NSP!$P33:$R33)</f>
        <v>0</v>
      </c>
      <c r="DU42" s="56">
        <f>SUM([5]COMED!$P33:$R33)</f>
        <v>0</v>
      </c>
      <c r="DV42" s="56">
        <f t="shared" ca="1" si="27"/>
        <v>0</v>
      </c>
      <c r="DW42" s="57"/>
      <c r="DX42" s="58">
        <f>[5]OtherPosn!$D33</f>
        <v>37166</v>
      </c>
      <c r="DY42" s="56">
        <f>[5]OtherPosn!$N33</f>
        <v>0</v>
      </c>
      <c r="DZ42" s="56">
        <f>SUM([5]OtherPosn!$O33:$P33)</f>
        <v>0</v>
      </c>
    </row>
    <row r="43" spans="1:151" ht="18.75" thickBot="1" x14ac:dyDescent="0.3">
      <c r="A43" s="683">
        <f>[5]Cinergy!$D65</f>
        <v>38108</v>
      </c>
      <c r="B43" s="684">
        <f ca="1">[5]Cinergy!$O65</f>
        <v>-42353.9609375</v>
      </c>
      <c r="C43" s="685">
        <f t="shared" ca="1" si="84"/>
        <v>-149.75852302654746</v>
      </c>
      <c r="D43" s="685">
        <f t="shared" si="61"/>
        <v>0</v>
      </c>
      <c r="E43" s="684">
        <f t="shared" ca="1" si="62"/>
        <v>-42353.9609375</v>
      </c>
      <c r="F43" s="686">
        <f t="shared" ca="1" si="63"/>
        <v>-149.75852302654746</v>
      </c>
      <c r="G43" s="687">
        <f>[5]Cinergy!$E65</f>
        <v>30.725006103515625</v>
      </c>
      <c r="H43" s="143">
        <f t="shared" si="11"/>
        <v>0</v>
      </c>
      <c r="I43" s="688">
        <f t="shared" si="64"/>
        <v>30.725006103515625</v>
      </c>
      <c r="J43" s="684">
        <f t="shared" ca="1" si="65"/>
        <v>0</v>
      </c>
      <c r="K43" s="689">
        <f t="shared" si="66"/>
        <v>0</v>
      </c>
      <c r="L43" s="690">
        <f t="shared" ca="1" si="86"/>
        <v>0</v>
      </c>
      <c r="M43" s="104"/>
      <c r="N43" s="124">
        <f t="shared" si="87"/>
        <v>38108</v>
      </c>
      <c r="O43" s="165">
        <v>28</v>
      </c>
      <c r="P43" s="165">
        <v>29</v>
      </c>
      <c r="Q43" s="162">
        <f t="shared" si="88"/>
        <v>-2.225006103515625</v>
      </c>
      <c r="R43" s="287">
        <f>+[5]Cinergy!$F65</f>
        <v>0</v>
      </c>
      <c r="S43" s="431">
        <f t="shared" si="89"/>
        <v>30.725006103515625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38108</v>
      </c>
      <c r="AK43" s="781"/>
      <c r="AL43" s="778"/>
      <c r="AM43" s="781"/>
      <c r="AN43" s="778"/>
      <c r="AO43" s="781"/>
      <c r="AP43" s="778"/>
      <c r="AQ43" s="781"/>
      <c r="AR43" s="778"/>
      <c r="AS43" s="789"/>
      <c r="AT43" s="790"/>
      <c r="AU43" s="781"/>
      <c r="AV43" s="2"/>
      <c r="AW43" s="1"/>
      <c r="AX43" s="2"/>
      <c r="AY43" s="78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73"/>
        <v>0</v>
      </c>
      <c r="BZ43" s="49">
        <f t="shared" si="74"/>
        <v>0</v>
      </c>
      <c r="CB43" s="51">
        <f t="shared" si="5"/>
        <v>38108</v>
      </c>
      <c r="CC43" s="50">
        <f t="shared" si="75"/>
        <v>0</v>
      </c>
      <c r="CD43" s="52">
        <f t="shared" si="76"/>
        <v>320</v>
      </c>
      <c r="CE43" s="50">
        <f>VLOOKUP(A43,Interest!$X$8:$AC$367,6)</f>
        <v>0.88379696363742133</v>
      </c>
      <c r="CF43" s="53">
        <f t="shared" ca="1" si="77"/>
        <v>0</v>
      </c>
      <c r="CG43" s="53">
        <f t="shared" si="78"/>
        <v>0</v>
      </c>
      <c r="CH43" s="53">
        <f t="shared" si="79"/>
        <v>0</v>
      </c>
      <c r="CI43" s="53">
        <f t="shared" si="80"/>
        <v>0</v>
      </c>
      <c r="CJ43" s="25">
        <f t="shared" si="81"/>
        <v>0</v>
      </c>
      <c r="CK43" s="554"/>
      <c r="CL43" s="554">
        <v>8.8000000000000007</v>
      </c>
      <c r="CM43" s="438">
        <f t="shared" ca="1" si="24"/>
        <v>0</v>
      </c>
      <c r="DJ43" s="54">
        <f>[5]Cinergy!$D65</f>
        <v>38108</v>
      </c>
      <c r="DK43" s="30">
        <f t="shared" si="83"/>
        <v>20</v>
      </c>
      <c r="DL43" s="254">
        <v>36678</v>
      </c>
      <c r="DM43" s="255">
        <v>22</v>
      </c>
      <c r="DP43" s="55">
        <f>[5]Cinergy!$D34</f>
        <v>37195</v>
      </c>
      <c r="DQ43" s="56">
        <f ca="1">[5]OPPD_NPPD!$O34+[5]NSP!$O34</f>
        <v>27000.666015625</v>
      </c>
      <c r="DR43" s="56">
        <f ca="1">[5]COMED!$O34</f>
        <v>108637.97412109375</v>
      </c>
      <c r="DS43" s="56">
        <f t="shared" ca="1" si="26"/>
        <v>135638.64013671875</v>
      </c>
      <c r="DT43" s="56">
        <f ca="1">SUM([5]OPPD_NPPD!$P34:$R34)+SUM([5]NSP!$P34:$R34)</f>
        <v>0</v>
      </c>
      <c r="DU43" s="56">
        <f ca="1">SUM([5]COMED!$P34:$R34)</f>
        <v>-28688.20556640625</v>
      </c>
      <c r="DV43" s="56">
        <f t="shared" ca="1" si="27"/>
        <v>-28688.20556640625</v>
      </c>
      <c r="DW43" s="57"/>
      <c r="DX43" s="58">
        <f>[5]OtherPosn!$D34</f>
        <v>37167</v>
      </c>
      <c r="DY43" s="56">
        <f>[5]OtherPosn!$N34</f>
        <v>0</v>
      </c>
      <c r="DZ43" s="56">
        <f>SUM([5]OtherPosn!$O34:$P34)</f>
        <v>0</v>
      </c>
    </row>
    <row r="44" spans="1:151" ht="18" x14ac:dyDescent="0.25">
      <c r="A44" s="678">
        <f>[5]Cinergy!$D66</f>
        <v>38139</v>
      </c>
      <c r="B44" s="679">
        <f ca="1">[5]Cinergy!$O66</f>
        <v>-216411.84375</v>
      </c>
      <c r="C44" s="680">
        <f t="shared" ca="1" si="84"/>
        <v>-698.90785445147446</v>
      </c>
      <c r="D44" s="680">
        <f t="shared" si="61"/>
        <v>0</v>
      </c>
      <c r="E44" s="679">
        <f t="shared" ca="1" si="62"/>
        <v>-216411.84375</v>
      </c>
      <c r="F44" s="681">
        <f t="shared" ca="1" si="63"/>
        <v>-698.90785445147446</v>
      </c>
      <c r="G44" s="433">
        <f>[5]Cinergy!$E66</f>
        <v>39.050006866455078</v>
      </c>
      <c r="H44" s="143">
        <f t="shared" si="11"/>
        <v>-0.5</v>
      </c>
      <c r="I44" s="682">
        <f t="shared" si="64"/>
        <v>38.550006866455078</v>
      </c>
      <c r="J44" s="679">
        <f t="shared" ca="1" si="65"/>
        <v>108205.921875</v>
      </c>
      <c r="K44" s="142">
        <f t="shared" si="66"/>
        <v>0</v>
      </c>
      <c r="L44" s="144">
        <f t="shared" ref="L44:L50" ca="1" si="93">J44+K44</f>
        <v>108205.921875</v>
      </c>
      <c r="M44" s="104"/>
      <c r="N44" s="124">
        <f t="shared" si="87"/>
        <v>38139</v>
      </c>
      <c r="O44" s="165">
        <v>28</v>
      </c>
      <c r="P44" s="165">
        <v>29</v>
      </c>
      <c r="Q44" s="162">
        <f t="shared" si="88"/>
        <v>-10.550006866455078</v>
      </c>
      <c r="R44" s="287">
        <f>+[5]Cinergy!$F66</f>
        <v>-0.5</v>
      </c>
      <c r="S44" s="431">
        <f t="shared" si="89"/>
        <v>38.550006866455078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38139</v>
      </c>
      <c r="AK44" s="781"/>
      <c r="AL44" s="778"/>
      <c r="AM44" s="781"/>
      <c r="AN44" s="778"/>
      <c r="AO44" s="781"/>
      <c r="AP44" s="778"/>
      <c r="AQ44" s="781"/>
      <c r="AR44" s="778"/>
      <c r="AS44" s="789"/>
      <c r="AT44" s="790"/>
      <c r="AU44" s="781"/>
      <c r="AV44" s="2"/>
      <c r="AW44" s="1"/>
      <c r="AX44" s="2"/>
      <c r="AY44" s="78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73"/>
        <v>0</v>
      </c>
      <c r="BZ44" s="49">
        <f t="shared" si="74"/>
        <v>0</v>
      </c>
      <c r="CB44" s="51">
        <f t="shared" si="5"/>
        <v>38139</v>
      </c>
      <c r="CC44" s="50">
        <f t="shared" si="75"/>
        <v>0</v>
      </c>
      <c r="CD44" s="52">
        <f t="shared" si="76"/>
        <v>352</v>
      </c>
      <c r="CE44" s="50">
        <f>VLOOKUP(A44,Interest!$X$8:$AC$367,6)</f>
        <v>0.87966728428355223</v>
      </c>
      <c r="CF44" s="53">
        <f t="shared" ca="1" si="77"/>
        <v>0</v>
      </c>
      <c r="CG44" s="53">
        <f t="shared" si="78"/>
        <v>0</v>
      </c>
      <c r="CH44" s="53">
        <f t="shared" si="79"/>
        <v>0</v>
      </c>
      <c r="CI44" s="53">
        <f t="shared" si="80"/>
        <v>0</v>
      </c>
      <c r="CJ44" s="25">
        <f t="shared" si="81"/>
        <v>0</v>
      </c>
      <c r="CK44" s="554"/>
      <c r="CL44" s="554">
        <v>9.1</v>
      </c>
      <c r="CM44" s="438">
        <f t="shared" ca="1" si="24"/>
        <v>0</v>
      </c>
      <c r="DJ44" s="54">
        <f>[5]Cinergy!$D66</f>
        <v>38139</v>
      </c>
      <c r="DK44" s="30">
        <f t="shared" si="83"/>
        <v>22</v>
      </c>
      <c r="DL44" s="254">
        <v>36708</v>
      </c>
      <c r="DM44" s="255">
        <v>20</v>
      </c>
      <c r="DP44" s="55">
        <f>[5]Cinergy!$D35</f>
        <v>37196</v>
      </c>
      <c r="DQ44" s="56">
        <f ca="1">[5]OPPD_NPPD!$O35+[5]NSP!$O35</f>
        <v>0</v>
      </c>
      <c r="DR44" s="56">
        <f ca="1">[5]COMED!$O35</f>
        <v>143019.8125</v>
      </c>
      <c r="DS44" s="56">
        <f t="shared" ca="1" si="26"/>
        <v>143019.8125</v>
      </c>
      <c r="DT44" s="56">
        <f ca="1">SUM([5]OPPD_NPPD!$P35:$R35)+SUM([5]NSP!$P35:$R35)</f>
        <v>0</v>
      </c>
      <c r="DU44" s="56">
        <f ca="1">SUM([5]COMED!$P35:$R35)</f>
        <v>-38407.86962890625</v>
      </c>
      <c r="DV44" s="56">
        <f t="shared" ca="1" si="27"/>
        <v>-38407.86962890625</v>
      </c>
      <c r="DW44" s="57"/>
      <c r="DX44" s="58">
        <f>[5]OtherPosn!$D35</f>
        <v>37168</v>
      </c>
      <c r="DY44" s="56">
        <f>[5]OtherPosn!$N35</f>
        <v>0</v>
      </c>
      <c r="DZ44" s="56">
        <f>SUM([5]OtherPosn!$O35:$P35)</f>
        <v>0</v>
      </c>
    </row>
    <row r="45" spans="1:151" ht="18.75" thickBot="1" x14ac:dyDescent="0.3">
      <c r="A45" s="683">
        <f>[5]Cinergy!$D67</f>
        <v>38169</v>
      </c>
      <c r="B45" s="684">
        <f ca="1">[5]Cinergy!$O67</f>
        <v>-14684.265625</v>
      </c>
      <c r="C45" s="685">
        <f t="shared" ca="1" si="84"/>
        <v>-47.651068476734281</v>
      </c>
      <c r="D45" s="685">
        <f>BY45+IF(YEAR(A45)=$T$20,$BY$48,0)+IF(YEAR(A45)=$T$21,$BY$49,0)+IF(YEAR(A45)=$T$22,$BY$50,0)</f>
        <v>0</v>
      </c>
      <c r="E45" s="684">
        <f t="shared" ca="1" si="62"/>
        <v>-14684.265625</v>
      </c>
      <c r="F45" s="686">
        <f t="shared" ca="1" si="63"/>
        <v>-47.651068476734281</v>
      </c>
      <c r="G45" s="687">
        <f>[5]Cinergy!$E67</f>
        <v>49.875</v>
      </c>
      <c r="H45" s="143">
        <f t="shared" si="11"/>
        <v>-0.5</v>
      </c>
      <c r="I45" s="688">
        <f t="shared" si="64"/>
        <v>49.375</v>
      </c>
      <c r="J45" s="684">
        <f t="shared" ca="1" si="65"/>
        <v>7342.1328125</v>
      </c>
      <c r="K45" s="689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90">
        <f t="shared" ca="1" si="93"/>
        <v>7342.1328125</v>
      </c>
      <c r="M45" s="104"/>
      <c r="N45" s="124">
        <f t="shared" si="87"/>
        <v>38169</v>
      </c>
      <c r="O45" s="165">
        <v>28</v>
      </c>
      <c r="P45" s="165">
        <v>29</v>
      </c>
      <c r="Q45" s="162">
        <f t="shared" si="88"/>
        <v>-21.375</v>
      </c>
      <c r="R45" s="287">
        <f>+[5]Cinergy!$F67</f>
        <v>-0.5</v>
      </c>
      <c r="S45" s="431">
        <f t="shared" si="89"/>
        <v>49.375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38169</v>
      </c>
      <c r="AK45" s="781"/>
      <c r="AL45" s="778"/>
      <c r="AM45" s="781"/>
      <c r="AN45" s="778"/>
      <c r="AO45" s="781"/>
      <c r="AP45" s="778"/>
      <c r="AQ45" s="781"/>
      <c r="AR45" s="778"/>
      <c r="AS45" s="789"/>
      <c r="AT45" s="790"/>
      <c r="AU45" s="78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94">AK45+AM45+AO45+AQ45+AS45+AU45+AW45+AY45+BA45+BC45+BE45+BG45+BI45+BK45+BM45+BO45+BQ45+BS45+BU45+BW45</f>
        <v>0</v>
      </c>
      <c r="BZ45" s="49">
        <f t="shared" ref="BZ45:BZ50" si="95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38169</v>
      </c>
      <c r="CC45" s="50">
        <f t="shared" ref="CC45:CC50" si="96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0.87546124443682927</v>
      </c>
      <c r="CF45" s="53">
        <f t="shared" ref="CF45:CF50" ca="1" si="97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98">CC45*CD45</f>
        <v>0</v>
      </c>
      <c r="CK45" s="554"/>
      <c r="CL45" s="554">
        <v>11.57</v>
      </c>
      <c r="CM45" s="438">
        <f t="shared" ca="1" si="24"/>
        <v>0</v>
      </c>
      <c r="DJ45" s="54">
        <f>[5]Cinergy!$D67</f>
        <v>38169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37226</v>
      </c>
      <c r="DQ45" s="56">
        <f ca="1">[5]OPPD_NPPD!$O36+[5]NSP!$O36</f>
        <v>0</v>
      </c>
      <c r="DR45" s="56">
        <f ca="1">[5]COMED!$O36</f>
        <v>166609.9375</v>
      </c>
      <c r="DS45" s="56">
        <f t="shared" ca="1" si="26"/>
        <v>166609.9375</v>
      </c>
      <c r="DT45" s="56">
        <f ca="1">SUM([5]OPPD_NPPD!$P36:$R36)+SUM([5]NSP!$P36:$R36)</f>
        <v>0</v>
      </c>
      <c r="DU45" s="56">
        <f ca="1">SUM([5]COMED!$P36:$R36)</f>
        <v>-42244.70068359375</v>
      </c>
      <c r="DV45" s="56">
        <f t="shared" ca="1" si="27"/>
        <v>-42244.70068359375</v>
      </c>
      <c r="DW45" s="57"/>
      <c r="DX45" s="58">
        <f>[5]OtherPosn!$D36</f>
        <v>37169</v>
      </c>
      <c r="DY45" s="56">
        <f>[5]OtherPosn!$N36</f>
        <v>0</v>
      </c>
      <c r="DZ45" s="56">
        <f>SUM([5]OtherPosn!$O36:$P36)</f>
        <v>0</v>
      </c>
    </row>
    <row r="46" spans="1:151" ht="18.75" thickBot="1" x14ac:dyDescent="0.3">
      <c r="A46" s="678">
        <f>[5]Cinergy!$D68</f>
        <v>38200</v>
      </c>
      <c r="B46" s="679">
        <f ca="1">[5]Cinergy!$O68</f>
        <v>-15308.9306640625</v>
      </c>
      <c r="C46" s="680">
        <f t="shared" ca="1" si="84"/>
        <v>-49.919181846540155</v>
      </c>
      <c r="D46" s="680">
        <f>BY46+IF(YEAR(A46)=$T$20,$BY$48,0)+IF(YEAR(A46)=$T$21,$BY$49,0)+IF(YEAR(A46)=$T$22,$BY$50,0)</f>
        <v>0</v>
      </c>
      <c r="E46" s="679">
        <f t="shared" ca="1" si="62"/>
        <v>-15308.9306640625</v>
      </c>
      <c r="F46" s="681">
        <f t="shared" ca="1" si="63"/>
        <v>-49.919181846540155</v>
      </c>
      <c r="G46" s="433">
        <f>[5]Cinergy!$E68</f>
        <v>49.875</v>
      </c>
      <c r="H46" s="143">
        <f t="shared" si="11"/>
        <v>-0.5</v>
      </c>
      <c r="I46" s="682">
        <f t="shared" si="64"/>
        <v>49.375</v>
      </c>
      <c r="J46" s="679">
        <f t="shared" ca="1" si="65"/>
        <v>7654.46533203125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ca="1" si="93"/>
        <v>7654.46533203125</v>
      </c>
      <c r="M46" s="104"/>
      <c r="N46" s="124">
        <f t="shared" si="87"/>
        <v>38200</v>
      </c>
      <c r="O46" s="165">
        <v>28</v>
      </c>
      <c r="P46" s="165">
        <v>29</v>
      </c>
      <c r="Q46" s="162">
        <f t="shared" si="88"/>
        <v>-21.375</v>
      </c>
      <c r="R46" s="287">
        <f>+[5]Cinergy!$F68</f>
        <v>-0.5</v>
      </c>
      <c r="S46" s="431">
        <f t="shared" si="89"/>
        <v>49.375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38200</v>
      </c>
      <c r="AK46" s="781"/>
      <c r="AL46" s="778"/>
      <c r="AM46" s="781"/>
      <c r="AN46" s="778"/>
      <c r="AO46" s="781"/>
      <c r="AP46" s="778"/>
      <c r="AQ46" s="781"/>
      <c r="AR46" s="778"/>
      <c r="AS46" s="789"/>
      <c r="AT46" s="790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94"/>
        <v>0</v>
      </c>
      <c r="BZ46" s="49">
        <f t="shared" si="95"/>
        <v>0</v>
      </c>
      <c r="CB46" s="51">
        <f t="shared" si="5"/>
        <v>38200</v>
      </c>
      <c r="CC46" s="50">
        <f t="shared" si="96"/>
        <v>0</v>
      </c>
      <c r="CD46" s="52">
        <f>16*DK46</f>
        <v>352</v>
      </c>
      <c r="CE46" s="50">
        <f>VLOOKUP(A46,Interest!$X$8:$AC$367,6)</f>
        <v>0.87123383610996497</v>
      </c>
      <c r="CF46" s="53">
        <f t="shared" ca="1" si="97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98"/>
        <v>0</v>
      </c>
      <c r="CK46" s="554"/>
      <c r="CL46" s="554">
        <v>13.56</v>
      </c>
      <c r="CM46" s="438">
        <f t="shared" ca="1" si="24"/>
        <v>0</v>
      </c>
      <c r="DJ46" s="54">
        <f>[5]Cinergy!$D68</f>
        <v>38200</v>
      </c>
      <c r="DK46" s="30">
        <f>VLOOKUP(DJ46,DL46:DM287,2)</f>
        <v>22</v>
      </c>
      <c r="DL46" s="254">
        <v>36770</v>
      </c>
      <c r="DM46" s="255">
        <v>20</v>
      </c>
      <c r="DP46" s="55">
        <f>[5]Cinergy!$D37</f>
        <v>37257</v>
      </c>
      <c r="DQ46" s="56">
        <f ca="1">[5]OPPD_NPPD!$O37+[5]NSP!$O37</f>
        <v>0</v>
      </c>
      <c r="DR46" s="56">
        <f ca="1">[5]COMED!$O37</f>
        <v>-422618.8125</v>
      </c>
      <c r="DS46" s="56">
        <f t="shared" ca="1" si="26"/>
        <v>-422618.8125</v>
      </c>
      <c r="DT46" s="56">
        <f ca="1">SUM([5]OPPD_NPPD!$P37:$R37)+SUM([5]NSP!$P37:$R37)</f>
        <v>0</v>
      </c>
      <c r="DU46" s="56">
        <f ca="1">SUM([5]COMED!$P37:$R37)</f>
        <v>18895.0283203125</v>
      </c>
      <c r="DV46" s="56">
        <f t="shared" ca="1" si="27"/>
        <v>18895.0283203125</v>
      </c>
      <c r="DW46" s="57"/>
      <c r="DX46" s="58">
        <f>[5]OtherPosn!$D37</f>
        <v>37172</v>
      </c>
      <c r="DY46" s="56">
        <f>[5]OtherPosn!$N37</f>
        <v>0</v>
      </c>
      <c r="DZ46" s="56">
        <f>SUM([5]OtherPosn!$O37:$P37)</f>
        <v>0</v>
      </c>
    </row>
    <row r="47" spans="1:151" ht="18.75" thickBot="1" x14ac:dyDescent="0.3">
      <c r="A47" s="691">
        <f>[5]Cinergy!$D69</f>
        <v>38231</v>
      </c>
      <c r="B47" s="692">
        <f ca="1">[5]Cinergy!$O69</f>
        <v>-43632.984375</v>
      </c>
      <c r="C47" s="693">
        <f ca="1">B47/(CE47*CD47)</f>
        <v>-149.76606365084962</v>
      </c>
      <c r="D47" s="693">
        <f>BY47+IF(YEAR(A47)=$T$20,$BY$48,0)+IF(YEAR(A47)=$T$21,$BY$49,0)+IF(YEAR(A47)=$T$22,$BY$50,0)</f>
        <v>0</v>
      </c>
      <c r="E47" s="692">
        <f ca="1">B47+(D47*CD47*CE47)</f>
        <v>-43632.984375</v>
      </c>
      <c r="F47" s="694">
        <f ca="1">C47+D47</f>
        <v>-149.76606365084962</v>
      </c>
      <c r="G47" s="695">
        <f>[5]Cinergy!$E69</f>
        <v>28.67500114440918</v>
      </c>
      <c r="H47" s="143">
        <f t="shared" si="11"/>
        <v>0</v>
      </c>
      <c r="I47" s="696">
        <f>G47+H47</f>
        <v>28.67500114440918</v>
      </c>
      <c r="J47" s="692">
        <f ca="1">H47*B47</f>
        <v>0</v>
      </c>
      <c r="K47" s="697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8">
        <f t="shared" ca="1" si="93"/>
        <v>0</v>
      </c>
      <c r="M47" s="104"/>
      <c r="N47" s="124">
        <f t="shared" si="87"/>
        <v>38231</v>
      </c>
      <c r="O47" s="165">
        <v>28</v>
      </c>
      <c r="P47" s="165">
        <v>29</v>
      </c>
      <c r="Q47" s="162">
        <f>AVERAGE(O47:P47)-G47</f>
        <v>-0.17500114440917969</v>
      </c>
      <c r="R47" s="287">
        <f>+[5]Cinergy!$F69</f>
        <v>0</v>
      </c>
      <c r="S47" s="431">
        <f t="shared" si="89"/>
        <v>28.67500114440918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38231</v>
      </c>
      <c r="AK47" s="781"/>
      <c r="AL47" s="778"/>
      <c r="AM47" s="781"/>
      <c r="AN47" s="778"/>
      <c r="AO47" s="781"/>
      <c r="AP47" s="778"/>
      <c r="AQ47" s="781"/>
      <c r="AR47" s="778"/>
      <c r="AS47" s="789"/>
      <c r="AT47" s="790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94"/>
        <v>0</v>
      </c>
      <c r="BZ47" s="49">
        <f t="shared" si="95"/>
        <v>0</v>
      </c>
      <c r="CB47" s="51">
        <f t="shared" si="5"/>
        <v>38231</v>
      </c>
      <c r="CC47" s="50">
        <f t="shared" si="96"/>
        <v>0</v>
      </c>
      <c r="CD47" s="52">
        <f>16*DK47</f>
        <v>336</v>
      </c>
      <c r="CE47" s="50">
        <f>VLOOKUP(A47,Interest!$X$8:$AC$367,6)</f>
        <v>0.86708610334705938</v>
      </c>
      <c r="CF47" s="53">
        <f t="shared" ca="1" si="97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98"/>
        <v>0</v>
      </c>
      <c r="CK47" s="29"/>
      <c r="CL47" s="554">
        <v>13.44</v>
      </c>
      <c r="CM47" s="438">
        <f t="shared" ca="1" si="24"/>
        <v>0</v>
      </c>
      <c r="DJ47" s="54">
        <f>[5]Cinergy!$D69</f>
        <v>38231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37288</v>
      </c>
      <c r="DQ47" s="56">
        <f ca="1">[5]OPPD_NPPD!$O38+[5]NSP!$O38</f>
        <v>0</v>
      </c>
      <c r="DR47" s="56">
        <f ca="1">[5]COMED!$O38</f>
        <v>-383171.78125</v>
      </c>
      <c r="DS47" s="56">
        <f t="shared" ca="1" si="26"/>
        <v>-383171.78125</v>
      </c>
      <c r="DT47" s="56">
        <f ca="1">SUM([5]OPPD_NPPD!$P38:$R38)+SUM([5]NSP!$P38:$R38)</f>
        <v>0</v>
      </c>
      <c r="DU47" s="56">
        <f ca="1">SUM([5]COMED!$P38:$R38)</f>
        <v>17274.13720703125</v>
      </c>
      <c r="DV47" s="56">
        <f t="shared" ca="1" si="27"/>
        <v>17274.13720703125</v>
      </c>
      <c r="DW47" s="57"/>
      <c r="DX47" s="58">
        <f>[5]OtherPosn!$D38</f>
        <v>37195</v>
      </c>
      <c r="DY47" s="56">
        <f>[5]OtherPosn!$N38</f>
        <v>0</v>
      </c>
      <c r="DZ47" s="56">
        <f>SUM([5]OtherPosn!$O38:$P38)</f>
        <v>0</v>
      </c>
    </row>
    <row r="48" spans="1:151" ht="18.75" thickBot="1" x14ac:dyDescent="0.3">
      <c r="A48" s="59">
        <f>[5]Cinergy!$D70</f>
        <v>38261</v>
      </c>
      <c r="B48" s="145">
        <f ca="1">[5]Cinergy!$O70</f>
        <v>-43419.30078125</v>
      </c>
      <c r="C48" s="146">
        <f ca="1">B48/(CE48*CD48)</f>
        <v>-12.33325631140368</v>
      </c>
      <c r="D48" s="146">
        <f>IF(YEAR(A48)=$T$20,$BY$48,0)+IF(YEAR(A48)=$T$21,$BY$49,0)+IF(YEAR(A48)=$T$22,$BY$50,0)</f>
        <v>0</v>
      </c>
      <c r="E48" s="145">
        <f ca="1">B48+(D48*CN48*CE48)</f>
        <v>-43419.30078125</v>
      </c>
      <c r="F48" s="173">
        <f ca="1">C48+D48</f>
        <v>-12.33325631140368</v>
      </c>
      <c r="G48" s="147">
        <f>[5]Cinergy!$E70</f>
        <v>29.996564865112305</v>
      </c>
      <c r="H48" s="147">
        <f>+[5]Cinergy!$F70</f>
        <v>-0.36500132083892822</v>
      </c>
      <c r="I48" s="135">
        <f>G48+H48</f>
        <v>29.631563544273376</v>
      </c>
      <c r="J48" s="145">
        <f ca="1">H48*B48</f>
        <v>15848.102135058958</v>
      </c>
      <c r="K48" s="148">
        <f>CG48+CH48+CI48</f>
        <v>0</v>
      </c>
      <c r="L48" s="149">
        <f t="shared" ca="1" si="93"/>
        <v>15848.102135058958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81"/>
      <c r="AL48" s="778"/>
      <c r="AM48" s="781"/>
      <c r="AN48" s="778"/>
      <c r="AO48" s="781"/>
      <c r="AP48" s="778"/>
      <c r="AQ48" s="781"/>
      <c r="AR48" s="778"/>
      <c r="AS48" s="789"/>
      <c r="AT48" s="790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94"/>
        <v>0</v>
      </c>
      <c r="BZ48" s="49">
        <f t="shared" si="95"/>
        <v>0</v>
      </c>
      <c r="CA48" s="50"/>
      <c r="CB48" s="51" t="str">
        <f t="shared" si="5"/>
        <v>Bal 2002</v>
      </c>
      <c r="CC48" s="50">
        <f t="shared" si="96"/>
        <v>0</v>
      </c>
      <c r="CD48" s="61">
        <f t="array" ref="CD48">16*SUM(IF(YEAR($DJ$12:$DJ$47)=$T20,$DK$12:$DK$47))</f>
        <v>4080</v>
      </c>
      <c r="CE48" s="50">
        <f>VLOOKUP(A48,Interest!$X$8:$AC$367,6)</f>
        <v>0.86286907665744417</v>
      </c>
      <c r="CF48" s="53">
        <f t="shared" ca="1" si="97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98"/>
        <v>0</v>
      </c>
      <c r="CL48" s="54"/>
      <c r="CM48" s="438">
        <f t="shared" ca="1" si="24"/>
        <v>0</v>
      </c>
      <c r="DJ48" s="54">
        <f>[5]Cinergy!$D70</f>
        <v>38261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37316</v>
      </c>
      <c r="DQ48" s="56">
        <f ca="1">[5]OPPD_NPPD!$O39+[5]NSP!$O39</f>
        <v>0</v>
      </c>
      <c r="DR48" s="56">
        <f ca="1">[5]COMED!$O39</f>
        <v>-55894.4921875</v>
      </c>
      <c r="DS48" s="56">
        <f t="shared" ca="1" si="26"/>
        <v>-55894.4921875</v>
      </c>
      <c r="DT48" s="56">
        <f ca="1">SUM([5]OPPD_NPPD!$P39:$R39)+SUM([5]NSP!$P39:$R39)</f>
        <v>0</v>
      </c>
      <c r="DU48" s="56">
        <f ca="1">SUM([5]COMED!$P39:$R39)</f>
        <v>19962.3193359375</v>
      </c>
      <c r="DV48" s="56">
        <f t="shared" ca="1" si="27"/>
        <v>19962.3193359375</v>
      </c>
      <c r="DW48" s="57"/>
      <c r="DX48" s="58">
        <f>[5]OtherPosn!$D39</f>
        <v>37196</v>
      </c>
      <c r="DY48" s="56">
        <f>[5]OtherPosn!$N39</f>
        <v>0</v>
      </c>
      <c r="DZ48" s="56">
        <f>SUM([5]OtherPosn!$O39:$P39)</f>
        <v>0</v>
      </c>
    </row>
    <row r="49" spans="1:151" ht="18.75" thickBot="1" x14ac:dyDescent="0.3">
      <c r="A49" s="59">
        <f>[5]Cinergy!$D71</f>
        <v>38292</v>
      </c>
      <c r="B49" s="145">
        <f ca="1">[5]Cinergy!$O71</f>
        <v>-43211.83984375</v>
      </c>
      <c r="C49" s="146">
        <f ca="1">B49/(CE49*CD49)</f>
        <v>-12.333296142718048</v>
      </c>
      <c r="D49" s="146">
        <f>IF(YEAR(A49)=$T$20,$BY$48,0)+IF(YEAR(A49)=$T$21,$BY$49,0)+IF(YEAR(A49)=$T$22,$BY$50,0)</f>
        <v>0</v>
      </c>
      <c r="E49" s="145">
        <f ca="1">B49+(D49*CN49*CE49)</f>
        <v>-43211.83984375</v>
      </c>
      <c r="F49" s="173">
        <f ca="1">C49+D49</f>
        <v>-12.333296142718048</v>
      </c>
      <c r="G49" s="147">
        <f>[5]Cinergy!$E71</f>
        <v>30.096563339233398</v>
      </c>
      <c r="H49" s="147">
        <f>+[5]Cinergy!$F71</f>
        <v>-0.36500132083892822</v>
      </c>
      <c r="I49" s="135">
        <f>G49+H49</f>
        <v>29.73156201839447</v>
      </c>
      <c r="J49" s="145">
        <f ca="1">H49*B49</f>
        <v>15772.378618848976</v>
      </c>
      <c r="K49" s="148">
        <f>CG49+CH49+CI49</f>
        <v>0</v>
      </c>
      <c r="L49" s="149">
        <f t="shared" ca="1" si="93"/>
        <v>15772.378618848976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81"/>
      <c r="AL49" s="778"/>
      <c r="AM49" s="781"/>
      <c r="AN49" s="778"/>
      <c r="AO49" s="781"/>
      <c r="AP49" s="778"/>
      <c r="AQ49" s="781"/>
      <c r="AR49" s="778"/>
      <c r="AS49" s="789"/>
      <c r="AT49" s="790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94"/>
        <v>0</v>
      </c>
      <c r="BZ49" s="49">
        <f t="shared" si="95"/>
        <v>0</v>
      </c>
      <c r="CA49" s="50"/>
      <c r="CB49" s="63">
        <f t="shared" si="5"/>
        <v>2003</v>
      </c>
      <c r="CC49" s="50">
        <f t="shared" si="96"/>
        <v>0</v>
      </c>
      <c r="CD49" s="61">
        <f t="array" ref="CD49">16*SUM(IF(YEAR($DJ$12:$DJ$47)=$T21,$DK$12:$DK$47))</f>
        <v>4080</v>
      </c>
      <c r="CE49" s="50">
        <f>VLOOKUP(A49,Interest!$X$8:$AC$367,6)</f>
        <v>0.85874344490290377</v>
      </c>
      <c r="CF49" s="53">
        <f t="shared" ca="1" si="97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98"/>
        <v>0</v>
      </c>
      <c r="CL49" s="54"/>
      <c r="CM49" s="438">
        <f t="shared" ca="1" si="24"/>
        <v>0</v>
      </c>
      <c r="DJ49" s="54">
        <f>[5]Cinergy!$D71</f>
        <v>38292</v>
      </c>
      <c r="DK49" s="30">
        <f>VLOOKUP(DJ49,DL49:DM290,2)</f>
        <v>21</v>
      </c>
      <c r="DL49" s="254">
        <v>36861</v>
      </c>
      <c r="DM49" s="255">
        <v>20</v>
      </c>
      <c r="DP49" s="55">
        <f>[5]Cinergy!$D40</f>
        <v>37347</v>
      </c>
      <c r="DQ49" s="56">
        <f ca="1">[5]OPPD_NPPD!$O40+[5]NSP!$O40</f>
        <v>0</v>
      </c>
      <c r="DR49" s="56">
        <f ca="1">[5]COMED!$O40</f>
        <v>-58384.8203125</v>
      </c>
      <c r="DS49" s="56">
        <f t="shared" ca="1" si="26"/>
        <v>-58384.8203125</v>
      </c>
      <c r="DT49" s="56">
        <f ca="1">SUM([5]OPPD_NPPD!$P40:$R40)+SUM([5]NSP!$P40:$R40)</f>
        <v>0</v>
      </c>
      <c r="DU49" s="56">
        <f ca="1">SUM([5]COMED!$P40:$R40)</f>
        <v>17903.76708984375</v>
      </c>
      <c r="DV49" s="56">
        <f t="shared" ca="1" si="27"/>
        <v>17903.76708984375</v>
      </c>
      <c r="DW49" s="57"/>
      <c r="DX49" s="58">
        <f>[5]OtherPosn!$D40</f>
        <v>37226</v>
      </c>
      <c r="DY49" s="56">
        <f>[5]OtherPosn!$N40</f>
        <v>0</v>
      </c>
      <c r="DZ49" s="56">
        <f>SUM([5]OtherPosn!$O40:$P40)</f>
        <v>0</v>
      </c>
    </row>
    <row r="50" spans="1:151" ht="18.75" thickBot="1" x14ac:dyDescent="0.3">
      <c r="A50" s="59">
        <f>[5]Cinergy!$D72</f>
        <v>38322</v>
      </c>
      <c r="B50" s="145">
        <f ca="1">[5]Cinergy!$O72</f>
        <v>-47091.96484375</v>
      </c>
      <c r="C50" s="146">
        <f ca="1">B50/(CE50*CD50)</f>
        <v>-13.35020563215871</v>
      </c>
      <c r="D50" s="146">
        <f>IF(YEAR(A50)=$T$20,$BY$48,0)+IF(YEAR(A50)=$T$21,$BY$49,0)+IF(YEAR(A50)=$T$22,$BY$50,0)</f>
        <v>0</v>
      </c>
      <c r="E50" s="145">
        <f ca="1">B50+(D50*CN50*CE50)</f>
        <v>-47091.96484375</v>
      </c>
      <c r="F50" s="173">
        <f ca="1">C50+D50</f>
        <v>-13.35020563215871</v>
      </c>
      <c r="G50" s="147">
        <f>[5]Cinergy!$E72</f>
        <v>30.196561813354492</v>
      </c>
      <c r="H50" s="147">
        <f>+[5]Cinergy!$F72</f>
        <v>-0.36500132083892822</v>
      </c>
      <c r="I50" s="135">
        <f>G50+H50</f>
        <v>29.831560492515564</v>
      </c>
      <c r="J50" s="145">
        <f ca="1">H50*B50</f>
        <v>17188.629368869122</v>
      </c>
      <c r="K50" s="148">
        <f>CG50+CH50+CI50</f>
        <v>0</v>
      </c>
      <c r="L50" s="149">
        <f t="shared" ca="1" si="93"/>
        <v>17188.629368869122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82"/>
      <c r="AL50" s="779"/>
      <c r="AM50" s="782"/>
      <c r="AN50" s="779"/>
      <c r="AO50" s="782"/>
      <c r="AP50" s="779"/>
      <c r="AQ50" s="782"/>
      <c r="AR50" s="779"/>
      <c r="AS50" s="791"/>
      <c r="AT50" s="792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94"/>
        <v>0</v>
      </c>
      <c r="BZ50" s="66">
        <f t="shared" si="95"/>
        <v>0</v>
      </c>
      <c r="CB50" s="63">
        <f t="shared" si="5"/>
        <v>2004</v>
      </c>
      <c r="CC50" s="50">
        <f t="shared" si="96"/>
        <v>0</v>
      </c>
      <c r="CD50" s="61">
        <f t="array" ref="CD50">16*SUM(IF(YEAR($DJ$12:$DJ$50)=$T22,$DK$12:$DK$50))</f>
        <v>4128</v>
      </c>
      <c r="CE50" s="50">
        <f>VLOOKUP(A50,Interest!$X$8:$AC$367,6)</f>
        <v>0.8545139703631689</v>
      </c>
      <c r="CF50" s="53">
        <f t="shared" ca="1" si="97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98"/>
        <v>0</v>
      </c>
      <c r="CL50" s="54"/>
      <c r="CM50" s="438">
        <f t="shared" ca="1" si="24"/>
        <v>0</v>
      </c>
      <c r="DJ50" s="54">
        <f>[5]Cinergy!$D72</f>
        <v>38322</v>
      </c>
      <c r="DK50" s="30">
        <f>VLOOKUP(DJ50,$DL$50:$DM$291,2)</f>
        <v>23</v>
      </c>
      <c r="DL50" s="254">
        <v>36892</v>
      </c>
      <c r="DM50" s="255">
        <v>22</v>
      </c>
      <c r="DP50" s="55">
        <f>[5]Cinergy!$D41</f>
        <v>37377</v>
      </c>
      <c r="DQ50" s="56">
        <f ca="1">[5]OPPD_NPPD!$O41+[5]NSP!$O41</f>
        <v>0</v>
      </c>
      <c r="DR50" s="56">
        <f ca="1">[5]COMED!$O41</f>
        <v>-143801.96875</v>
      </c>
      <c r="DS50" s="56">
        <f t="shared" ca="1" si="26"/>
        <v>-143801.96875</v>
      </c>
      <c r="DT50" s="56">
        <f ca="1">SUM([5]OPPD_NPPD!$P41:$R41)+SUM([5]NSP!$P41:$R41)</f>
        <v>0</v>
      </c>
      <c r="DU50" s="56">
        <f ca="1">SUM([5]COMED!$P41:$R41)</f>
        <v>18675.580810546875</v>
      </c>
      <c r="DV50" s="56">
        <f t="shared" ca="1" si="27"/>
        <v>18675.580810546875</v>
      </c>
      <c r="DW50" s="57"/>
      <c r="DX50" s="58">
        <f>[5]OtherPosn!$D41</f>
        <v>37257</v>
      </c>
      <c r="DY50" s="56">
        <f>[5]OtherPosn!$N41</f>
        <v>86602.2109375</v>
      </c>
      <c r="DZ50" s="56">
        <f>SUM([5]OtherPosn!$O41:$P41)</f>
        <v>0</v>
      </c>
    </row>
    <row r="51" spans="1:151" s="238" customFormat="1" ht="31.5" customHeight="1" x14ac:dyDescent="0.2">
      <c r="A51" s="238" t="s">
        <v>70</v>
      </c>
      <c r="AK51" s="783"/>
      <c r="AL51" s="786"/>
      <c r="AM51" s="783"/>
      <c r="AN51" s="786"/>
      <c r="AO51" s="783"/>
      <c r="AP51" s="786"/>
      <c r="AQ51" s="783"/>
      <c r="AR51" s="786"/>
      <c r="AS51" s="783"/>
      <c r="CI51" s="239" t="s">
        <v>71</v>
      </c>
      <c r="CJ51" s="240">
        <f>SUM(CJ12:CJ50)</f>
        <v>2860800</v>
      </c>
      <c r="CM51" s="783"/>
      <c r="DJ51" s="54">
        <f>[5]Cinergy!$D73</f>
        <v>38353</v>
      </c>
      <c r="DK51" s="30">
        <f t="shared" ref="DK51:DK62" si="99">VLOOKUP(DJ51,$DL$50:$DM$291,2)</f>
        <v>21</v>
      </c>
      <c r="DL51" s="254">
        <v>36923</v>
      </c>
      <c r="DM51" s="255">
        <v>20</v>
      </c>
      <c r="DP51" s="242">
        <f>[5]Cinergy!$D42</f>
        <v>37408</v>
      </c>
      <c r="DQ51" s="56">
        <f ca="1">[5]OPPD_NPPD!$O42+[5]NSP!$O42</f>
        <v>0</v>
      </c>
      <c r="DR51" s="56">
        <f ca="1">[5]COMED!$O42</f>
        <v>-62060.53515625</v>
      </c>
      <c r="DS51" s="56">
        <f t="shared" ca="1" si="26"/>
        <v>-62060.53515625</v>
      </c>
      <c r="DT51" s="56">
        <f ca="1">SUM([5]OPPD_NPPD!$P42:$R42)+SUM([5]NSP!$P42:$R42)</f>
        <v>0</v>
      </c>
      <c r="DU51" s="56">
        <f ca="1">SUM([5]COMED!$P42:$R42)</f>
        <v>19393.91748046875</v>
      </c>
      <c r="DV51" s="56">
        <f t="shared" ca="1" si="27"/>
        <v>19393.91748046875</v>
      </c>
      <c r="DW51" s="243"/>
      <c r="DX51" s="58">
        <f>[5]OtherPosn!$D42</f>
        <v>37288</v>
      </c>
      <c r="DY51" s="56">
        <f>[5]OtherPosn!$N42</f>
        <v>78518.8046875</v>
      </c>
      <c r="DZ51" s="56">
        <f>SUM([5]OtherPosn!$O42:$P42)</f>
        <v>0</v>
      </c>
    </row>
    <row r="52" spans="1:151" ht="21" thickBot="1" x14ac:dyDescent="0.3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7"/>
      <c r="AM52" s="438"/>
      <c r="AN52" s="787"/>
      <c r="AO52" s="438"/>
      <c r="AP52" s="787"/>
      <c r="AQ52" s="438"/>
      <c r="AR52" s="787"/>
      <c r="AS52" s="438"/>
      <c r="CM52" s="438"/>
      <c r="DJ52" s="54">
        <f>[5]Cinergy!$D74</f>
        <v>38384</v>
      </c>
      <c r="DK52" s="30">
        <f t="shared" si="99"/>
        <v>20</v>
      </c>
      <c r="DL52" s="254">
        <v>36951</v>
      </c>
      <c r="DM52" s="255">
        <v>22</v>
      </c>
      <c r="DP52" s="55">
        <f>[5]Cinergy!$D43</f>
        <v>37438</v>
      </c>
      <c r="DQ52" s="56">
        <f ca="1">[5]OPPD_NPPD!$O43+[5]NSP!$O43</f>
        <v>-17011.126953125</v>
      </c>
      <c r="DR52" s="56">
        <f ca="1">[5]COMED!$O43</f>
        <v>-289189.15625</v>
      </c>
      <c r="DS52" s="56">
        <f t="shared" ca="1" si="26"/>
        <v>-306200.283203125</v>
      </c>
      <c r="DT52" s="56">
        <f ca="1">SUM([5]OPPD_NPPD!$P43:$R43)+SUM([5]NSP!$P43:$R43)</f>
        <v>0</v>
      </c>
      <c r="DU52" s="56">
        <f ca="1">SUM([5]COMED!$P43:$R43)</f>
        <v>18557.593505859375</v>
      </c>
      <c r="DV52" s="56">
        <f t="shared" ca="1" si="27"/>
        <v>18557.593505859375</v>
      </c>
      <c r="DW52" s="57"/>
      <c r="DX52" s="58">
        <f>[5]OtherPosn!$D43</f>
        <v>37316</v>
      </c>
      <c r="DY52" s="56">
        <f>[5]OtherPosn!$N43</f>
        <v>0</v>
      </c>
      <c r="DZ52" s="56">
        <f>SUM([5]OtherPosn!$O43:$P43)</f>
        <v>0</v>
      </c>
    </row>
    <row r="53" spans="1:151" ht="22.5" customHeight="1" thickBot="1" x14ac:dyDescent="0.25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7"/>
      <c r="AM53" s="438"/>
      <c r="AN53" s="787"/>
      <c r="AO53" s="438"/>
      <c r="AP53" s="787"/>
      <c r="AQ53" s="438"/>
      <c r="AR53" s="787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38412</v>
      </c>
      <c r="DK53" s="30">
        <f t="shared" si="99"/>
        <v>23</v>
      </c>
      <c r="DL53" s="254">
        <v>36982</v>
      </c>
      <c r="DM53" s="255">
        <v>21</v>
      </c>
      <c r="DP53" s="55">
        <f>[5]Cinergy!$D44</f>
        <v>37469</v>
      </c>
      <c r="DQ53" s="56">
        <f ca="1">[5]OPPD_NPPD!$O44+[5]NSP!$O44</f>
        <v>-16954.423828125</v>
      </c>
      <c r="DR53" s="56">
        <f ca="1">[5]COMED!$O44</f>
        <v>-288225.1875</v>
      </c>
      <c r="DS53" s="56">
        <f t="shared" ca="1" si="26"/>
        <v>-305179.611328125</v>
      </c>
      <c r="DT53" s="56">
        <f ca="1">SUM([5]OPPD_NPPD!$P44:$R44)+SUM([5]NSP!$P44:$R44)</f>
        <v>0</v>
      </c>
      <c r="DU53" s="56">
        <f ca="1">SUM([5]COMED!$P44:$R44)</f>
        <v>18881.0615234375</v>
      </c>
      <c r="DV53" s="56">
        <f t="shared" ca="1" si="27"/>
        <v>18881.0615234375</v>
      </c>
      <c r="DW53" s="57"/>
      <c r="DX53" s="58">
        <f>[5]OtherPosn!$D44</f>
        <v>37347</v>
      </c>
      <c r="DY53" s="56">
        <f>[5]OtherPosn!$N44</f>
        <v>0</v>
      </c>
      <c r="DZ53" s="56">
        <f>SUM([5]OtherPosn!$O44:$P44)</f>
        <v>0</v>
      </c>
    </row>
    <row r="54" spans="1:151" ht="13.5" thickBot="1" x14ac:dyDescent="0.25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4">
        <v>1</v>
      </c>
      <c r="AL54" s="788"/>
      <c r="AM54" s="784">
        <v>2</v>
      </c>
      <c r="AN54" s="788"/>
      <c r="AO54" s="784">
        <v>3</v>
      </c>
      <c r="AP54" s="788"/>
      <c r="AQ54" s="784">
        <v>4</v>
      </c>
      <c r="AR54" s="788"/>
      <c r="AS54" s="78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38443</v>
      </c>
      <c r="DK54" s="30">
        <f t="shared" si="99"/>
        <v>21</v>
      </c>
      <c r="DL54" s="254">
        <v>37012</v>
      </c>
      <c r="DM54" s="255">
        <v>22</v>
      </c>
      <c r="DP54" s="55">
        <f>[5]Cinergy!$D45</f>
        <v>37500</v>
      </c>
      <c r="DQ54" s="56">
        <f ca="1">[5]OPPD_NPPD!$O45+[5]NSP!$O45</f>
        <v>0</v>
      </c>
      <c r="DR54" s="56">
        <f ca="1">[5]COMED!$O45</f>
        <v>92168.7890625</v>
      </c>
      <c r="DS54" s="56">
        <f t="shared" ca="1" si="26"/>
        <v>92168.7890625</v>
      </c>
      <c r="DT54" s="56">
        <f ca="1">SUM([5]OPPD_NPPD!$P45:$R45)+SUM([5]NSP!$P45:$R45)</f>
        <v>0</v>
      </c>
      <c r="DU54" s="56">
        <f ca="1">SUM([5]COMED!$P45:$R45)</f>
        <v>18817.794921875</v>
      </c>
      <c r="DV54" s="56">
        <f t="shared" ca="1" si="27"/>
        <v>18817.794921875</v>
      </c>
      <c r="DW54" s="57"/>
      <c r="DX54" s="58">
        <f>[5]OtherPosn!$D45</f>
        <v>37377</v>
      </c>
      <c r="DY54" s="56">
        <f>[5]OtherPosn!$N45</f>
        <v>0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5" thickBot="1" x14ac:dyDescent="0.25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Q4 2001</v>
      </c>
      <c r="Z55" s="167" t="str">
        <f>V57</f>
        <v>Q1 2002</v>
      </c>
      <c r="AA55" s="167" t="str">
        <f>V58</f>
        <v>Q2 2002</v>
      </c>
      <c r="AB55" s="167" t="str">
        <f>V59</f>
        <v>Q3 2002</v>
      </c>
      <c r="AC55" s="167" t="str">
        <f>V60</f>
        <v>Q4 2002</v>
      </c>
      <c r="AD55" s="167" t="str">
        <f>V61</f>
        <v>Q1 2003</v>
      </c>
      <c r="AE55" s="167" t="str">
        <f>V62</f>
        <v>Q2 2003</v>
      </c>
      <c r="AF55" s="167" t="str">
        <f>V63</f>
        <v>Q3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5" t="s">
        <v>57</v>
      </c>
      <c r="AL55" s="780" t="s">
        <v>52</v>
      </c>
      <c r="AM55" s="785" t="s">
        <v>57</v>
      </c>
      <c r="AN55" s="780" t="s">
        <v>52</v>
      </c>
      <c r="AO55" s="785" t="s">
        <v>57</v>
      </c>
      <c r="AP55" s="780" t="s">
        <v>52</v>
      </c>
      <c r="AQ55" s="785" t="s">
        <v>57</v>
      </c>
      <c r="AR55" s="780" t="s">
        <v>52</v>
      </c>
      <c r="AS55" s="785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38473</v>
      </c>
      <c r="DK55" s="30">
        <f t="shared" si="99"/>
        <v>21</v>
      </c>
      <c r="DL55" s="254">
        <v>37043</v>
      </c>
      <c r="DM55" s="255">
        <v>21</v>
      </c>
      <c r="DP55" s="55">
        <f>[5]Cinergy!$D46</f>
        <v>37530</v>
      </c>
      <c r="DQ55" s="56">
        <f ca="1">[5]OPPD_NPPD!$O46+[5]NSP!$O46</f>
        <v>0</v>
      </c>
      <c r="DR55" s="56">
        <f ca="1">[5]COMED!$O46</f>
        <v>-176028.328125</v>
      </c>
      <c r="DS55" s="56">
        <f t="shared" ca="1" si="26"/>
        <v>-176028.328125</v>
      </c>
      <c r="DT55" s="56">
        <f ca="1">SUM([5]OPPD_NPPD!$P46:$R46)+SUM([5]NSP!$P46:$R46)</f>
        <v>0</v>
      </c>
      <c r="DU55" s="56">
        <f ca="1">SUM([5]COMED!$P46:$R46)</f>
        <v>18033.3369140625</v>
      </c>
      <c r="DV55" s="56">
        <f t="shared" ca="1" si="27"/>
        <v>18033.3369140625</v>
      </c>
      <c r="DW55" s="57"/>
      <c r="DX55" s="58">
        <f>[5]OtherPosn!$D46</f>
        <v>37408</v>
      </c>
      <c r="DY55" s="56">
        <f>[5]OtherPosn!$N46</f>
        <v>0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.75" thickBot="1" x14ac:dyDescent="0.3">
      <c r="A56" s="151">
        <f>[5]COMED!$D34</f>
        <v>37195</v>
      </c>
      <c r="B56" s="152">
        <f t="array" aca="1" ref="B56" ca="1">SUM(IF(MONTH([5]COMED!$D$3:$D$40)&amp;YEAR([5]COMED!$D$3:$D$40)=MONTH($A56)&amp;YEAR($A56),[5]COMED!$O$3:$O$40))</f>
        <v>138815.1884765625</v>
      </c>
      <c r="C56" s="142">
        <f t="shared" ref="C56:C91" ca="1" si="100">B56/(CE56*CD56)</f>
        <v>380.04477279299238</v>
      </c>
      <c r="D56" s="141">
        <f t="shared" ref="D56:D91" si="101">BY56+IF(YEAR(A56)=$T$20,$BY$92,0)+IF(YEAR(A56)=$T$21,$BY$93,0)+IF(YEAR(A56)=$T$22,$BY$94,0)</f>
        <v>-100</v>
      </c>
      <c r="E56" s="142">
        <f t="shared" ref="E56:E91" ca="1" si="102">B56+(D56*CD56*CE56)</f>
        <v>102289.17932864188</v>
      </c>
      <c r="F56" s="171">
        <f ca="1">C56+D56</f>
        <v>280.04477279299238</v>
      </c>
      <c r="G56" s="143">
        <f>[5]COMED!$E34</f>
        <v>24.549999237060547</v>
      </c>
      <c r="H56" s="143">
        <f t="shared" ref="H56:H75" si="103">IF($R$53,R56,Q56)</f>
        <v>-9.9999237060544033E-2</v>
      </c>
      <c r="I56" s="174">
        <f t="shared" ref="I56:I91" si="104">G56+H56</f>
        <v>24.450000000000003</v>
      </c>
      <c r="J56" s="152">
        <f t="array" aca="1" ref="J56" ca="1">SUM(IF(MONTH([5]COMED!$D$3:$D$40)&amp;YEAR([5]COMED!$D$3:$D$40)=MONTH($A56)&amp;YEAR($A56),[5]COMED!$F$3:$F$40*[5]COMED!$O$3:$O$40))</f>
        <v>-10863.714527912502</v>
      </c>
      <c r="K56" s="144">
        <f t="shared" ref="K56:K91" si="105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1826.3004573959265</v>
      </c>
      <c r="L56" s="144">
        <f t="shared" ref="L56:L91" ca="1" si="106">J56+K56</f>
        <v>-9037.4140705165755</v>
      </c>
      <c r="M56" s="104"/>
      <c r="N56" s="124">
        <f t="shared" ref="N56:N77" si="107">A56</f>
        <v>37195</v>
      </c>
      <c r="O56" s="165">
        <v>79</v>
      </c>
      <c r="P56" s="165">
        <v>79</v>
      </c>
      <c r="Q56" s="162">
        <f>AVERAGE(O56:P56)-G56</f>
        <v>54.450000762939453</v>
      </c>
      <c r="R56" s="288">
        <f>TradeSum!R12</f>
        <v>-9.9999237060544033E-2</v>
      </c>
      <c r="S56" s="263">
        <f t="shared" ref="S56:S77" si="108">I56</f>
        <v>24.450000000000003</v>
      </c>
      <c r="T56" s="46">
        <f>IF(MONTH($B$2)&gt;=10,YEAR($B$2)+1,YEAR($B$2))</f>
        <v>2001</v>
      </c>
      <c r="U56" s="45">
        <f>IF(INT((MONTH($B$2)-1)/3)+2=5,1,INT((MONTH($B$2)-1)/3)+2)</f>
        <v>4</v>
      </c>
      <c r="V56" s="189" t="str">
        <f t="shared" ref="V56:V63" si="109">"Q"&amp;U56&amp;" "&amp;T56</f>
        <v>Q4 2001</v>
      </c>
      <c r="W56" s="136">
        <f t="array" ref="W56">SUM(IF((INT((MONTH($A$56:$A$91)-1)/3)=U56-1)*(YEAR($A$56:$A$91)=T56),$I$56:$I$91*$DK$12:$DK$47))/SUM(IF((INT((MONTH($A$56:$A$91)-1)/3)=U56-1)*(YEAR($A$56:$A$91)=T56),$DK$12:$DK$47))</f>
        <v>25.335155588388446</v>
      </c>
      <c r="X56" s="190">
        <f t="array" ref="X56">AVERAGE(IF((INT((MONTH($A$56:$A$91)-1)/3)=U56-1)*(YEAR($A$56:$A$91)=T56),$I$56:$I$91))</f>
        <v>25.383332697550458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10">A56</f>
        <v>37195</v>
      </c>
      <c r="AK56" s="781"/>
      <c r="AL56" s="778"/>
      <c r="AM56" s="781">
        <v>-100</v>
      </c>
      <c r="AN56" s="778">
        <v>24.5</v>
      </c>
      <c r="AO56" s="781"/>
      <c r="AP56" s="778"/>
      <c r="AQ56" s="781"/>
      <c r="AR56" s="778"/>
      <c r="AS56" s="789"/>
      <c r="AT56" s="790"/>
      <c r="AU56" s="781"/>
      <c r="AV56" s="2"/>
      <c r="AW56" s="841"/>
      <c r="AX56" s="842"/>
      <c r="AY56" s="781"/>
      <c r="AZ56" s="2"/>
      <c r="BA56" s="841"/>
      <c r="BB56" s="842"/>
      <c r="BC56" s="781"/>
      <c r="BD56" s="778"/>
      <c r="BE56" s="781"/>
      <c r="BF56" s="778"/>
      <c r="BG56" s="781"/>
      <c r="BH56" s="778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11">AK56+AM56+AO56+AQ56+AS56+AU56+AW56+AY56+BA56+BC56+BE56+BG56+BI56+BK56+BM56+BO56+BQ56+BS56+BU56+BW56</f>
        <v>-100</v>
      </c>
      <c r="BZ56" s="49">
        <f t="shared" ref="BZ56:BZ94" si="112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24.5</v>
      </c>
      <c r="CA56" s="50"/>
      <c r="CB56" s="51">
        <f t="shared" ref="CB56:CB94" si="113">AJ56</f>
        <v>37195</v>
      </c>
      <c r="CC56" s="50">
        <f t="shared" ref="CC56:CC94" si="114">ABS(AK56)+ABS(AM56)+ABS(AO56)+ABS(AQ56)+ABS(AS56)+ABS(AU56)+ABS(AW56)+ABS(AY56)+ABS(BA56)+ABS(BC56)+ABS(BE56)+ABS(BG56)+ABS(BI56)+ABS(BK56)+ABS(BM56)+ABS(BO56)+ABS(BQ56)+ABS(BS56)+ABS(BU56)+ABS(BW56)</f>
        <v>100</v>
      </c>
      <c r="CD56" s="52">
        <f t="shared" ref="CD56:CE75" si="115">CD12</f>
        <v>368</v>
      </c>
      <c r="CE56" s="50">
        <f t="shared" si="115"/>
        <v>0.99255459641088606</v>
      </c>
      <c r="CF56" s="53">
        <f t="shared" ref="CF56:CF94" ca="1" si="116">E56-B56</f>
        <v>-36526.009147920617</v>
      </c>
      <c r="CG56" s="53">
        <f t="shared" ref="CG56:CG91" si="117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18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19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20">CC56*CD56</f>
        <v>36800</v>
      </c>
      <c r="CM56" s="438">
        <f ca="1">+CL12*CF56/10000</f>
        <v>-31.266263830620051</v>
      </c>
      <c r="DJ56" s="54">
        <f>[5]Cinergy!$D78</f>
        <v>38504</v>
      </c>
      <c r="DK56" s="30">
        <f t="shared" si="99"/>
        <v>22</v>
      </c>
      <c r="DL56" s="254">
        <v>37073</v>
      </c>
      <c r="DM56" s="255">
        <v>21</v>
      </c>
      <c r="DP56" s="55">
        <f>[5]Cinergy!$D47</f>
        <v>37561</v>
      </c>
      <c r="DQ56" s="56">
        <f ca="1">[5]OPPD_NPPD!$O47+[5]NSP!$O47</f>
        <v>0</v>
      </c>
      <c r="DR56" s="56">
        <f ca="1">[5]COMED!$O47</f>
        <v>-152526.265625</v>
      </c>
      <c r="DS56" s="56">
        <f t="shared" ca="1" si="26"/>
        <v>-152526.265625</v>
      </c>
      <c r="DT56" s="56">
        <f ca="1">SUM([5]OPPD_NPPD!$P47:$R47)+SUM([5]NSP!$P47:$R47)</f>
        <v>0</v>
      </c>
      <c r="DU56" s="56">
        <f ca="1">SUM([5]COMED!$P47:$R47)</f>
        <v>18684.46728515625</v>
      </c>
      <c r="DV56" s="56">
        <f t="shared" ca="1" si="27"/>
        <v>18684.46728515625</v>
      </c>
      <c r="DW56" s="57"/>
      <c r="DX56" s="58">
        <f>[5]OtherPosn!$D47</f>
        <v>37438</v>
      </c>
      <c r="DY56" s="56">
        <f>[5]OtherPosn!$N47</f>
        <v>0</v>
      </c>
      <c r="DZ56" s="56">
        <f>SUM([5]OtherPosn!$O47:$P47)</f>
        <v>0</v>
      </c>
      <c r="EO56" s="54">
        <f t="shared" ref="EO56:EP71" si="121">EO12</f>
        <v>37195</v>
      </c>
      <c r="EP56" s="449">
        <f t="shared" si="121"/>
        <v>23</v>
      </c>
      <c r="EQ56" s="297" t="e">
        <f>#REF!*$EP56</f>
        <v>#REF!</v>
      </c>
      <c r="ER56" s="297" t="e">
        <f>#REF!*$EP56</f>
        <v>#REF!</v>
      </c>
      <c r="ES56" s="25">
        <f t="shared" ref="ES56:EU71" si="122">IF(YEAR($EO56)=1999,EP56,0)</f>
        <v>0</v>
      </c>
      <c r="ET56" s="25">
        <f t="shared" si="122"/>
        <v>0</v>
      </c>
      <c r="EU56" s="25">
        <f t="shared" si="122"/>
        <v>0</v>
      </c>
    </row>
    <row r="57" spans="1:151" ht="18.75" thickBot="1" x14ac:dyDescent="0.3">
      <c r="A57" s="153">
        <f>[5]COMED!$D35</f>
        <v>37196</v>
      </c>
      <c r="B57" s="154">
        <f ca="1">[5]COMED!$O35</f>
        <v>143019.8125</v>
      </c>
      <c r="C57" s="138">
        <f t="shared" ca="1" si="100"/>
        <v>430.08628787691333</v>
      </c>
      <c r="D57" s="138">
        <f t="shared" si="101"/>
        <v>0</v>
      </c>
      <c r="E57" s="137">
        <f t="shared" ca="1" si="102"/>
        <v>143019.8125</v>
      </c>
      <c r="F57" s="172">
        <f t="shared" ref="F57:F91" ca="1" si="123">C57+D57</f>
        <v>430.08628787691333</v>
      </c>
      <c r="G57" s="139">
        <f>[5]COMED!$E35</f>
        <v>25.049995422363281</v>
      </c>
      <c r="H57" s="143">
        <f t="shared" si="103"/>
        <v>5.0000381469729405E-2</v>
      </c>
      <c r="I57" s="134">
        <f t="shared" si="104"/>
        <v>25.099995803833011</v>
      </c>
      <c r="J57" s="137">
        <f t="shared" ref="J57:J91" ca="1" si="124">H57*B57</f>
        <v>7151.0451827291736</v>
      </c>
      <c r="K57" s="140">
        <f t="shared" si="105"/>
        <v>0</v>
      </c>
      <c r="L57" s="140">
        <f t="shared" ca="1" si="106"/>
        <v>7151.0451827291736</v>
      </c>
      <c r="M57" s="104"/>
      <c r="N57" s="124">
        <f t="shared" si="107"/>
        <v>37196</v>
      </c>
      <c r="O57" s="165">
        <v>33.5</v>
      </c>
      <c r="P57" s="165">
        <v>33.5</v>
      </c>
      <c r="Q57" s="162">
        <f>AVERAGE(O57:P57)-G57-0.5</f>
        <v>7.9500045776367188</v>
      </c>
      <c r="R57" s="288">
        <f>TradeSum!R13</f>
        <v>5.0000381469729405E-2</v>
      </c>
      <c r="S57" s="263">
        <f t="shared" si="108"/>
        <v>25.099995803833011</v>
      </c>
      <c r="T57" s="46">
        <f t="shared" ref="T57:T63" si="125">IF(U56=4,T56+1,T56)</f>
        <v>2002</v>
      </c>
      <c r="U57" s="45">
        <f t="shared" ref="U57:U63" si="126">IF(U56=4,1,U56+1)</f>
        <v>1</v>
      </c>
      <c r="V57" s="191" t="str">
        <f t="shared" si="109"/>
        <v>Q1 2002</v>
      </c>
      <c r="W57" s="136">
        <f t="array" ref="W57">SUM(IF((INT((MONTH($A$56:$A$91)-1)/3)=U57-1)*(YEAR($A$56:$A$91)=T57),$I$56:$I$91*$DK$12:$DK$47))/SUM(IF((INT((MONTH($A$56:$A$91)-1)/3)=U57-1)*(YEAR($A$56:$A$91)=T57),$DK$12:$DK$47))</f>
        <v>27.405891878220284</v>
      </c>
      <c r="X57" s="190">
        <f t="array" ref="X57">AVERAGE(IF((INT((MONTH($A$56:$A$91)-1)/3)=U57-1)*(YEAR($A$56:$A$91)=T57),$I$56:$I$91))</f>
        <v>27.400368014927409</v>
      </c>
      <c r="Y57" s="198">
        <f t="shared" ref="Y57:Y66" si="127">W57-$W$12</f>
        <v>0.88948562822028165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10"/>
        <v>37196</v>
      </c>
      <c r="AK57" s="781"/>
      <c r="AL57" s="778"/>
      <c r="AM57" s="781"/>
      <c r="AN57" s="778"/>
      <c r="AO57" s="781">
        <f t="shared" ref="AO57:AR58" si="128">+AO56</f>
        <v>0</v>
      </c>
      <c r="AP57" s="778">
        <f t="shared" si="128"/>
        <v>0</v>
      </c>
      <c r="AQ57" s="781">
        <f t="shared" si="128"/>
        <v>0</v>
      </c>
      <c r="AR57" s="778">
        <f t="shared" si="128"/>
        <v>0</v>
      </c>
      <c r="AS57" s="789"/>
      <c r="AT57" s="790"/>
      <c r="AU57" s="781"/>
      <c r="AV57" s="778"/>
      <c r="AW57" s="781"/>
      <c r="AX57" s="2"/>
      <c r="AY57" s="781"/>
      <c r="AZ57" s="2"/>
      <c r="BA57" s="781"/>
      <c r="BB57" s="778"/>
      <c r="BC57" s="781"/>
      <c r="BD57" s="778"/>
      <c r="BE57" s="781"/>
      <c r="BF57" s="778"/>
      <c r="BG57" s="781"/>
      <c r="BH57" s="778"/>
      <c r="BI57" s="78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11"/>
        <v>0</v>
      </c>
      <c r="BZ57" s="49">
        <f t="shared" si="112"/>
        <v>0</v>
      </c>
      <c r="CA57" s="50"/>
      <c r="CB57" s="51">
        <f t="shared" si="113"/>
        <v>37196</v>
      </c>
      <c r="CC57" s="50">
        <f t="shared" si="114"/>
        <v>0</v>
      </c>
      <c r="CD57" s="52">
        <f t="shared" si="115"/>
        <v>336</v>
      </c>
      <c r="CE57" s="50">
        <f t="shared" si="115"/>
        <v>0.98969489580859615</v>
      </c>
      <c r="CF57" s="53">
        <f t="shared" ca="1" si="116"/>
        <v>0</v>
      </c>
      <c r="CG57" s="53">
        <f t="shared" si="117"/>
        <v>0</v>
      </c>
      <c r="CH57" s="53">
        <f t="shared" si="118"/>
        <v>0</v>
      </c>
      <c r="CI57" s="53">
        <f t="shared" si="119"/>
        <v>0</v>
      </c>
      <c r="CJ57" s="25">
        <f t="shared" si="120"/>
        <v>0</v>
      </c>
      <c r="CM57" s="438">
        <f t="shared" ref="CM57:CM88" ca="1" si="129">+CL13*CF57/10000</f>
        <v>0</v>
      </c>
      <c r="DJ57" s="54">
        <f>[5]Cinergy!$D79</f>
        <v>38534</v>
      </c>
      <c r="DK57" s="30">
        <f t="shared" si="99"/>
        <v>20</v>
      </c>
      <c r="DL57" s="254">
        <v>37104</v>
      </c>
      <c r="DM57" s="255">
        <v>23</v>
      </c>
      <c r="DP57" s="55">
        <f>[5]Cinergy!$D48</f>
        <v>37591</v>
      </c>
      <c r="DQ57" s="56">
        <f ca="1">[5]OPPD_NPPD!$O48+[5]NSP!$O48</f>
        <v>0</v>
      </c>
      <c r="DR57" s="56">
        <f ca="1">[5]COMED!$O48</f>
        <v>-159545.34375</v>
      </c>
      <c r="DS57" s="56">
        <f t="shared" ca="1" si="26"/>
        <v>-159545.34375</v>
      </c>
      <c r="DT57" s="56">
        <f ca="1">SUM([5]OPPD_NPPD!$P48:$R48)+SUM([5]NSP!$P48:$R48)</f>
        <v>0</v>
      </c>
      <c r="DU57" s="56">
        <f ca="1">SUM([5]COMED!$P48:$R48)</f>
        <v>18993.492919921875</v>
      </c>
      <c r="DV57" s="56">
        <f t="shared" ca="1" si="27"/>
        <v>18993.492919921875</v>
      </c>
      <c r="DW57" s="57"/>
      <c r="DX57" s="58">
        <f>[5]OtherPosn!$D48</f>
        <v>37469</v>
      </c>
      <c r="DY57" s="56">
        <f>[5]OtherPosn!$N48</f>
        <v>0</v>
      </c>
      <c r="DZ57" s="56">
        <f>SUM([5]OtherPosn!$O48:$P48)</f>
        <v>0</v>
      </c>
      <c r="EO57" s="54">
        <f t="shared" si="121"/>
        <v>37196</v>
      </c>
      <c r="EP57" s="449">
        <f t="shared" si="121"/>
        <v>21</v>
      </c>
      <c r="EQ57" s="297">
        <f t="shared" ref="EQ57:EQ76" si="130">O56*$EP57</f>
        <v>1659</v>
      </c>
      <c r="ER57" s="297">
        <f t="shared" ref="ER57:ER76" si="131">P56*$EP57</f>
        <v>1659</v>
      </c>
      <c r="ES57" s="25">
        <f t="shared" si="122"/>
        <v>0</v>
      </c>
      <c r="ET57" s="25">
        <f t="shared" si="122"/>
        <v>0</v>
      </c>
      <c r="EU57" s="25">
        <f t="shared" si="122"/>
        <v>0</v>
      </c>
    </row>
    <row r="58" spans="1:151" ht="18.75" thickBot="1" x14ac:dyDescent="0.3">
      <c r="A58" s="151">
        <f>[5]COMED!$D36</f>
        <v>37226</v>
      </c>
      <c r="B58" s="152">
        <f ca="1">[5]COMED!$O36</f>
        <v>166609.9375</v>
      </c>
      <c r="C58" s="142">
        <f t="shared" ca="1" si="100"/>
        <v>527.62289475347779</v>
      </c>
      <c r="D58" s="141">
        <f t="shared" si="101"/>
        <v>0</v>
      </c>
      <c r="E58" s="142">
        <f t="shared" ca="1" si="102"/>
        <v>166609.9375</v>
      </c>
      <c r="F58" s="171">
        <f t="shared" ca="1" si="123"/>
        <v>527.62289475347779</v>
      </c>
      <c r="G58" s="143">
        <f>[5]COMED!$E36</f>
        <v>26.750001907348633</v>
      </c>
      <c r="H58" s="143">
        <f t="shared" si="103"/>
        <v>-0.14999961853027344</v>
      </c>
      <c r="I58" s="174">
        <f t="shared" si="104"/>
        <v>26.600002288818359</v>
      </c>
      <c r="J58" s="152">
        <f t="shared" ca="1" si="124"/>
        <v>-24991.427068352699</v>
      </c>
      <c r="K58" s="144">
        <f t="shared" si="105"/>
        <v>0</v>
      </c>
      <c r="L58" s="144">
        <f t="shared" ca="1" si="106"/>
        <v>-24991.427068352699</v>
      </c>
      <c r="M58" s="104"/>
      <c r="N58" s="124">
        <f t="shared" si="107"/>
        <v>37226</v>
      </c>
      <c r="O58" s="165">
        <v>25.25</v>
      </c>
      <c r="P58" s="165">
        <v>25.25</v>
      </c>
      <c r="Q58" s="162">
        <f>AVERAGE(O58:P58)-G58-0.5</f>
        <v>-2.0000019073486328</v>
      </c>
      <c r="R58" s="288">
        <f>TradeSum!R14</f>
        <v>-0.14999961853027344</v>
      </c>
      <c r="S58" s="264">
        <f t="shared" si="108"/>
        <v>26.600002288818359</v>
      </c>
      <c r="T58" s="46">
        <f t="shared" si="125"/>
        <v>2002</v>
      </c>
      <c r="U58" s="45">
        <f t="shared" si="126"/>
        <v>2</v>
      </c>
      <c r="V58" s="192" t="str">
        <f t="shared" si="109"/>
        <v>Q2 2002</v>
      </c>
      <c r="W58" s="136">
        <f t="array" ref="W58">SUM(IF((INT((MONTH($A$56:$A$91)-1)/3)=U58-1)*(YEAR($A$56:$A$91)=T58),$I$56:$I$91*$DK$12:$DK$47))/SUM(IF((INT((MONTH($A$56:$A$91)-1)/3)=U58-1)*(YEAR($A$56:$A$91)=T58),$DK$12:$DK$47))</f>
        <v>32.255231374918026</v>
      </c>
      <c r="X58" s="190">
        <f t="array" ref="X58">AVERAGE(IF((INT((MONTH($A$56:$A$91)-1)/3)=U58-1)*(YEAR($A$56:$A$91)=T58),$I$56:$I$91))</f>
        <v>32.489921333253847</v>
      </c>
      <c r="Y58" s="200">
        <f t="shared" si="127"/>
        <v>5.7388251249180229</v>
      </c>
      <c r="Z58" s="200">
        <f t="shared" ref="Z58:Z66" si="132">W58-$W$13</f>
        <v>3.5819756910782452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10"/>
        <v>37226</v>
      </c>
      <c r="AK58" s="781"/>
      <c r="AL58" s="778"/>
      <c r="AM58" s="781"/>
      <c r="AN58" s="778"/>
      <c r="AO58" s="781">
        <f t="shared" si="128"/>
        <v>0</v>
      </c>
      <c r="AP58" s="778">
        <f t="shared" si="128"/>
        <v>0</v>
      </c>
      <c r="AQ58" s="781">
        <f t="shared" si="128"/>
        <v>0</v>
      </c>
      <c r="AR58" s="778">
        <f t="shared" si="128"/>
        <v>0</v>
      </c>
      <c r="AS58" s="789"/>
      <c r="AT58" s="790"/>
      <c r="AU58" s="781"/>
      <c r="AV58" s="778"/>
      <c r="AW58" s="781"/>
      <c r="AX58" s="2"/>
      <c r="AY58" s="781"/>
      <c r="AZ58" s="2"/>
      <c r="BA58" s="781"/>
      <c r="BB58" s="778"/>
      <c r="BC58" s="781"/>
      <c r="BD58" s="778"/>
      <c r="BE58" s="781"/>
      <c r="BF58" s="778"/>
      <c r="BG58" s="781"/>
      <c r="BH58" s="778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11"/>
        <v>0</v>
      </c>
      <c r="BZ58" s="49">
        <f t="shared" si="112"/>
        <v>0</v>
      </c>
      <c r="CA58" s="50"/>
      <c r="CB58" s="51">
        <f t="shared" si="113"/>
        <v>37226</v>
      </c>
      <c r="CC58" s="50">
        <f t="shared" si="114"/>
        <v>0</v>
      </c>
      <c r="CD58" s="52">
        <f t="shared" si="115"/>
        <v>320</v>
      </c>
      <c r="CE58" s="50">
        <f t="shared" si="115"/>
        <v>0.98679579651441607</v>
      </c>
      <c r="CF58" s="53">
        <f t="shared" ca="1" si="116"/>
        <v>0</v>
      </c>
      <c r="CG58" s="53">
        <f t="shared" si="117"/>
        <v>0</v>
      </c>
      <c r="CH58" s="53">
        <f t="shared" si="118"/>
        <v>0</v>
      </c>
      <c r="CI58" s="53">
        <f t="shared" si="119"/>
        <v>0</v>
      </c>
      <c r="CJ58" s="25">
        <f t="shared" si="120"/>
        <v>0</v>
      </c>
      <c r="CM58" s="438">
        <f t="shared" ca="1" si="129"/>
        <v>0</v>
      </c>
      <c r="DJ58" s="54">
        <f>[5]Cinergy!$D80</f>
        <v>38565</v>
      </c>
      <c r="DK58" s="30">
        <f t="shared" si="99"/>
        <v>23</v>
      </c>
      <c r="DL58" s="254">
        <v>37135</v>
      </c>
      <c r="DM58" s="255">
        <v>19</v>
      </c>
      <c r="DP58" s="55">
        <f>[5]Cinergy!$D49</f>
        <v>37622</v>
      </c>
      <c r="DQ58" s="56">
        <f ca="1">[5]OPPD_NPPD!$O49+[5]NSP!$O49</f>
        <v>0</v>
      </c>
      <c r="DR58" s="56">
        <f ca="1">[5]COMED!$O49</f>
        <v>-249736.484375</v>
      </c>
      <c r="DS58" s="56">
        <f t="shared" ca="1" si="26"/>
        <v>-249736.484375</v>
      </c>
      <c r="DT58" s="56">
        <f ca="1">SUM([5]OPPD_NPPD!$P49:$R49)+SUM([5]NSP!$P49:$R49)</f>
        <v>0</v>
      </c>
      <c r="DU58" s="56">
        <f ca="1">SUM([5]COMED!$P49:$R49)</f>
        <v>-378.38861083984375</v>
      </c>
      <c r="DV58" s="56">
        <f t="shared" ca="1" si="27"/>
        <v>-378.38861083984375</v>
      </c>
      <c r="DW58" s="57"/>
      <c r="DX58" s="58">
        <f>[5]OtherPosn!$D49</f>
        <v>37500</v>
      </c>
      <c r="DY58" s="56">
        <f>[5]OtherPosn!$N49</f>
        <v>0</v>
      </c>
      <c r="DZ58" s="56">
        <f>SUM([5]OtherPosn!$O49:$P49)</f>
        <v>0</v>
      </c>
      <c r="EO58" s="54">
        <f t="shared" si="121"/>
        <v>37226</v>
      </c>
      <c r="EP58" s="449">
        <f t="shared" si="121"/>
        <v>20</v>
      </c>
      <c r="EQ58" s="297">
        <f t="shared" si="130"/>
        <v>670</v>
      </c>
      <c r="ER58" s="297">
        <f t="shared" si="131"/>
        <v>670</v>
      </c>
      <c r="ES58" s="25">
        <f t="shared" si="122"/>
        <v>0</v>
      </c>
      <c r="ET58" s="25">
        <f t="shared" si="122"/>
        <v>0</v>
      </c>
      <c r="EU58" s="25">
        <f t="shared" si="122"/>
        <v>0</v>
      </c>
    </row>
    <row r="59" spans="1:151" ht="18.75" thickBot="1" x14ac:dyDescent="0.3">
      <c r="A59" s="153">
        <f>[5]COMED!$D37</f>
        <v>37257</v>
      </c>
      <c r="B59" s="154">
        <f ca="1">[5]COMED!$O37</f>
        <v>-422618.8125</v>
      </c>
      <c r="C59" s="138">
        <f t="shared" ca="1" si="100"/>
        <v>-1220.048226076872</v>
      </c>
      <c r="D59" s="138">
        <f t="shared" si="101"/>
        <v>0</v>
      </c>
      <c r="E59" s="137">
        <f t="shared" ca="1" si="102"/>
        <v>-422618.8125</v>
      </c>
      <c r="F59" s="172">
        <f t="shared" ca="1" si="123"/>
        <v>-1220.048226076872</v>
      </c>
      <c r="G59" s="139">
        <f>[5]COMED!$E37</f>
        <v>28.314668655395508</v>
      </c>
      <c r="H59" s="143">
        <f t="shared" si="103"/>
        <v>-0.25000018165225057</v>
      </c>
      <c r="I59" s="134">
        <f t="shared" si="104"/>
        <v>28.064668473743257</v>
      </c>
      <c r="J59" s="137">
        <f t="shared" ca="1" si="124"/>
        <v>105654.77989465842</v>
      </c>
      <c r="K59" s="140">
        <f t="shared" si="105"/>
        <v>0</v>
      </c>
      <c r="L59" s="140">
        <f t="shared" ca="1" si="106"/>
        <v>105654.77989465842</v>
      </c>
      <c r="M59" s="104"/>
      <c r="N59" s="124">
        <f t="shared" si="107"/>
        <v>37257</v>
      </c>
      <c r="O59" s="165">
        <v>25.25</v>
      </c>
      <c r="P59" s="165">
        <v>25.25</v>
      </c>
      <c r="Q59" s="162">
        <f t="shared" ref="Q59:Q76" si="133">AVERAGE(O59:P59)-G59</f>
        <v>-3.0646686553955078</v>
      </c>
      <c r="R59" s="288">
        <f>TradeSum!R15</f>
        <v>-0.25000018165225057</v>
      </c>
      <c r="S59" s="264">
        <f t="shared" si="108"/>
        <v>28.064668473743257</v>
      </c>
      <c r="T59" s="46">
        <f t="shared" si="125"/>
        <v>2002</v>
      </c>
      <c r="U59" s="45">
        <f t="shared" si="126"/>
        <v>3</v>
      </c>
      <c r="V59" s="191" t="str">
        <f t="shared" si="109"/>
        <v>Q3 2002</v>
      </c>
      <c r="W59" s="136">
        <f t="array" ref="W59">SUM(IF((INT((MONTH($A$56:$A$91)-1)/3)=U59-1)*(YEAR($A$56:$A$91)=T59),$I$56:$I$91*$DK$12:$DK$47))/SUM(IF((INT((MONTH($A$56:$A$91)-1)/3)=U59-1)*(YEAR($A$56:$A$91)=T59),$DK$12:$DK$47))</f>
        <v>45.382810711860657</v>
      </c>
      <c r="X59" s="190">
        <f t="array" ref="X59">AVERAGE(IF((INT((MONTH($A$56:$A$91)-1)/3)=U59-1)*(YEAR($A$56:$A$91)=T59),$I$56:$I$91))</f>
        <v>44.833331425984703</v>
      </c>
      <c r="Y59" s="198">
        <f t="shared" si="127"/>
        <v>18.866404461860654</v>
      </c>
      <c r="Z59" s="198">
        <f t="shared" si="132"/>
        <v>16.709555028020876</v>
      </c>
      <c r="AA59" s="198">
        <f t="shared" ref="AA59:AA66" si="134">W59-$W$14</f>
        <v>12.213515525640446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10"/>
        <v>37257</v>
      </c>
      <c r="AK59" s="781"/>
      <c r="AL59" s="778"/>
      <c r="AM59" s="781"/>
      <c r="AN59" s="778"/>
      <c r="AO59" s="781"/>
      <c r="AP59" s="778"/>
      <c r="AQ59" s="781"/>
      <c r="AR59" s="778"/>
      <c r="AS59" s="789"/>
      <c r="AT59" s="790"/>
      <c r="AU59" s="843"/>
      <c r="AV59" s="844"/>
      <c r="AW59" s="843"/>
      <c r="AX59" s="844"/>
      <c r="AY59" s="781"/>
      <c r="AZ59" s="2"/>
      <c r="BA59" s="781"/>
      <c r="BB59" s="778"/>
      <c r="BC59" s="781"/>
      <c r="BD59" s="778"/>
      <c r="BE59" s="781"/>
      <c r="BF59" s="778"/>
      <c r="BG59" s="781"/>
      <c r="BH59" s="778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11"/>
        <v>0</v>
      </c>
      <c r="BZ59" s="49">
        <f t="shared" si="112"/>
        <v>0</v>
      </c>
      <c r="CA59" s="50"/>
      <c r="CB59" s="51">
        <f t="shared" si="113"/>
        <v>37257</v>
      </c>
      <c r="CC59" s="50">
        <f t="shared" si="114"/>
        <v>0</v>
      </c>
      <c r="CD59" s="52">
        <f t="shared" si="115"/>
        <v>352</v>
      </c>
      <c r="CE59" s="50">
        <f t="shared" si="115"/>
        <v>0.9840771870806414</v>
      </c>
      <c r="CF59" s="53">
        <f t="shared" ca="1" si="116"/>
        <v>0</v>
      </c>
      <c r="CG59" s="53">
        <f t="shared" si="117"/>
        <v>0</v>
      </c>
      <c r="CH59" s="53">
        <f t="shared" si="118"/>
        <v>0</v>
      </c>
      <c r="CI59" s="53">
        <f t="shared" si="119"/>
        <v>0</v>
      </c>
      <c r="CJ59" s="25">
        <f t="shared" si="120"/>
        <v>0</v>
      </c>
      <c r="CM59" s="438">
        <f t="shared" ca="1" si="129"/>
        <v>0</v>
      </c>
      <c r="DJ59" s="54">
        <f>[5]Cinergy!$D81</f>
        <v>38596</v>
      </c>
      <c r="DK59" s="30">
        <f t="shared" si="99"/>
        <v>21</v>
      </c>
      <c r="DL59" s="254">
        <v>37165</v>
      </c>
      <c r="DM59" s="255">
        <v>23</v>
      </c>
      <c r="DP59" s="55">
        <f>[5]Cinergy!$D50</f>
        <v>37653</v>
      </c>
      <c r="DQ59" s="56">
        <f ca="1">[5]OPPD_NPPD!$O50+[5]NSP!$O50</f>
        <v>0</v>
      </c>
      <c r="DR59" s="56">
        <f ca="1">[5]COMED!$O50</f>
        <v>-226219.296875</v>
      </c>
      <c r="DS59" s="56">
        <f t="shared" ca="1" si="26"/>
        <v>-226219.296875</v>
      </c>
      <c r="DT59" s="56">
        <f ca="1">SUM([5]OPPD_NPPD!$P50:$R50)+SUM([5]NSP!$P50:$R50)</f>
        <v>0</v>
      </c>
      <c r="DU59" s="56">
        <f ca="1">SUM([5]COMED!$P50:$R50)</f>
        <v>0</v>
      </c>
      <c r="DV59" s="56">
        <f t="shared" ca="1" si="27"/>
        <v>0</v>
      </c>
      <c r="DW59" s="57"/>
      <c r="DX59" s="58">
        <f>[5]OtherPosn!$D50</f>
        <v>37530</v>
      </c>
      <c r="DY59" s="56">
        <f>[5]OtherPosn!$N50</f>
        <v>0</v>
      </c>
      <c r="DZ59" s="56">
        <f>SUM([5]OtherPosn!$O50:$P50)</f>
        <v>0</v>
      </c>
      <c r="EO59" s="54">
        <f t="shared" si="121"/>
        <v>37257</v>
      </c>
      <c r="EP59" s="449">
        <f t="shared" si="121"/>
        <v>22</v>
      </c>
      <c r="EQ59" s="297">
        <f t="shared" si="130"/>
        <v>555.5</v>
      </c>
      <c r="ER59" s="297">
        <f t="shared" si="131"/>
        <v>555.5</v>
      </c>
      <c r="ES59" s="25">
        <f t="shared" si="122"/>
        <v>0</v>
      </c>
      <c r="ET59" s="25">
        <f t="shared" si="122"/>
        <v>0</v>
      </c>
      <c r="EU59" s="25">
        <f t="shared" si="122"/>
        <v>0</v>
      </c>
    </row>
    <row r="60" spans="1:151" ht="18.75" thickBot="1" x14ac:dyDescent="0.3">
      <c r="A60" s="151">
        <f>[5]COMED!$D38</f>
        <v>37288</v>
      </c>
      <c r="B60" s="152">
        <f ca="1">[5]COMED!$O38</f>
        <v>-383171.78125</v>
      </c>
      <c r="C60" s="142">
        <f t="shared" ca="1" si="100"/>
        <v>-1220.0305873600678</v>
      </c>
      <c r="D60" s="141">
        <f t="shared" si="101"/>
        <v>0</v>
      </c>
      <c r="E60" s="142">
        <f t="shared" ca="1" si="102"/>
        <v>-383171.78125</v>
      </c>
      <c r="F60" s="171">
        <f t="shared" ca="1" si="123"/>
        <v>-1220.0305873600678</v>
      </c>
      <c r="G60" s="143">
        <f>[5]COMED!$E38</f>
        <v>27.966665267944336</v>
      </c>
      <c r="H60" s="143">
        <f t="shared" si="103"/>
        <v>-0.25000018165225057</v>
      </c>
      <c r="I60" s="174">
        <f t="shared" si="104"/>
        <v>27.716665086292085</v>
      </c>
      <c r="J60" s="152">
        <f t="shared" ca="1" si="124"/>
        <v>95793.014916516418</v>
      </c>
      <c r="K60" s="144">
        <f t="shared" si="105"/>
        <v>0</v>
      </c>
      <c r="L60" s="144">
        <f t="shared" ca="1" si="106"/>
        <v>95793.014916516418</v>
      </c>
      <c r="M60" s="104"/>
      <c r="N60" s="124">
        <f t="shared" si="107"/>
        <v>37288</v>
      </c>
      <c r="O60" s="165">
        <v>25.25</v>
      </c>
      <c r="P60" s="165">
        <v>25.25</v>
      </c>
      <c r="Q60" s="162">
        <f t="shared" si="133"/>
        <v>-2.7166652679443359</v>
      </c>
      <c r="R60" s="288">
        <f>TradeSum!R16</f>
        <v>-0.25000018165225057</v>
      </c>
      <c r="S60" s="264">
        <f t="shared" si="108"/>
        <v>27.716665086292085</v>
      </c>
      <c r="T60" s="46">
        <f t="shared" si="125"/>
        <v>2002</v>
      </c>
      <c r="U60" s="45">
        <f t="shared" si="126"/>
        <v>4</v>
      </c>
      <c r="V60" s="192" t="str">
        <f t="shared" si="109"/>
        <v>Q4 2002</v>
      </c>
      <c r="W60" s="136">
        <f t="array" ref="W60">SUM(IF((INT((MONTH($A$56:$A$91)-1)/3)=U60-1)*(YEAR($A$56:$A$91)=T60),$I$56:$I$91*$DK$12:$DK$47))/SUM(IF((INT((MONTH($A$56:$A$91)-1)/3)=U60-1)*(YEAR($A$56:$A$91)=T60),$DK$12:$DK$47))</f>
        <v>28.449997663497925</v>
      </c>
      <c r="X60" s="190">
        <f t="array" ref="X60">AVERAGE(IF((INT((MONTH($A$56:$A$91)-1)/3)=U60-1)*(YEAR($A$56:$A$91)=T60),$I$56:$I$91))</f>
        <v>28.456247637669247</v>
      </c>
      <c r="Y60" s="200">
        <f t="shared" si="127"/>
        <v>1.933591413497922</v>
      </c>
      <c r="Z60" s="200">
        <f t="shared" si="132"/>
        <v>-0.22325802034185571</v>
      </c>
      <c r="AA60" s="200">
        <f t="shared" si="134"/>
        <v>-4.719297522722286</v>
      </c>
      <c r="AB60" s="200">
        <f t="shared" ref="AB60:AB66" si="135">W60-$W$15</f>
        <v>-18.104689836502075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10"/>
        <v>37288</v>
      </c>
      <c r="AK60" s="781">
        <f t="shared" ref="AK60:AR60" si="136">+AK59</f>
        <v>0</v>
      </c>
      <c r="AL60" s="778">
        <f t="shared" si="136"/>
        <v>0</v>
      </c>
      <c r="AM60" s="781">
        <f t="shared" si="136"/>
        <v>0</v>
      </c>
      <c r="AN60" s="778">
        <f t="shared" si="136"/>
        <v>0</v>
      </c>
      <c r="AO60" s="781">
        <f t="shared" si="136"/>
        <v>0</v>
      </c>
      <c r="AP60" s="778">
        <f t="shared" si="136"/>
        <v>0</v>
      </c>
      <c r="AQ60" s="781">
        <f t="shared" si="136"/>
        <v>0</v>
      </c>
      <c r="AR60" s="778">
        <f t="shared" si="136"/>
        <v>0</v>
      </c>
      <c r="AS60" s="789"/>
      <c r="AT60" s="790"/>
      <c r="AU60" s="843">
        <f>+AU59</f>
        <v>0</v>
      </c>
      <c r="AV60" s="844">
        <f>+AV59</f>
        <v>0</v>
      </c>
      <c r="AW60" s="843">
        <f>+AW59</f>
        <v>0</v>
      </c>
      <c r="AX60" s="844">
        <f>+AX59</f>
        <v>0</v>
      </c>
      <c r="AY60" s="781"/>
      <c r="AZ60" s="778"/>
      <c r="BA60" s="781"/>
      <c r="BB60" s="778"/>
      <c r="BC60" s="781"/>
      <c r="BD60" s="778"/>
      <c r="BE60" s="781"/>
      <c r="BF60" s="778"/>
      <c r="BG60" s="781"/>
      <c r="BH60" s="778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11"/>
        <v>0</v>
      </c>
      <c r="BZ60" s="49">
        <f t="shared" si="112"/>
        <v>0</v>
      </c>
      <c r="CA60" s="50"/>
      <c r="CB60" s="51">
        <f t="shared" si="113"/>
        <v>37288</v>
      </c>
      <c r="CC60" s="50">
        <f t="shared" si="114"/>
        <v>0</v>
      </c>
      <c r="CD60" s="52">
        <f t="shared" si="115"/>
        <v>320</v>
      </c>
      <c r="CE60" s="50">
        <f t="shared" si="115"/>
        <v>0.98146048862368218</v>
      </c>
      <c r="CF60" s="53">
        <f t="shared" ca="1" si="116"/>
        <v>0</v>
      </c>
      <c r="CG60" s="53">
        <f t="shared" si="117"/>
        <v>0</v>
      </c>
      <c r="CH60" s="53">
        <f t="shared" si="118"/>
        <v>0</v>
      </c>
      <c r="CI60" s="53">
        <f t="shared" si="119"/>
        <v>0</v>
      </c>
      <c r="CJ60" s="25">
        <f t="shared" si="120"/>
        <v>0</v>
      </c>
      <c r="CM60" s="438">
        <f t="shared" ca="1" si="129"/>
        <v>0</v>
      </c>
      <c r="DJ60" s="54">
        <f>[5]Cinergy!$D82</f>
        <v>38626</v>
      </c>
      <c r="DK60" s="30">
        <f t="shared" si="99"/>
        <v>21</v>
      </c>
      <c r="DL60" s="254">
        <v>37196</v>
      </c>
      <c r="DM60" s="255">
        <v>21</v>
      </c>
      <c r="DP60" s="55">
        <f>[5]Cinergy!$D51</f>
        <v>37681</v>
      </c>
      <c r="DQ60" s="56">
        <f ca="1">[5]OPPD_NPPD!$O51+[5]NSP!$O51</f>
        <v>0</v>
      </c>
      <c r="DR60" s="56">
        <f ca="1">[5]COMED!$O51</f>
        <v>-189259.765625</v>
      </c>
      <c r="DS60" s="56">
        <f t="shared" ca="1" si="26"/>
        <v>-189259.765625</v>
      </c>
      <c r="DT60" s="56">
        <f ca="1">SUM([5]OPPD_NPPD!$P51:$R51)+SUM([5]NSP!$P51:$R51)</f>
        <v>0</v>
      </c>
      <c r="DU60" s="56">
        <f ca="1">SUM([5]COMED!$P51:$R51)</f>
        <v>0</v>
      </c>
      <c r="DV60" s="56">
        <f t="shared" ca="1" si="27"/>
        <v>0</v>
      </c>
      <c r="DW60" s="57"/>
      <c r="DX60" s="58">
        <f>[5]OtherPosn!$D51</f>
        <v>37561</v>
      </c>
      <c r="DY60" s="56">
        <f>[5]OtherPosn!$N51</f>
        <v>0</v>
      </c>
      <c r="DZ60" s="56">
        <f>SUM([5]OtherPosn!$O51:$P51)</f>
        <v>0</v>
      </c>
      <c r="EO60" s="54">
        <f t="shared" si="121"/>
        <v>37288</v>
      </c>
      <c r="EP60" s="449">
        <f t="shared" si="121"/>
        <v>20</v>
      </c>
      <c r="EQ60" s="297">
        <f t="shared" si="130"/>
        <v>505</v>
      </c>
      <c r="ER60" s="297">
        <f t="shared" si="131"/>
        <v>505</v>
      </c>
      <c r="ES60" s="25">
        <f t="shared" si="122"/>
        <v>0</v>
      </c>
      <c r="ET60" s="25">
        <f t="shared" si="122"/>
        <v>0</v>
      </c>
      <c r="EU60" s="25">
        <f t="shared" si="122"/>
        <v>0</v>
      </c>
    </row>
    <row r="61" spans="1:151" ht="21" customHeight="1" thickBot="1" x14ac:dyDescent="0.3">
      <c r="A61" s="153">
        <f>[5]COMED!$D39</f>
        <v>37316</v>
      </c>
      <c r="B61" s="154">
        <f ca="1">[5]COMED!$O39</f>
        <v>-55894.4921875</v>
      </c>
      <c r="C61" s="138">
        <f t="shared" ca="1" si="100"/>
        <v>-169.99491430145073</v>
      </c>
      <c r="D61" s="138">
        <f t="shared" si="101"/>
        <v>0</v>
      </c>
      <c r="E61" s="137">
        <f t="shared" ca="1" si="102"/>
        <v>-55894.4921875</v>
      </c>
      <c r="F61" s="172">
        <f t="shared" ca="1" si="123"/>
        <v>-169.99491430145073</v>
      </c>
      <c r="G61" s="139">
        <f>[5]COMED!$E39</f>
        <v>26.669771194458008</v>
      </c>
      <c r="H61" s="143">
        <f t="shared" si="103"/>
        <v>-0.25000070971112009</v>
      </c>
      <c r="I61" s="134">
        <f t="shared" si="104"/>
        <v>26.419770484746888</v>
      </c>
      <c r="J61" s="137">
        <f t="shared" ca="1" si="124"/>
        <v>13973.662715817658</v>
      </c>
      <c r="K61" s="140">
        <f t="shared" si="105"/>
        <v>0</v>
      </c>
      <c r="L61" s="140">
        <f t="shared" ca="1" si="106"/>
        <v>13973.662715817658</v>
      </c>
      <c r="M61" s="104"/>
      <c r="N61" s="124">
        <f t="shared" si="107"/>
        <v>37316</v>
      </c>
      <c r="O61" s="165">
        <v>30.5</v>
      </c>
      <c r="P61" s="165">
        <v>30.5</v>
      </c>
      <c r="Q61" s="162">
        <f t="shared" si="133"/>
        <v>3.8302288055419922</v>
      </c>
      <c r="R61" s="288">
        <f>TradeSum!R17</f>
        <v>-0.25000070971112009</v>
      </c>
      <c r="S61" s="264">
        <f t="shared" si="108"/>
        <v>26.419770484746888</v>
      </c>
      <c r="T61" s="46">
        <f t="shared" si="125"/>
        <v>2003</v>
      </c>
      <c r="U61" s="45">
        <f t="shared" si="126"/>
        <v>1</v>
      </c>
      <c r="V61" s="191" t="str">
        <f t="shared" si="109"/>
        <v>Q1 2003</v>
      </c>
      <c r="W61" s="136">
        <f t="array" ref="W61">SUM(IF((INT((MONTH($A$56:$A$91)-1)/3)=U61-1)*(YEAR($A$56:$A$91)=T61),$I$56:$I$91*$DK$12:$DK$47))/SUM(IF((INT((MONTH($A$56:$A$91)-1)/3)=U61-1)*(YEAR($A$56:$A$91)=T61),$DK$12:$DK$47))</f>
        <v>28.631856952130729</v>
      </c>
      <c r="X61" s="190">
        <f t="array" ref="X61">AVERAGE(IF((INT((MONTH($A$56:$A$91)-1)/3)=U61-1)*(YEAR($A$56:$A$91)=T61),$I$56:$I$91))</f>
        <v>28.622364653217346</v>
      </c>
      <c r="Y61" s="198">
        <f t="shared" si="127"/>
        <v>2.1154507021307261</v>
      </c>
      <c r="Z61" s="198">
        <f t="shared" si="132"/>
        <v>-4.1398731709051617E-2</v>
      </c>
      <c r="AA61" s="198">
        <f t="shared" si="134"/>
        <v>-4.5374382340894819</v>
      </c>
      <c r="AB61" s="198">
        <f t="shared" si="135"/>
        <v>-17.922830547869271</v>
      </c>
      <c r="AC61" s="198">
        <f t="shared" ref="AC61:AC66" si="137">W61-$W$16</f>
        <v>-0.3681430478692711</v>
      </c>
      <c r="AD61" s="199">
        <v>0</v>
      </c>
      <c r="AE61" s="197"/>
      <c r="AF61" s="197"/>
      <c r="AG61" s="197"/>
      <c r="AH61" s="197"/>
      <c r="AI61" s="197"/>
      <c r="AJ61" s="47">
        <f t="shared" si="110"/>
        <v>37316</v>
      </c>
      <c r="AK61" s="781"/>
      <c r="AL61" s="778"/>
      <c r="AM61" s="781"/>
      <c r="AN61" s="778"/>
      <c r="AO61" s="781"/>
      <c r="AP61" s="778"/>
      <c r="AQ61" s="781"/>
      <c r="AR61" s="778"/>
      <c r="AS61" s="789"/>
      <c r="AT61" s="790"/>
      <c r="AU61" s="843">
        <f t="shared" ref="AU61:AU70" si="138">+AU60</f>
        <v>0</v>
      </c>
      <c r="AV61" s="844">
        <f t="shared" ref="AV61:AV70" si="139">+AV60</f>
        <v>0</v>
      </c>
      <c r="AW61" s="843">
        <f t="shared" ref="AW61:AW70" si="140">+AW60</f>
        <v>0</v>
      </c>
      <c r="AX61" s="844">
        <f t="shared" ref="AX61:AX70" si="141">+AX60</f>
        <v>0</v>
      </c>
      <c r="AY61" s="843"/>
      <c r="AZ61" s="844"/>
      <c r="BA61" s="843"/>
      <c r="BB61" s="844"/>
      <c r="BC61" s="781"/>
      <c r="BD61" s="778"/>
      <c r="BE61" s="781"/>
      <c r="BF61" s="778"/>
      <c r="BG61" s="781"/>
      <c r="BH61" s="778"/>
      <c r="BI61" s="78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11"/>
        <v>0</v>
      </c>
      <c r="BZ61" s="49">
        <f t="shared" si="112"/>
        <v>0</v>
      </c>
      <c r="CA61" s="50"/>
      <c r="CB61" s="51">
        <f t="shared" si="113"/>
        <v>37316</v>
      </c>
      <c r="CC61" s="50">
        <f t="shared" si="114"/>
        <v>0</v>
      </c>
      <c r="CD61" s="52">
        <f t="shared" si="115"/>
        <v>336</v>
      </c>
      <c r="CE61" s="50">
        <f t="shared" si="115"/>
        <v>0.97857430619923447</v>
      </c>
      <c r="CF61" s="53">
        <f t="shared" ca="1" si="116"/>
        <v>0</v>
      </c>
      <c r="CG61" s="53">
        <f t="shared" si="117"/>
        <v>0</v>
      </c>
      <c r="CH61" s="53">
        <f t="shared" si="118"/>
        <v>0</v>
      </c>
      <c r="CI61" s="53">
        <f t="shared" si="119"/>
        <v>0</v>
      </c>
      <c r="CJ61" s="25">
        <f t="shared" si="120"/>
        <v>0</v>
      </c>
      <c r="CM61" s="438">
        <f t="shared" ca="1" si="129"/>
        <v>0</v>
      </c>
      <c r="DJ61" s="54">
        <f>[5]Cinergy!$D83</f>
        <v>38657</v>
      </c>
      <c r="DK61" s="30">
        <f t="shared" si="99"/>
        <v>21</v>
      </c>
      <c r="DL61" s="254">
        <v>37226</v>
      </c>
      <c r="DM61" s="255">
        <v>20</v>
      </c>
      <c r="DP61" s="55">
        <f>[5]Cinergy!$D52</f>
        <v>37712</v>
      </c>
      <c r="DQ61" s="56">
        <f ca="1">[5]OPPD_NPPD!$O52+[5]NSP!$O52</f>
        <v>0</v>
      </c>
      <c r="DR61" s="56">
        <f ca="1">[5]COMED!$O52</f>
        <v>-197487.5625</v>
      </c>
      <c r="DS61" s="56">
        <f t="shared" ca="1" si="26"/>
        <v>-197487.5625</v>
      </c>
      <c r="DT61" s="56">
        <f ca="1">SUM([5]OPPD_NPPD!$P52:$R52)+SUM([5]NSP!$P52:$R52)</f>
        <v>0</v>
      </c>
      <c r="DU61" s="56">
        <f ca="1">SUM([5]COMED!$P52:$R52)</f>
        <v>0</v>
      </c>
      <c r="DV61" s="56">
        <f t="shared" ca="1" si="27"/>
        <v>0</v>
      </c>
      <c r="DW61" s="57"/>
      <c r="DX61" s="58">
        <f>[5]OtherPosn!$D52</f>
        <v>37591</v>
      </c>
      <c r="DY61" s="56">
        <f>[5]OtherPosn!$N52</f>
        <v>0</v>
      </c>
      <c r="DZ61" s="56">
        <f>SUM([5]OtherPosn!$O52:$P52)</f>
        <v>0</v>
      </c>
      <c r="EO61" s="54">
        <f t="shared" si="121"/>
        <v>37316</v>
      </c>
      <c r="EP61" s="449">
        <f t="shared" si="121"/>
        <v>21</v>
      </c>
      <c r="EQ61" s="297">
        <f t="shared" si="130"/>
        <v>530.25</v>
      </c>
      <c r="ER61" s="297">
        <f t="shared" si="131"/>
        <v>530.25</v>
      </c>
      <c r="ES61" s="25">
        <f t="shared" si="122"/>
        <v>0</v>
      </c>
      <c r="ET61" s="25">
        <f t="shared" si="122"/>
        <v>0</v>
      </c>
      <c r="EU61" s="25">
        <f t="shared" si="122"/>
        <v>0</v>
      </c>
    </row>
    <row r="62" spans="1:151" ht="18.75" thickBot="1" x14ac:dyDescent="0.3">
      <c r="A62" s="151">
        <f>[5]COMED!$D40</f>
        <v>37347</v>
      </c>
      <c r="B62" s="152">
        <f ca="1">[5]COMED!$O40</f>
        <v>-58384.8203125</v>
      </c>
      <c r="C62" s="142">
        <f t="shared" ca="1" si="100"/>
        <v>-169.98586109684334</v>
      </c>
      <c r="D62" s="141">
        <f t="shared" si="101"/>
        <v>0</v>
      </c>
      <c r="E62" s="142">
        <f t="shared" ca="1" si="102"/>
        <v>-58384.8203125</v>
      </c>
      <c r="F62" s="171">
        <f t="shared" ca="1" si="123"/>
        <v>-169.98586109684334</v>
      </c>
      <c r="G62" s="143">
        <f>[5]COMED!$E40</f>
        <v>27.119768142700195</v>
      </c>
      <c r="H62" s="143">
        <f t="shared" si="103"/>
        <v>-0.25000070971112009</v>
      </c>
      <c r="I62" s="174">
        <f t="shared" si="104"/>
        <v>26.869767432989075</v>
      </c>
      <c r="J62" s="152">
        <f t="shared" ca="1" si="124"/>
        <v>14596.246514481221</v>
      </c>
      <c r="K62" s="144">
        <f t="shared" si="105"/>
        <v>0</v>
      </c>
      <c r="L62" s="144">
        <f t="shared" ca="1" si="106"/>
        <v>14596.246514481221</v>
      </c>
      <c r="M62" s="104"/>
      <c r="N62" s="124">
        <f t="shared" si="107"/>
        <v>37347</v>
      </c>
      <c r="O62" s="165">
        <v>28.5</v>
      </c>
      <c r="P62" s="165">
        <v>28.5</v>
      </c>
      <c r="Q62" s="162">
        <f t="shared" si="133"/>
        <v>1.3802318572998047</v>
      </c>
      <c r="R62" s="288">
        <f>TradeSum!R18</f>
        <v>-0.25000070971112009</v>
      </c>
      <c r="S62" s="264">
        <f t="shared" si="108"/>
        <v>26.869767432989075</v>
      </c>
      <c r="T62" s="46">
        <f t="shared" si="125"/>
        <v>2003</v>
      </c>
      <c r="U62" s="45">
        <f t="shared" si="126"/>
        <v>2</v>
      </c>
      <c r="V62" s="192" t="str">
        <f t="shared" si="109"/>
        <v>Q2 2003</v>
      </c>
      <c r="W62" s="136">
        <f t="array" ref="W62">SUM(IF((INT((MONTH($A$56:$A$91)-1)/3)=U62-1)*(YEAR($A$56:$A$91)=T62),$I$56:$I$91*$DK$12:$DK$47))/SUM(IF((INT((MONTH($A$56:$A$91)-1)/3)=U62-1)*(YEAR($A$56:$A$91)=T62),$DK$12:$DK$47))</f>
        <v>32.0730298424876</v>
      </c>
      <c r="X62" s="190">
        <f t="array" ref="X62">AVERAGE(IF((INT((MONTH($A$56:$A$91)-1)/3)=U62-1)*(YEAR($A$56:$A$91)=T62),$I$56:$I$91))</f>
        <v>32.140892516734986</v>
      </c>
      <c r="Y62" s="200">
        <f t="shared" si="127"/>
        <v>5.5566235924875969</v>
      </c>
      <c r="Z62" s="200">
        <f t="shared" si="132"/>
        <v>3.3997741586478192</v>
      </c>
      <c r="AA62" s="200">
        <f t="shared" si="134"/>
        <v>-1.0962653437326111</v>
      </c>
      <c r="AB62" s="200">
        <f t="shared" si="135"/>
        <v>-14.4816576575124</v>
      </c>
      <c r="AC62" s="200">
        <f t="shared" si="137"/>
        <v>3.0730298424875997</v>
      </c>
      <c r="AD62" s="200">
        <f>W62-$W$17</f>
        <v>2.6071371985960354</v>
      </c>
      <c r="AE62" s="196">
        <v>0</v>
      </c>
      <c r="AF62" s="197"/>
      <c r="AG62" s="197"/>
      <c r="AH62" s="197"/>
      <c r="AI62" s="197"/>
      <c r="AJ62" s="47">
        <f t="shared" si="110"/>
        <v>37347</v>
      </c>
      <c r="AK62" s="781">
        <f t="shared" ref="AK62:AR62" si="142">+AK61</f>
        <v>0</v>
      </c>
      <c r="AL62" s="778">
        <f t="shared" si="142"/>
        <v>0</v>
      </c>
      <c r="AM62" s="781">
        <f t="shared" si="142"/>
        <v>0</v>
      </c>
      <c r="AN62" s="778">
        <f t="shared" si="142"/>
        <v>0</v>
      </c>
      <c r="AO62" s="781">
        <f t="shared" si="142"/>
        <v>0</v>
      </c>
      <c r="AP62" s="778">
        <f t="shared" si="142"/>
        <v>0</v>
      </c>
      <c r="AQ62" s="781">
        <f t="shared" si="142"/>
        <v>0</v>
      </c>
      <c r="AR62" s="778">
        <f t="shared" si="142"/>
        <v>0</v>
      </c>
      <c r="AS62" s="789"/>
      <c r="AT62" s="790"/>
      <c r="AU62" s="843">
        <f t="shared" si="138"/>
        <v>0</v>
      </c>
      <c r="AV62" s="844">
        <f t="shared" si="139"/>
        <v>0</v>
      </c>
      <c r="AW62" s="843">
        <f t="shared" si="140"/>
        <v>0</v>
      </c>
      <c r="AX62" s="844">
        <f t="shared" si="141"/>
        <v>0</v>
      </c>
      <c r="AY62" s="843"/>
      <c r="AZ62" s="844"/>
      <c r="BA62" s="843"/>
      <c r="BB62" s="844"/>
      <c r="BC62" s="781"/>
      <c r="BD62" s="778"/>
      <c r="BE62" s="781"/>
      <c r="BF62" s="778"/>
      <c r="BG62" s="781"/>
      <c r="BH62" s="778"/>
      <c r="BI62" s="78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11"/>
        <v>0</v>
      </c>
      <c r="BZ62" s="49">
        <f t="shared" si="112"/>
        <v>0</v>
      </c>
      <c r="CA62" s="50"/>
      <c r="CB62" s="51">
        <f t="shared" si="113"/>
        <v>37347</v>
      </c>
      <c r="CC62" s="50">
        <f t="shared" si="114"/>
        <v>0</v>
      </c>
      <c r="CD62" s="52">
        <f t="shared" si="115"/>
        <v>352</v>
      </c>
      <c r="CE62" s="50">
        <f t="shared" si="115"/>
        <v>0.97576331188144427</v>
      </c>
      <c r="CF62" s="53">
        <f t="shared" ca="1" si="116"/>
        <v>0</v>
      </c>
      <c r="CG62" s="53">
        <f t="shared" si="117"/>
        <v>0</v>
      </c>
      <c r="CH62" s="53">
        <f t="shared" si="118"/>
        <v>0</v>
      </c>
      <c r="CI62" s="53">
        <f t="shared" si="119"/>
        <v>0</v>
      </c>
      <c r="CJ62" s="25">
        <f t="shared" si="120"/>
        <v>0</v>
      </c>
      <c r="CM62" s="438">
        <f t="shared" ca="1" si="129"/>
        <v>0</v>
      </c>
      <c r="DJ62" s="54">
        <f>[5]Cinergy!$D84</f>
        <v>38687</v>
      </c>
      <c r="DK62" s="30">
        <f t="shared" si="99"/>
        <v>22</v>
      </c>
      <c r="DL62" s="254">
        <v>37257</v>
      </c>
      <c r="DM62" s="255">
        <v>22</v>
      </c>
      <c r="DP62" s="55">
        <f>[5]Cinergy!$D53</f>
        <v>37742</v>
      </c>
      <c r="DQ62" s="56">
        <f ca="1">[5]OPPD_NPPD!$O53+[5]NSP!$O53</f>
        <v>0</v>
      </c>
      <c r="DR62" s="56">
        <f ca="1">[5]COMED!$O53</f>
        <v>-187725.765625</v>
      </c>
      <c r="DS62" s="56">
        <f t="shared" ca="1" si="26"/>
        <v>-187725.765625</v>
      </c>
      <c r="DT62" s="56">
        <f ca="1">SUM([5]OPPD_NPPD!$P53:$R53)+SUM([5]NSP!$P53:$R53)</f>
        <v>0</v>
      </c>
      <c r="DU62" s="56">
        <f ca="1">SUM([5]COMED!$P53:$R53)</f>
        <v>-372.47177124023438</v>
      </c>
      <c r="DV62" s="56">
        <f t="shared" ca="1" si="27"/>
        <v>-372.47177124023438</v>
      </c>
      <c r="DW62" s="57"/>
      <c r="DX62" s="58">
        <f>[5]OtherPosn!$D53</f>
        <v>37622</v>
      </c>
      <c r="DY62" s="56">
        <f>[5]OtherPosn!$N53</f>
        <v>-16649.09765625</v>
      </c>
      <c r="DZ62" s="56">
        <f>SUM([5]OtherPosn!$O53:$P53)</f>
        <v>0</v>
      </c>
      <c r="EO62" s="54">
        <f t="shared" si="121"/>
        <v>37347</v>
      </c>
      <c r="EP62" s="449">
        <f t="shared" si="121"/>
        <v>22</v>
      </c>
      <c r="EQ62" s="297">
        <f t="shared" si="130"/>
        <v>671</v>
      </c>
      <c r="ER62" s="297">
        <f t="shared" si="131"/>
        <v>671</v>
      </c>
      <c r="ES62" s="25">
        <f t="shared" si="122"/>
        <v>0</v>
      </c>
      <c r="ET62" s="25">
        <f t="shared" si="122"/>
        <v>0</v>
      </c>
      <c r="EU62" s="25">
        <f t="shared" si="122"/>
        <v>0</v>
      </c>
    </row>
    <row r="63" spans="1:151" ht="18.75" thickBot="1" x14ac:dyDescent="0.3">
      <c r="A63" s="153">
        <f>[5]COMED!$D41</f>
        <v>37377</v>
      </c>
      <c r="B63" s="154">
        <f ca="1">[5]COMED!$O41</f>
        <v>-143801.96875</v>
      </c>
      <c r="C63" s="138">
        <f t="shared" ca="1" si="100"/>
        <v>-419.94537069038313</v>
      </c>
      <c r="D63" s="138">
        <f t="shared" si="101"/>
        <v>0</v>
      </c>
      <c r="E63" s="137">
        <f t="shared" ca="1" si="102"/>
        <v>-143801.96875</v>
      </c>
      <c r="F63" s="172">
        <f t="shared" ca="1" si="123"/>
        <v>-419.94537069038313</v>
      </c>
      <c r="G63" s="139">
        <f>[5]COMED!$E41</f>
        <v>30.599996566772461</v>
      </c>
      <c r="H63" s="143">
        <f t="shared" si="103"/>
        <v>0</v>
      </c>
      <c r="I63" s="134">
        <f t="shared" si="104"/>
        <v>30.599996566772461</v>
      </c>
      <c r="J63" s="137">
        <f t="shared" ca="1" si="124"/>
        <v>0</v>
      </c>
      <c r="K63" s="140">
        <f t="shared" si="105"/>
        <v>0</v>
      </c>
      <c r="L63" s="140">
        <f t="shared" ca="1" si="106"/>
        <v>0</v>
      </c>
      <c r="M63" s="133"/>
      <c r="N63" s="124">
        <f t="shared" si="107"/>
        <v>37377</v>
      </c>
      <c r="O63" s="165">
        <v>26</v>
      </c>
      <c r="P63" s="165">
        <v>26</v>
      </c>
      <c r="Q63" s="162">
        <f t="shared" si="133"/>
        <v>-4.5999965667724609</v>
      </c>
      <c r="R63" s="288">
        <f>TradeSum!R19</f>
        <v>0</v>
      </c>
      <c r="S63" s="264">
        <f t="shared" si="108"/>
        <v>30.599996566772461</v>
      </c>
      <c r="T63" s="46">
        <f t="shared" si="125"/>
        <v>2003</v>
      </c>
      <c r="U63" s="45">
        <f t="shared" si="126"/>
        <v>3</v>
      </c>
      <c r="V63" s="191" t="str">
        <f t="shared" si="109"/>
        <v>Q3 2003</v>
      </c>
      <c r="W63" s="136">
        <f t="array" ref="W63">SUM(IF((INT((MONTH($A$56:$A$91)-1)/3)=U63-1)*(YEAR($A$56:$A$91)=T63),$I$56:$I$91*$DK$12:$DK$47))/SUM(IF((INT((MONTH($A$56:$A$91)-1)/3)=U63-1)*(YEAR($A$56:$A$91)=T63),$DK$12:$DK$47))</f>
        <v>41.746482998132706</v>
      </c>
      <c r="X63" s="190">
        <f t="array" ref="X63">AVERAGE(IF((INT((MONTH($A$56:$A$91)-1)/3)=U63-1)*(YEAR($A$56:$A$91)=T63),$I$56:$I$91))</f>
        <v>41.633331934611</v>
      </c>
      <c r="Y63" s="198">
        <f t="shared" si="127"/>
        <v>15.230076748132703</v>
      </c>
      <c r="Z63" s="198">
        <f t="shared" si="132"/>
        <v>13.073227314292925</v>
      </c>
      <c r="AA63" s="198">
        <f t="shared" si="134"/>
        <v>8.5771878119124949</v>
      </c>
      <c r="AB63" s="198">
        <f t="shared" si="135"/>
        <v>-4.8082045018672943</v>
      </c>
      <c r="AC63" s="198">
        <f t="shared" si="137"/>
        <v>12.746482998132706</v>
      </c>
      <c r="AD63" s="198">
        <f>W63-$W$17</f>
        <v>12.280590354241141</v>
      </c>
      <c r="AE63" s="198">
        <f>W63-$W$18</f>
        <v>8.8242366944634654</v>
      </c>
      <c r="AF63" s="199">
        <v>0</v>
      </c>
      <c r="AG63" s="197"/>
      <c r="AH63" s="197"/>
      <c r="AI63" s="197"/>
      <c r="AJ63" s="47">
        <f t="shared" si="110"/>
        <v>37377</v>
      </c>
      <c r="AK63" s="781"/>
      <c r="AL63" s="778"/>
      <c r="AM63" s="781"/>
      <c r="AN63" s="778"/>
      <c r="AO63" s="781"/>
      <c r="AP63" s="778"/>
      <c r="AQ63" s="781"/>
      <c r="AR63" s="778"/>
      <c r="AS63" s="789"/>
      <c r="AT63" s="790"/>
      <c r="AU63" s="843">
        <f t="shared" si="138"/>
        <v>0</v>
      </c>
      <c r="AV63" s="844">
        <f t="shared" si="139"/>
        <v>0</v>
      </c>
      <c r="AW63" s="843">
        <f t="shared" si="140"/>
        <v>0</v>
      </c>
      <c r="AX63" s="844">
        <f t="shared" si="141"/>
        <v>0</v>
      </c>
      <c r="AY63" s="843"/>
      <c r="AZ63" s="844"/>
      <c r="BA63" s="843"/>
      <c r="BB63" s="844"/>
      <c r="BC63" s="781"/>
      <c r="BD63" s="778"/>
      <c r="BE63" s="781"/>
      <c r="BF63" s="778"/>
      <c r="BG63" s="781"/>
      <c r="BH63" s="778"/>
      <c r="BI63" s="78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11"/>
        <v>0</v>
      </c>
      <c r="BZ63" s="49">
        <f t="shared" si="112"/>
        <v>0</v>
      </c>
      <c r="CA63" s="50"/>
      <c r="CB63" s="51">
        <f t="shared" si="113"/>
        <v>37377</v>
      </c>
      <c r="CC63" s="50">
        <f t="shared" si="114"/>
        <v>0</v>
      </c>
      <c r="CD63" s="52">
        <f t="shared" si="115"/>
        <v>352</v>
      </c>
      <c r="CE63" s="50">
        <f t="shared" si="115"/>
        <v>0.97281301051345392</v>
      </c>
      <c r="CF63" s="53">
        <f t="shared" ca="1" si="116"/>
        <v>0</v>
      </c>
      <c r="CG63" s="53">
        <f t="shared" si="117"/>
        <v>0</v>
      </c>
      <c r="CH63" s="53">
        <f t="shared" si="118"/>
        <v>0</v>
      </c>
      <c r="CI63" s="53">
        <f t="shared" si="119"/>
        <v>0</v>
      </c>
      <c r="CJ63" s="25">
        <f t="shared" si="120"/>
        <v>0</v>
      </c>
      <c r="CM63" s="438">
        <f t="shared" ca="1" si="129"/>
        <v>0</v>
      </c>
      <c r="DJ63" s="54">
        <f>[5]Cinergy!$D85</f>
        <v>38718</v>
      </c>
      <c r="DK63" s="30">
        <f t="shared" ref="DK63:DK114" si="143">VLOOKUP(DJ63,DL63:DM304,2)</f>
        <v>22</v>
      </c>
      <c r="DL63" s="254">
        <v>37288</v>
      </c>
      <c r="DM63" s="255">
        <v>20</v>
      </c>
      <c r="DP63" s="55">
        <f>[5]Cinergy!$D54</f>
        <v>37773</v>
      </c>
      <c r="DQ63" s="56">
        <f ca="1">[5]OPPD_NPPD!$O54+[5]NSP!$O54</f>
        <v>0</v>
      </c>
      <c r="DR63" s="56">
        <f ca="1">[5]COMED!$O54</f>
        <v>-186955.484375</v>
      </c>
      <c r="DS63" s="56">
        <f t="shared" ca="1" si="26"/>
        <v>-186955.484375</v>
      </c>
      <c r="DT63" s="56">
        <f ca="1">SUM([5]OPPD_NPPD!$P54:$R54)+SUM([5]NSP!$P54:$R54)</f>
        <v>0</v>
      </c>
      <c r="DU63" s="56">
        <f ca="1">SUM([5]COMED!$P54:$R54)</f>
        <v>0</v>
      </c>
      <c r="DV63" s="56">
        <f t="shared" ca="1" si="27"/>
        <v>0</v>
      </c>
      <c r="DW63" s="57"/>
      <c r="DX63" s="58">
        <f>[5]OtherPosn!$D54</f>
        <v>37653</v>
      </c>
      <c r="DY63" s="56">
        <f>[5]OtherPosn!$N54</f>
        <v>-15081.2861328125</v>
      </c>
      <c r="DZ63" s="56">
        <f>SUM([5]OtherPosn!$O54:$P54)</f>
        <v>0</v>
      </c>
      <c r="EO63" s="54">
        <f t="shared" si="121"/>
        <v>37377</v>
      </c>
      <c r="EP63" s="449">
        <f t="shared" si="121"/>
        <v>22</v>
      </c>
      <c r="EQ63" s="297">
        <f t="shared" si="130"/>
        <v>627</v>
      </c>
      <c r="ER63" s="297">
        <f t="shared" si="131"/>
        <v>627</v>
      </c>
      <c r="ES63" s="25">
        <f t="shared" si="122"/>
        <v>0</v>
      </c>
      <c r="ET63" s="25">
        <f t="shared" si="122"/>
        <v>0</v>
      </c>
      <c r="EU63" s="25">
        <f t="shared" si="122"/>
        <v>0</v>
      </c>
    </row>
    <row r="64" spans="1:151" ht="18.75" thickBot="1" x14ac:dyDescent="0.3">
      <c r="A64" s="151">
        <f>[5]COMED!$D42</f>
        <v>37408</v>
      </c>
      <c r="B64" s="152">
        <f ca="1">[5]COMED!$O42</f>
        <v>-62060.53515625</v>
      </c>
      <c r="C64" s="142">
        <f t="shared" ca="1" si="100"/>
        <v>-199.94739734698939</v>
      </c>
      <c r="D64" s="141">
        <f t="shared" si="101"/>
        <v>0</v>
      </c>
      <c r="E64" s="142">
        <f t="shared" ca="1" si="102"/>
        <v>-62060.53515625</v>
      </c>
      <c r="F64" s="171">
        <f t="shared" ca="1" si="123"/>
        <v>-199.94739734698939</v>
      </c>
      <c r="G64" s="143">
        <f>[5]COMED!$E42</f>
        <v>40.375</v>
      </c>
      <c r="H64" s="143">
        <f t="shared" si="103"/>
        <v>-0.375</v>
      </c>
      <c r="I64" s="174">
        <f t="shared" si="104"/>
        <v>40</v>
      </c>
      <c r="J64" s="152">
        <f t="shared" ca="1" si="124"/>
        <v>23272.70068359375</v>
      </c>
      <c r="K64" s="144">
        <f t="shared" si="105"/>
        <v>0</v>
      </c>
      <c r="L64" s="144">
        <f t="shared" ca="1" si="106"/>
        <v>23272.70068359375</v>
      </c>
      <c r="M64" s="104"/>
      <c r="N64" s="124">
        <f t="shared" si="107"/>
        <v>37408</v>
      </c>
      <c r="O64" s="165">
        <v>26</v>
      </c>
      <c r="P64" s="165">
        <v>26</v>
      </c>
      <c r="Q64" s="162">
        <f t="shared" si="133"/>
        <v>-14.375</v>
      </c>
      <c r="R64" s="288">
        <f>TradeSum!R20</f>
        <v>-0.375</v>
      </c>
      <c r="S64" s="264">
        <f t="shared" si="108"/>
        <v>40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33.396885224884635</v>
      </c>
      <c r="X64" s="190">
        <f t="array" ref="X64">AVERAGE(IF((YEAR($A$56:$A$91)=T64),$I$56:$I$91))</f>
        <v>33.2949671029588</v>
      </c>
      <c r="Y64" s="200">
        <f t="shared" si="127"/>
        <v>6.8804789748846318</v>
      </c>
      <c r="Z64" s="200">
        <f t="shared" si="132"/>
        <v>4.7236295410448541</v>
      </c>
      <c r="AA64" s="200">
        <f t="shared" si="134"/>
        <v>0.22759003866442384</v>
      </c>
      <c r="AB64" s="200">
        <f t="shared" si="135"/>
        <v>-13.157802275115365</v>
      </c>
      <c r="AC64" s="200">
        <f t="shared" si="137"/>
        <v>4.3968852248846346</v>
      </c>
      <c r="AD64" s="200">
        <f>W64-$W$17</f>
        <v>3.9309925809930704</v>
      </c>
      <c r="AE64" s="200">
        <f>W64-$W$18</f>
        <v>0.4746389212153943</v>
      </c>
      <c r="AF64" s="200">
        <f>W64-$W$19</f>
        <v>-9.2144429001153654</v>
      </c>
      <c r="AG64" s="196">
        <v>0</v>
      </c>
      <c r="AH64" s="201"/>
      <c r="AI64" s="197"/>
      <c r="AJ64" s="47">
        <f t="shared" si="110"/>
        <v>37408</v>
      </c>
      <c r="AK64" s="781"/>
      <c r="AL64" s="778"/>
      <c r="AM64" s="781"/>
      <c r="AN64" s="778"/>
      <c r="AO64" s="781"/>
      <c r="AP64" s="778"/>
      <c r="AQ64" s="781"/>
      <c r="AR64" s="778"/>
      <c r="AS64" s="789"/>
      <c r="AT64" s="790"/>
      <c r="AU64" s="843">
        <f t="shared" si="138"/>
        <v>0</v>
      </c>
      <c r="AV64" s="844">
        <f t="shared" si="139"/>
        <v>0</v>
      </c>
      <c r="AW64" s="843">
        <f t="shared" si="140"/>
        <v>0</v>
      </c>
      <c r="AX64" s="844">
        <f t="shared" si="141"/>
        <v>0</v>
      </c>
      <c r="AY64" s="843"/>
      <c r="AZ64" s="844"/>
      <c r="BA64" s="843"/>
      <c r="BB64" s="844"/>
      <c r="BC64" s="781"/>
      <c r="BD64" s="778"/>
      <c r="BE64" s="781"/>
      <c r="BF64" s="778"/>
      <c r="BG64" s="781"/>
      <c r="BH64" s="778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11"/>
        <v>0</v>
      </c>
      <c r="BZ64" s="49">
        <f t="shared" si="112"/>
        <v>0</v>
      </c>
      <c r="CA64" s="50"/>
      <c r="CB64" s="51">
        <f t="shared" si="113"/>
        <v>37408</v>
      </c>
      <c r="CC64" s="50">
        <f t="shared" si="114"/>
        <v>0</v>
      </c>
      <c r="CD64" s="52">
        <f t="shared" si="115"/>
        <v>320</v>
      </c>
      <c r="CE64" s="50">
        <f t="shared" si="115"/>
        <v>0.9699509717884377</v>
      </c>
      <c r="CF64" s="53">
        <f t="shared" ca="1" si="116"/>
        <v>0</v>
      </c>
      <c r="CG64" s="53">
        <f t="shared" si="117"/>
        <v>0</v>
      </c>
      <c r="CH64" s="53">
        <f t="shared" si="118"/>
        <v>0</v>
      </c>
      <c r="CI64" s="53">
        <f t="shared" si="119"/>
        <v>0</v>
      </c>
      <c r="CJ64" s="25">
        <f t="shared" si="120"/>
        <v>0</v>
      </c>
      <c r="CM64" s="438">
        <f t="shared" ca="1" si="129"/>
        <v>0</v>
      </c>
      <c r="DJ64" s="54">
        <f>[5]Cinergy!$D86</f>
        <v>38749</v>
      </c>
      <c r="DK64" s="30">
        <f t="shared" si="143"/>
        <v>20</v>
      </c>
      <c r="DL64" s="254">
        <v>37316</v>
      </c>
      <c r="DM64" s="255">
        <v>21</v>
      </c>
      <c r="DP64" s="55">
        <f>[5]Cinergy!$D55</f>
        <v>37803</v>
      </c>
      <c r="DQ64" s="56">
        <f ca="1">[5]OPPD_NPPD!$O55+[5]NSP!$O55</f>
        <v>0</v>
      </c>
      <c r="DR64" s="56">
        <f ca="1">[5]COMED!$O55</f>
        <v>-292519.34375</v>
      </c>
      <c r="DS64" s="56">
        <f t="shared" ca="1" si="26"/>
        <v>-292519.34375</v>
      </c>
      <c r="DT64" s="56">
        <f ca="1">SUM([5]OPPD_NPPD!$P55:$R55)+SUM([5]NSP!$P55:$R55)</f>
        <v>0</v>
      </c>
      <c r="DU64" s="56">
        <f ca="1">SUM([5]COMED!$P55:$R55)</f>
        <v>-369.34262084960938</v>
      </c>
      <c r="DV64" s="56">
        <f t="shared" ca="1" si="27"/>
        <v>-369.34262084960938</v>
      </c>
      <c r="DW64" s="57"/>
      <c r="DX64" s="58">
        <f>[5]OtherPosn!$D55</f>
        <v>37681</v>
      </c>
      <c r="DY64" s="56">
        <f>[5]OtherPosn!$N55</f>
        <v>-15771.6474609375</v>
      </c>
      <c r="DZ64" s="56">
        <f>SUM([5]OtherPosn!$O55:$P55)</f>
        <v>0</v>
      </c>
      <c r="EO64" s="54">
        <f t="shared" si="121"/>
        <v>37408</v>
      </c>
      <c r="EP64" s="449">
        <f t="shared" si="121"/>
        <v>20</v>
      </c>
      <c r="EQ64" s="297">
        <f t="shared" si="130"/>
        <v>520</v>
      </c>
      <c r="ER64" s="297">
        <f t="shared" si="131"/>
        <v>520</v>
      </c>
      <c r="ES64" s="25">
        <f t="shared" si="122"/>
        <v>0</v>
      </c>
      <c r="ET64" s="25">
        <f t="shared" si="122"/>
        <v>0</v>
      </c>
      <c r="EU64" s="25">
        <f t="shared" si="122"/>
        <v>0</v>
      </c>
    </row>
    <row r="65" spans="1:151" ht="18.75" thickBot="1" x14ac:dyDescent="0.3">
      <c r="A65" s="153">
        <f>[5]COMED!$D43</f>
        <v>37438</v>
      </c>
      <c r="B65" s="154">
        <f ca="1">[5]COMED!$O43</f>
        <v>-289189.15625</v>
      </c>
      <c r="C65" s="138">
        <f t="shared" ca="1" si="100"/>
        <v>-849.65850834542073</v>
      </c>
      <c r="D65" s="138">
        <f t="shared" si="101"/>
        <v>0</v>
      </c>
      <c r="E65" s="137">
        <f t="shared" ca="1" si="102"/>
        <v>-289189.15625</v>
      </c>
      <c r="F65" s="172">
        <f t="shared" ca="1" si="123"/>
        <v>-849.65850834542073</v>
      </c>
      <c r="G65" s="139">
        <f>[5]COMED!$E43</f>
        <v>54.125</v>
      </c>
      <c r="H65" s="143">
        <f t="shared" si="103"/>
        <v>-0.5</v>
      </c>
      <c r="I65" s="134">
        <f t="shared" si="104"/>
        <v>53.625</v>
      </c>
      <c r="J65" s="137">
        <f t="shared" ca="1" si="124"/>
        <v>144594.578125</v>
      </c>
      <c r="K65" s="140">
        <f t="shared" si="105"/>
        <v>0</v>
      </c>
      <c r="L65" s="140">
        <f t="shared" ca="1" si="106"/>
        <v>144594.578125</v>
      </c>
      <c r="M65" s="104"/>
      <c r="N65" s="124">
        <f t="shared" si="107"/>
        <v>37438</v>
      </c>
      <c r="O65" s="165">
        <v>29.5</v>
      </c>
      <c r="P65" s="165">
        <v>29.5</v>
      </c>
      <c r="Q65" s="162">
        <f t="shared" si="133"/>
        <v>-24.625</v>
      </c>
      <c r="R65" s="288">
        <f>TradeSum!R21</f>
        <v>-0.5</v>
      </c>
      <c r="S65" s="264">
        <f t="shared" si="108"/>
        <v>53.625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32.755199552049824</v>
      </c>
      <c r="X65" s="190">
        <f t="array" ref="X65">AVERAGE(IF((YEAR($A$56:$A$91)=T65),$I$56:$I$91))</f>
        <v>32.725788162209177</v>
      </c>
      <c r="Y65" s="198">
        <f t="shared" si="127"/>
        <v>6.238793302049821</v>
      </c>
      <c r="Z65" s="198">
        <f t="shared" si="132"/>
        <v>4.0819438682100433</v>
      </c>
      <c r="AA65" s="198">
        <f t="shared" si="134"/>
        <v>-0.41409563417038697</v>
      </c>
      <c r="AB65" s="198">
        <f t="shared" si="135"/>
        <v>-13.799487947950176</v>
      </c>
      <c r="AC65" s="198">
        <f t="shared" si="137"/>
        <v>3.7551995520498238</v>
      </c>
      <c r="AD65" s="198">
        <f>W65-$W$17</f>
        <v>3.2893069081582595</v>
      </c>
      <c r="AE65" s="198">
        <f>W65-$W$18</f>
        <v>-0.16704675161941651</v>
      </c>
      <c r="AF65" s="198">
        <f>W65-$W$19</f>
        <v>-9.8561285729501762</v>
      </c>
      <c r="AG65" s="198">
        <f>W65-$W$20</f>
        <v>-1.6163690754011597</v>
      </c>
      <c r="AH65" s="199">
        <v>0</v>
      </c>
      <c r="AI65" s="201"/>
      <c r="AJ65" s="47">
        <f t="shared" si="110"/>
        <v>37438</v>
      </c>
      <c r="AK65" s="781"/>
      <c r="AL65" s="778"/>
      <c r="AM65" s="781"/>
      <c r="AN65" s="778"/>
      <c r="AO65" s="781"/>
      <c r="AP65" s="778"/>
      <c r="AQ65" s="781"/>
      <c r="AR65" s="778"/>
      <c r="AS65" s="789"/>
      <c r="AT65" s="790"/>
      <c r="AU65" s="843">
        <f t="shared" si="138"/>
        <v>0</v>
      </c>
      <c r="AV65" s="844">
        <f t="shared" si="139"/>
        <v>0</v>
      </c>
      <c r="AW65" s="843">
        <f t="shared" si="140"/>
        <v>0</v>
      </c>
      <c r="AX65" s="844">
        <f t="shared" si="141"/>
        <v>0</v>
      </c>
      <c r="AY65" s="843"/>
      <c r="AZ65" s="844"/>
      <c r="BA65" s="843"/>
      <c r="BB65" s="844"/>
      <c r="BC65" s="781"/>
      <c r="BD65" s="778"/>
      <c r="BE65" s="781"/>
      <c r="BF65" s="778"/>
      <c r="BG65" s="781"/>
      <c r="BH65" s="778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11"/>
        <v>0</v>
      </c>
      <c r="BZ65" s="49">
        <f t="shared" si="112"/>
        <v>0</v>
      </c>
      <c r="CA65" s="50"/>
      <c r="CB65" s="51">
        <f t="shared" si="113"/>
        <v>37438</v>
      </c>
      <c r="CC65" s="50">
        <f t="shared" si="114"/>
        <v>0</v>
      </c>
      <c r="CD65" s="52">
        <f t="shared" si="115"/>
        <v>352</v>
      </c>
      <c r="CE65" s="50">
        <f t="shared" si="115"/>
        <v>0.96692976638675288</v>
      </c>
      <c r="CF65" s="53">
        <f t="shared" ca="1" si="116"/>
        <v>0</v>
      </c>
      <c r="CG65" s="53">
        <f t="shared" si="117"/>
        <v>0</v>
      </c>
      <c r="CH65" s="53">
        <f t="shared" si="118"/>
        <v>0</v>
      </c>
      <c r="CI65" s="53">
        <f t="shared" si="119"/>
        <v>0</v>
      </c>
      <c r="CJ65" s="25">
        <f t="shared" si="120"/>
        <v>0</v>
      </c>
      <c r="CM65" s="438">
        <f t="shared" ca="1" si="129"/>
        <v>0</v>
      </c>
      <c r="DJ65" s="54">
        <f>[5]Cinergy!$D87</f>
        <v>38777</v>
      </c>
      <c r="DK65" s="30">
        <f t="shared" si="143"/>
        <v>23</v>
      </c>
      <c r="DL65" s="254">
        <v>37347</v>
      </c>
      <c r="DM65" s="255">
        <v>22</v>
      </c>
      <c r="DP65" s="55">
        <f>[5]Cinergy!$D56</f>
        <v>37834</v>
      </c>
      <c r="DQ65" s="56">
        <f ca="1">[5]OPPD_NPPD!$O56+[5]NSP!$O56</f>
        <v>0</v>
      </c>
      <c r="DR65" s="56">
        <f ca="1">[5]COMED!$O56</f>
        <v>-277999.78125</v>
      </c>
      <c r="DS65" s="56">
        <f t="shared" ca="1" si="26"/>
        <v>-277999.78125</v>
      </c>
      <c r="DT65" s="56">
        <f ca="1">SUM([5]OPPD_NPPD!$P56:$R56)+SUM([5]NSP!$P56:$R56)</f>
        <v>0</v>
      </c>
      <c r="DU65" s="56">
        <f ca="1">SUM([5]COMED!$P56:$R56)</f>
        <v>0</v>
      </c>
      <c r="DV65" s="56">
        <f t="shared" ca="1" si="27"/>
        <v>0</v>
      </c>
      <c r="DW65" s="57"/>
      <c r="DX65" s="58">
        <f>[5]OtherPosn!$D56</f>
        <v>37712</v>
      </c>
      <c r="DY65" s="56">
        <f>[5]OtherPosn!$N56</f>
        <v>-16457.296875</v>
      </c>
      <c r="DZ65" s="56">
        <f>SUM([5]OtherPosn!$O56:$P56)</f>
        <v>0</v>
      </c>
      <c r="EO65" s="54">
        <f t="shared" si="121"/>
        <v>37438</v>
      </c>
      <c r="EP65" s="449">
        <f t="shared" si="121"/>
        <v>22</v>
      </c>
      <c r="EQ65" s="297">
        <f t="shared" si="130"/>
        <v>572</v>
      </c>
      <c r="ER65" s="297">
        <f t="shared" si="131"/>
        <v>572</v>
      </c>
      <c r="ES65" s="25">
        <f t="shared" si="122"/>
        <v>0</v>
      </c>
      <c r="ET65" s="25">
        <f t="shared" si="122"/>
        <v>0</v>
      </c>
      <c r="EU65" s="25">
        <f t="shared" si="122"/>
        <v>0</v>
      </c>
    </row>
    <row r="66" spans="1:151" ht="18.75" thickBot="1" x14ac:dyDescent="0.3">
      <c r="A66" s="151">
        <f>[5]COMED!$D44</f>
        <v>37469</v>
      </c>
      <c r="B66" s="152">
        <f ca="1">[5]COMED!$O44</f>
        <v>-288225.1875</v>
      </c>
      <c r="C66" s="142">
        <f t="shared" ca="1" si="100"/>
        <v>-849.59746029779365</v>
      </c>
      <c r="D66" s="141">
        <f t="shared" si="101"/>
        <v>0</v>
      </c>
      <c r="E66" s="142">
        <f t="shared" ca="1" si="102"/>
        <v>-288225.1875</v>
      </c>
      <c r="F66" s="171">
        <f t="shared" ca="1" si="123"/>
        <v>-849.59746029779365</v>
      </c>
      <c r="G66" s="143">
        <f>[5]COMED!$E44</f>
        <v>54.125</v>
      </c>
      <c r="H66" s="143">
        <f t="shared" si="103"/>
        <v>-0.5</v>
      </c>
      <c r="I66" s="174">
        <f t="shared" si="104"/>
        <v>53.625</v>
      </c>
      <c r="J66" s="152">
        <f t="shared" ca="1" si="124"/>
        <v>144112.59375</v>
      </c>
      <c r="K66" s="144">
        <f t="shared" si="105"/>
        <v>0</v>
      </c>
      <c r="L66" s="144">
        <f t="shared" ca="1" si="106"/>
        <v>144112.59375</v>
      </c>
      <c r="M66" s="104"/>
      <c r="N66" s="124">
        <f t="shared" si="107"/>
        <v>37469</v>
      </c>
      <c r="O66" s="165">
        <v>58</v>
      </c>
      <c r="P66" s="165">
        <v>58</v>
      </c>
      <c r="Q66" s="162">
        <f t="shared" si="133"/>
        <v>3.875</v>
      </c>
      <c r="R66" s="288">
        <f>TradeSum!R22</f>
        <v>-0.5</v>
      </c>
      <c r="S66" s="264">
        <f t="shared" si="108"/>
        <v>53.625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32.930016906702392</v>
      </c>
      <c r="X66" s="195">
        <f t="array" ref="X66">AVERAGE(IF((YEAR($A$56:$A$94)=T66),$I$56:$I$94))</f>
        <v>32.846622671740839</v>
      </c>
      <c r="Y66" s="202">
        <f t="shared" si="127"/>
        <v>6.4136106567023887</v>
      </c>
      <c r="Z66" s="202">
        <f t="shared" si="132"/>
        <v>4.256761222862611</v>
      </c>
      <c r="AA66" s="202">
        <f t="shared" si="134"/>
        <v>-0.23927827951781921</v>
      </c>
      <c r="AB66" s="202">
        <f t="shared" si="135"/>
        <v>-13.624670593297608</v>
      </c>
      <c r="AC66" s="202">
        <f t="shared" si="137"/>
        <v>3.9300169067023916</v>
      </c>
      <c r="AD66" s="202">
        <f>W66-$W$17</f>
        <v>3.4641242628108273</v>
      </c>
      <c r="AE66" s="202">
        <f>W66-$W$18</f>
        <v>7.7706030331512466E-3</v>
      </c>
      <c r="AF66" s="202">
        <f>W66-$W$19</f>
        <v>-9.6813112182976084</v>
      </c>
      <c r="AG66" s="202">
        <f>W66-$W$20</f>
        <v>-1.4415517207485919</v>
      </c>
      <c r="AH66" s="202">
        <f>W66-$W$21</f>
        <v>-0.64966915717628382</v>
      </c>
      <c r="AI66" s="203">
        <v>0</v>
      </c>
      <c r="AJ66" s="47">
        <f t="shared" si="110"/>
        <v>37469</v>
      </c>
      <c r="AK66" s="781">
        <f t="shared" ref="AK66:AR66" si="144">+AK65</f>
        <v>0</v>
      </c>
      <c r="AL66" s="778">
        <f t="shared" si="144"/>
        <v>0</v>
      </c>
      <c r="AM66" s="781">
        <f t="shared" si="144"/>
        <v>0</v>
      </c>
      <c r="AN66" s="778">
        <f t="shared" si="144"/>
        <v>0</v>
      </c>
      <c r="AO66" s="781">
        <f t="shared" si="144"/>
        <v>0</v>
      </c>
      <c r="AP66" s="778">
        <f t="shared" si="144"/>
        <v>0</v>
      </c>
      <c r="AQ66" s="781">
        <f t="shared" si="144"/>
        <v>0</v>
      </c>
      <c r="AR66" s="778">
        <f t="shared" si="144"/>
        <v>0</v>
      </c>
      <c r="AS66" s="789"/>
      <c r="AT66" s="790"/>
      <c r="AU66" s="843">
        <f t="shared" si="138"/>
        <v>0</v>
      </c>
      <c r="AV66" s="844">
        <f t="shared" si="139"/>
        <v>0</v>
      </c>
      <c r="AW66" s="843">
        <f t="shared" si="140"/>
        <v>0</v>
      </c>
      <c r="AX66" s="844">
        <f t="shared" si="141"/>
        <v>0</v>
      </c>
      <c r="AY66" s="989"/>
      <c r="AZ66" s="990"/>
      <c r="BA66" s="843"/>
      <c r="BB66" s="844"/>
      <c r="BC66" s="781"/>
      <c r="BD66" s="778"/>
      <c r="BE66" s="781"/>
      <c r="BF66" s="778"/>
      <c r="BG66" s="781"/>
      <c r="BH66" s="778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11"/>
        <v>0</v>
      </c>
      <c r="BZ66" s="49">
        <f t="shared" si="112"/>
        <v>0</v>
      </c>
      <c r="CA66" s="50"/>
      <c r="CB66" s="51">
        <f t="shared" si="113"/>
        <v>37469</v>
      </c>
      <c r="CC66" s="50">
        <f t="shared" si="114"/>
        <v>0</v>
      </c>
      <c r="CD66" s="52">
        <f t="shared" si="115"/>
        <v>352</v>
      </c>
      <c r="CE66" s="50">
        <f t="shared" si="115"/>
        <v>0.96377589818915066</v>
      </c>
      <c r="CF66" s="53">
        <f t="shared" ca="1" si="116"/>
        <v>0</v>
      </c>
      <c r="CG66" s="53">
        <f t="shared" si="117"/>
        <v>0</v>
      </c>
      <c r="CH66" s="53">
        <f t="shared" si="118"/>
        <v>0</v>
      </c>
      <c r="CI66" s="53">
        <f t="shared" si="119"/>
        <v>0</v>
      </c>
      <c r="CJ66" s="25">
        <f t="shared" si="120"/>
        <v>0</v>
      </c>
      <c r="CM66" s="438">
        <f t="shared" ca="1" si="129"/>
        <v>0</v>
      </c>
      <c r="DJ66" s="54">
        <f>[5]Cinergy!$D88</f>
        <v>38808</v>
      </c>
      <c r="DK66" s="30">
        <f t="shared" si="143"/>
        <v>20</v>
      </c>
      <c r="DL66" s="254">
        <v>37377</v>
      </c>
      <c r="DM66" s="255">
        <v>22</v>
      </c>
      <c r="DP66" s="55">
        <f>[5]Cinergy!$D57</f>
        <v>37865</v>
      </c>
      <c r="DQ66" s="56">
        <f ca="1">[5]OPPD_NPPD!$O57+[5]NSP!$O57</f>
        <v>0</v>
      </c>
      <c r="DR66" s="56">
        <f ca="1">[5]COMED!$O57</f>
        <v>-153781.765625</v>
      </c>
      <c r="DS66" s="56">
        <f t="shared" ca="1" si="26"/>
        <v>-153781.765625</v>
      </c>
      <c r="DT66" s="56">
        <f ca="1">SUM([5]OPPD_NPPD!$P57:$R57)+SUM([5]NSP!$P57:$R57)</f>
        <v>0</v>
      </c>
      <c r="DU66" s="56">
        <f ca="1">SUM([5]COMED!$P57:$R57)</f>
        <v>-366.14706420898438</v>
      </c>
      <c r="DV66" s="56">
        <f t="shared" ca="1" si="27"/>
        <v>-366.14706420898438</v>
      </c>
      <c r="DW66" s="57"/>
      <c r="DX66" s="58">
        <f>[5]OtherPosn!$D57</f>
        <v>37742</v>
      </c>
      <c r="DY66" s="56">
        <f>[5]OtherPosn!$N57</f>
        <v>-15643.814453125</v>
      </c>
      <c r="DZ66" s="56">
        <f>SUM([5]OtherPosn!$O57:$P57)</f>
        <v>0</v>
      </c>
      <c r="EO66" s="54">
        <f t="shared" si="121"/>
        <v>37469</v>
      </c>
      <c r="EP66" s="449">
        <f t="shared" si="121"/>
        <v>22</v>
      </c>
      <c r="EQ66" s="297">
        <f t="shared" si="130"/>
        <v>649</v>
      </c>
      <c r="ER66" s="297">
        <f t="shared" si="131"/>
        <v>649</v>
      </c>
      <c r="ES66" s="25">
        <f t="shared" si="122"/>
        <v>0</v>
      </c>
      <c r="ET66" s="25">
        <f t="shared" si="122"/>
        <v>0</v>
      </c>
      <c r="EU66" s="25">
        <f t="shared" si="122"/>
        <v>0</v>
      </c>
    </row>
    <row r="67" spans="1:151" ht="18" x14ac:dyDescent="0.25">
      <c r="A67" s="153">
        <f>[5]COMED!$D45</f>
        <v>37500</v>
      </c>
      <c r="B67" s="154">
        <f ca="1">[5]COMED!$O45</f>
        <v>92168.7890625</v>
      </c>
      <c r="C67" s="138">
        <f t="shared" ca="1" si="100"/>
        <v>299.81501646952688</v>
      </c>
      <c r="D67" s="138">
        <f t="shared" si="101"/>
        <v>0</v>
      </c>
      <c r="E67" s="137">
        <f t="shared" ca="1" si="102"/>
        <v>92168.7890625</v>
      </c>
      <c r="F67" s="172">
        <f t="shared" ca="1" si="123"/>
        <v>299.81501646952688</v>
      </c>
      <c r="G67" s="139">
        <f>[5]COMED!$E45</f>
        <v>27.249994277954102</v>
      </c>
      <c r="H67" s="143">
        <f t="shared" si="103"/>
        <v>0</v>
      </c>
      <c r="I67" s="134">
        <f t="shared" si="104"/>
        <v>27.249994277954102</v>
      </c>
      <c r="J67" s="137">
        <f t="shared" ca="1" si="124"/>
        <v>0</v>
      </c>
      <c r="K67" s="140">
        <f t="shared" si="105"/>
        <v>0</v>
      </c>
      <c r="L67" s="140">
        <f t="shared" ca="1" si="106"/>
        <v>0</v>
      </c>
      <c r="M67" s="104"/>
      <c r="N67" s="124">
        <f t="shared" si="107"/>
        <v>37500</v>
      </c>
      <c r="O67" s="165">
        <v>85</v>
      </c>
      <c r="P67" s="165">
        <v>85</v>
      </c>
      <c r="Q67" s="162">
        <f t="shared" si="133"/>
        <v>57.750005722045898</v>
      </c>
      <c r="R67" s="288">
        <f>TradeSum!R23</f>
        <v>0</v>
      </c>
      <c r="S67" s="264">
        <f t="shared" si="108"/>
        <v>27.249994277954102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10"/>
        <v>37500</v>
      </c>
      <c r="AK67" s="781"/>
      <c r="AL67" s="778"/>
      <c r="AM67" s="781"/>
      <c r="AN67" s="778"/>
      <c r="AO67" s="781"/>
      <c r="AP67" s="778"/>
      <c r="AQ67" s="781"/>
      <c r="AR67" s="778"/>
      <c r="AS67" s="789"/>
      <c r="AT67" s="790"/>
      <c r="AU67" s="843">
        <f t="shared" si="138"/>
        <v>0</v>
      </c>
      <c r="AV67" s="844">
        <f t="shared" si="139"/>
        <v>0</v>
      </c>
      <c r="AW67" s="843">
        <f t="shared" si="140"/>
        <v>0</v>
      </c>
      <c r="AX67" s="844">
        <f t="shared" si="141"/>
        <v>0</v>
      </c>
      <c r="AY67" s="989"/>
      <c r="AZ67" s="990"/>
      <c r="BA67" s="781"/>
      <c r="BB67" s="778"/>
      <c r="BC67" s="781"/>
      <c r="BD67" s="778"/>
      <c r="BE67" s="993"/>
      <c r="BF67" s="994"/>
      <c r="BG67" s="781"/>
      <c r="BH67" s="778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11"/>
        <v>0</v>
      </c>
      <c r="BZ67" s="49">
        <f t="shared" si="112"/>
        <v>0</v>
      </c>
      <c r="CA67" s="50"/>
      <c r="CB67" s="51">
        <f t="shared" si="113"/>
        <v>37500</v>
      </c>
      <c r="CC67" s="50">
        <f t="shared" si="114"/>
        <v>0</v>
      </c>
      <c r="CD67" s="52">
        <f t="shared" si="115"/>
        <v>320</v>
      </c>
      <c r="CE67" s="50">
        <f t="shared" si="115"/>
        <v>0.96068392174608619</v>
      </c>
      <c r="CF67" s="53">
        <f t="shared" ca="1" si="116"/>
        <v>0</v>
      </c>
      <c r="CG67" s="53">
        <f t="shared" si="117"/>
        <v>0</v>
      </c>
      <c r="CH67" s="53">
        <f t="shared" si="118"/>
        <v>0</v>
      </c>
      <c r="CI67" s="53">
        <f t="shared" si="119"/>
        <v>0</v>
      </c>
      <c r="CJ67" s="25">
        <f t="shared" si="120"/>
        <v>0</v>
      </c>
      <c r="CM67" s="438">
        <f t="shared" ca="1" si="129"/>
        <v>0</v>
      </c>
      <c r="DJ67" s="54">
        <f>[5]Cinergy!$D89</f>
        <v>38838</v>
      </c>
      <c r="DK67" s="30">
        <f t="shared" si="143"/>
        <v>22</v>
      </c>
      <c r="DL67" s="254">
        <v>37408</v>
      </c>
      <c r="DM67" s="255">
        <v>20</v>
      </c>
      <c r="DP67" s="55">
        <f>[5]Cinergy!$D58</f>
        <v>37895</v>
      </c>
      <c r="DQ67" s="56">
        <f ca="1">[5]OPPD_NPPD!$O58+[5]NSP!$O58</f>
        <v>0</v>
      </c>
      <c r="DR67" s="56">
        <f ca="1">[5]COMED!$O58</f>
        <v>-167670.328125</v>
      </c>
      <c r="DS67" s="56">
        <f t="shared" ca="1" si="26"/>
        <v>-167670.328125</v>
      </c>
      <c r="DT67" s="56">
        <f ca="1">SUM([5]OPPD_NPPD!$P58:$R58)+SUM([5]NSP!$P58:$R58)</f>
        <v>0</v>
      </c>
      <c r="DU67" s="56">
        <f ca="1">SUM([5]COMED!$P58:$R58)</f>
        <v>0</v>
      </c>
      <c r="DV67" s="56">
        <f t="shared" ca="1" si="27"/>
        <v>0</v>
      </c>
      <c r="DW67" s="57"/>
      <c r="DX67" s="58">
        <f>[5]OtherPosn!$D58</f>
        <v>37773</v>
      </c>
      <c r="DY67" s="56">
        <f>[5]OtherPosn!$N58</f>
        <v>-15579.6240234375</v>
      </c>
      <c r="DZ67" s="56">
        <f>SUM([5]OtherPosn!$O58:$P58)</f>
        <v>0</v>
      </c>
      <c r="EO67" s="54">
        <f t="shared" si="121"/>
        <v>37500</v>
      </c>
      <c r="EP67" s="449">
        <f t="shared" si="121"/>
        <v>20</v>
      </c>
      <c r="EQ67" s="297">
        <f t="shared" si="130"/>
        <v>1160</v>
      </c>
      <c r="ER67" s="297">
        <f t="shared" si="131"/>
        <v>1160</v>
      </c>
      <c r="ES67" s="25">
        <f t="shared" si="122"/>
        <v>0</v>
      </c>
      <c r="ET67" s="25">
        <f t="shared" si="122"/>
        <v>0</v>
      </c>
      <c r="EU67" s="25">
        <f t="shared" si="122"/>
        <v>0</v>
      </c>
    </row>
    <row r="68" spans="1:151" ht="18.75" thickBot="1" x14ac:dyDescent="0.3">
      <c r="A68" s="151">
        <f>[5]COMED!$D46</f>
        <v>37530</v>
      </c>
      <c r="B68" s="152">
        <f ca="1">[5]COMED!$O46</f>
        <v>-176028.328125</v>
      </c>
      <c r="C68" s="142">
        <f t="shared" ca="1" si="100"/>
        <v>-499.61517461818897</v>
      </c>
      <c r="D68" s="141">
        <f t="shared" si="101"/>
        <v>0</v>
      </c>
      <c r="E68" s="142">
        <f t="shared" ca="1" si="102"/>
        <v>-176028.328125</v>
      </c>
      <c r="F68" s="171">
        <f t="shared" ca="1" si="123"/>
        <v>-499.61517461818897</v>
      </c>
      <c r="G68" s="143">
        <f>[5]COMED!$E46</f>
        <v>28.256248474121094</v>
      </c>
      <c r="H68" s="143">
        <f t="shared" si="103"/>
        <v>-3.2782554626464844E-7</v>
      </c>
      <c r="I68" s="174">
        <f t="shared" si="104"/>
        <v>28.256248146295547</v>
      </c>
      <c r="J68" s="152">
        <f t="shared" ca="1" si="124"/>
        <v>5.7706582825630903E-2</v>
      </c>
      <c r="K68" s="144">
        <f t="shared" si="105"/>
        <v>0</v>
      </c>
      <c r="L68" s="144">
        <f t="shared" ca="1" si="106"/>
        <v>5.7706582825630903E-2</v>
      </c>
      <c r="M68" s="286"/>
      <c r="N68" s="124">
        <f t="shared" si="107"/>
        <v>37530</v>
      </c>
      <c r="O68" s="165">
        <v>85</v>
      </c>
      <c r="P68" s="165">
        <v>85</v>
      </c>
      <c r="Q68" s="162">
        <f t="shared" si="133"/>
        <v>56.743751525878906</v>
      </c>
      <c r="R68" s="288">
        <f>TradeSum!R24</f>
        <v>-3.2782554626464844E-7</v>
      </c>
      <c r="S68" s="264">
        <f t="shared" si="108"/>
        <v>28.256248146295547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10"/>
        <v>37530</v>
      </c>
      <c r="AK68" s="781"/>
      <c r="AL68" s="778"/>
      <c r="AM68" s="781"/>
      <c r="AN68" s="778"/>
      <c r="AO68" s="781"/>
      <c r="AP68" s="778"/>
      <c r="AQ68" s="781"/>
      <c r="AR68" s="778"/>
      <c r="AS68" s="789"/>
      <c r="AT68" s="790"/>
      <c r="AU68" s="843">
        <f t="shared" si="138"/>
        <v>0</v>
      </c>
      <c r="AV68" s="844">
        <f t="shared" si="139"/>
        <v>0</v>
      </c>
      <c r="AW68" s="843">
        <f t="shared" si="140"/>
        <v>0</v>
      </c>
      <c r="AX68" s="844">
        <f t="shared" si="141"/>
        <v>0</v>
      </c>
      <c r="AY68" s="989"/>
      <c r="AZ68" s="990"/>
      <c r="BA68" s="781"/>
      <c r="BB68" s="778"/>
      <c r="BC68" s="781"/>
      <c r="BD68" s="778"/>
      <c r="BE68" s="993"/>
      <c r="BF68" s="994"/>
      <c r="BG68" s="781"/>
      <c r="BH68" s="778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11"/>
        <v>0</v>
      </c>
      <c r="BZ68" s="49">
        <f t="shared" si="112"/>
        <v>0</v>
      </c>
      <c r="CA68" s="50"/>
      <c r="CB68" s="51">
        <f t="shared" si="113"/>
        <v>37530</v>
      </c>
      <c r="CC68" s="50">
        <f t="shared" si="114"/>
        <v>0</v>
      </c>
      <c r="CD68" s="52">
        <f t="shared" si="115"/>
        <v>368</v>
      </c>
      <c r="CE68" s="50">
        <f t="shared" si="115"/>
        <v>0.95741256964685173</v>
      </c>
      <c r="CF68" s="53">
        <f t="shared" ca="1" si="116"/>
        <v>0</v>
      </c>
      <c r="CG68" s="53">
        <f t="shared" si="117"/>
        <v>0</v>
      </c>
      <c r="CH68" s="53">
        <f t="shared" si="118"/>
        <v>0</v>
      </c>
      <c r="CI68" s="53">
        <f t="shared" si="119"/>
        <v>0</v>
      </c>
      <c r="CJ68" s="25">
        <f t="shared" si="120"/>
        <v>0</v>
      </c>
      <c r="CM68" s="438">
        <f t="shared" ca="1" si="129"/>
        <v>0</v>
      </c>
      <c r="DJ68" s="54">
        <f>[5]Cinergy!$D90</f>
        <v>38869</v>
      </c>
      <c r="DK68" s="30">
        <f t="shared" si="143"/>
        <v>22</v>
      </c>
      <c r="DL68" s="254">
        <v>37438</v>
      </c>
      <c r="DM68" s="255">
        <v>22</v>
      </c>
      <c r="DP68" s="55">
        <f>[5]Cinergy!$D59</f>
        <v>37926</v>
      </c>
      <c r="DQ68" s="56">
        <f ca="1">[5]OPPD_NPPD!$O59+[5]NSP!$O59</f>
        <v>0</v>
      </c>
      <c r="DR68" s="56">
        <f ca="1">[5]COMED!$O59</f>
        <v>-137899.078125</v>
      </c>
      <c r="DS68" s="56">
        <f t="shared" ca="1" si="26"/>
        <v>-137899.078125</v>
      </c>
      <c r="DT68" s="56">
        <f ca="1">SUM([5]OPPD_NPPD!$P59:$R59)+SUM([5]NSP!$P59:$R59)</f>
        <v>0</v>
      </c>
      <c r="DU68" s="56">
        <f ca="1">SUM([5]COMED!$P59:$R59)</f>
        <v>-362.89230346679688</v>
      </c>
      <c r="DV68" s="56">
        <f t="shared" ca="1" si="27"/>
        <v>-362.89230346679688</v>
      </c>
      <c r="DW68" s="57"/>
      <c r="DX68" s="58">
        <f>[5]OtherPosn!$D59</f>
        <v>37803</v>
      </c>
      <c r="DY68" s="56">
        <f>[5]OtherPosn!$N59</f>
        <v>-16251.0751953125</v>
      </c>
      <c r="DZ68" s="56">
        <f>SUM([5]OtherPosn!$O59:$P59)</f>
        <v>0</v>
      </c>
      <c r="EO68" s="54">
        <f t="shared" si="121"/>
        <v>37530</v>
      </c>
      <c r="EP68" s="449">
        <f t="shared" si="121"/>
        <v>23</v>
      </c>
      <c r="EQ68" s="297">
        <f t="shared" si="130"/>
        <v>1955</v>
      </c>
      <c r="ER68" s="297">
        <f t="shared" si="131"/>
        <v>1955</v>
      </c>
      <c r="ES68" s="25">
        <f t="shared" si="122"/>
        <v>0</v>
      </c>
      <c r="ET68" s="25">
        <f t="shared" si="122"/>
        <v>0</v>
      </c>
      <c r="EU68" s="25">
        <f t="shared" si="122"/>
        <v>0</v>
      </c>
    </row>
    <row r="69" spans="1:151" ht="18.75" customHeight="1" thickBot="1" x14ac:dyDescent="0.3">
      <c r="A69" s="153">
        <f>[5]COMED!$D47</f>
        <v>37561</v>
      </c>
      <c r="B69" s="154">
        <f ca="1">[5]COMED!$O47</f>
        <v>-152526.265625</v>
      </c>
      <c r="C69" s="138">
        <f t="shared" ca="1" si="100"/>
        <v>-499.58074254896178</v>
      </c>
      <c r="D69" s="138">
        <f t="shared" si="101"/>
        <v>0</v>
      </c>
      <c r="E69" s="137">
        <f t="shared" ca="1" si="102"/>
        <v>-152526.265625</v>
      </c>
      <c r="F69" s="172">
        <f t="shared" ca="1" si="123"/>
        <v>-499.58074254896178</v>
      </c>
      <c r="G69" s="139">
        <f>[5]COMED!$E47</f>
        <v>28.456247329711914</v>
      </c>
      <c r="H69" s="143">
        <f t="shared" si="103"/>
        <v>-3.2782554626464844E-7</v>
      </c>
      <c r="I69" s="134">
        <f t="shared" si="104"/>
        <v>28.456247001886368</v>
      </c>
      <c r="J69" s="137">
        <f t="shared" ca="1" si="124"/>
        <v>5.0002006348222494E-2</v>
      </c>
      <c r="K69" s="140">
        <f t="shared" si="105"/>
        <v>0</v>
      </c>
      <c r="L69" s="140">
        <f t="shared" ca="1" si="106"/>
        <v>5.0002006348222494E-2</v>
      </c>
      <c r="M69" s="286"/>
      <c r="N69" s="124">
        <f t="shared" si="107"/>
        <v>37561</v>
      </c>
      <c r="O69" s="165">
        <v>34</v>
      </c>
      <c r="P69" s="165">
        <v>34</v>
      </c>
      <c r="Q69" s="162">
        <f t="shared" si="133"/>
        <v>5.5437526702880859</v>
      </c>
      <c r="R69" s="288">
        <f>TradeSum!R25</f>
        <v>-3.2782554626464844E-7</v>
      </c>
      <c r="S69" s="264">
        <f t="shared" si="108"/>
        <v>28.456247001886368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10"/>
        <v>37561</v>
      </c>
      <c r="AK69" s="781">
        <f t="shared" ref="AK69:AR70" si="145">+AK68</f>
        <v>0</v>
      </c>
      <c r="AL69" s="778">
        <f t="shared" si="145"/>
        <v>0</v>
      </c>
      <c r="AM69" s="781">
        <f t="shared" si="145"/>
        <v>0</v>
      </c>
      <c r="AN69" s="778">
        <f t="shared" si="145"/>
        <v>0</v>
      </c>
      <c r="AO69" s="781">
        <f t="shared" si="145"/>
        <v>0</v>
      </c>
      <c r="AP69" s="778">
        <f t="shared" si="145"/>
        <v>0</v>
      </c>
      <c r="AQ69" s="781">
        <f t="shared" si="145"/>
        <v>0</v>
      </c>
      <c r="AR69" s="778">
        <f t="shared" si="145"/>
        <v>0</v>
      </c>
      <c r="AS69" s="789"/>
      <c r="AT69" s="790"/>
      <c r="AU69" s="843">
        <f t="shared" si="138"/>
        <v>0</v>
      </c>
      <c r="AV69" s="844">
        <f t="shared" si="139"/>
        <v>0</v>
      </c>
      <c r="AW69" s="843">
        <f t="shared" si="140"/>
        <v>0</v>
      </c>
      <c r="AX69" s="844">
        <f t="shared" si="141"/>
        <v>0</v>
      </c>
      <c r="AY69" s="843"/>
      <c r="AZ69" s="844"/>
      <c r="BA69" s="843"/>
      <c r="BB69" s="844"/>
      <c r="BC69" s="781"/>
      <c r="BD69" s="778"/>
      <c r="BE69" s="781"/>
      <c r="BF69" s="778"/>
      <c r="BG69" s="781"/>
      <c r="BH69" s="778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11"/>
        <v>0</v>
      </c>
      <c r="BZ69" s="49">
        <f t="shared" si="112"/>
        <v>0</v>
      </c>
      <c r="CA69" s="50"/>
      <c r="CB69" s="51">
        <f t="shared" si="113"/>
        <v>37561</v>
      </c>
      <c r="CC69" s="50">
        <f t="shared" si="114"/>
        <v>0</v>
      </c>
      <c r="CD69" s="52">
        <f t="shared" si="115"/>
        <v>320</v>
      </c>
      <c r="CE69" s="50">
        <f t="shared" si="115"/>
        <v>0.95408917815003869</v>
      </c>
      <c r="CF69" s="53">
        <f t="shared" ca="1" si="116"/>
        <v>0</v>
      </c>
      <c r="CG69" s="53">
        <f t="shared" si="117"/>
        <v>0</v>
      </c>
      <c r="CH69" s="53">
        <f t="shared" si="118"/>
        <v>0</v>
      </c>
      <c r="CI69" s="53">
        <f t="shared" si="119"/>
        <v>0</v>
      </c>
      <c r="CJ69" s="25">
        <f t="shared" si="120"/>
        <v>0</v>
      </c>
      <c r="CM69" s="438">
        <f t="shared" ca="1" si="129"/>
        <v>0</v>
      </c>
      <c r="DJ69" s="54">
        <f>[5]Cinergy!$D91</f>
        <v>38899</v>
      </c>
      <c r="DK69" s="30">
        <f t="shared" si="143"/>
        <v>20</v>
      </c>
      <c r="DL69" s="254">
        <v>37469</v>
      </c>
      <c r="DM69" s="255">
        <v>22</v>
      </c>
      <c r="DP69" s="55">
        <f>[5]Cinergy!$D60</f>
        <v>37956</v>
      </c>
      <c r="DQ69" s="56">
        <f ca="1">[5]OPPD_NPPD!$O60+[5]NSP!$O60</f>
        <v>0</v>
      </c>
      <c r="DR69" s="56">
        <f ca="1">[5]COMED!$O60</f>
        <v>-158935.65625</v>
      </c>
      <c r="DS69" s="56">
        <f t="shared" ca="1" si="26"/>
        <v>-158935.65625</v>
      </c>
      <c r="DT69" s="56">
        <f ca="1">SUM([5]OPPD_NPPD!$P60:$R60)+SUM([5]NSP!$P60:$R60)</f>
        <v>0</v>
      </c>
      <c r="DU69" s="56">
        <f ca="1">SUM([5]COMED!$P60:$R60)</f>
        <v>-361.2174072265625</v>
      </c>
      <c r="DV69" s="56">
        <f t="shared" ca="1" si="27"/>
        <v>-361.2174072265625</v>
      </c>
      <c r="DW69" s="57"/>
      <c r="DX69" s="58">
        <f>[5]OtherPosn!$D60</f>
        <v>37834</v>
      </c>
      <c r="DY69" s="56">
        <f>[5]OtherPosn!$N60</f>
        <v>-15444.431640625</v>
      </c>
      <c r="DZ69" s="56">
        <f>SUM([5]OtherPosn!$O60:$P60)</f>
        <v>0</v>
      </c>
      <c r="EO69" s="54">
        <f t="shared" si="121"/>
        <v>37561</v>
      </c>
      <c r="EP69" s="449">
        <f t="shared" si="121"/>
        <v>20</v>
      </c>
      <c r="EQ69" s="297">
        <f t="shared" si="130"/>
        <v>1700</v>
      </c>
      <c r="ER69" s="297">
        <f t="shared" si="131"/>
        <v>1700</v>
      </c>
      <c r="ES69" s="25">
        <f t="shared" si="122"/>
        <v>0</v>
      </c>
      <c r="ET69" s="25">
        <f t="shared" si="122"/>
        <v>0</v>
      </c>
      <c r="EU69" s="25">
        <f t="shared" si="122"/>
        <v>0</v>
      </c>
    </row>
    <row r="70" spans="1:151" ht="18.75" customHeight="1" thickBot="1" x14ac:dyDescent="0.3">
      <c r="A70" s="151">
        <f>[5]COMED!$D48</f>
        <v>37591</v>
      </c>
      <c r="B70" s="152">
        <f ca="1">[5]COMED!$O48</f>
        <v>-159545.34375</v>
      </c>
      <c r="C70" s="142">
        <f t="shared" ca="1" si="100"/>
        <v>-499.49431843891614</v>
      </c>
      <c r="D70" s="141">
        <f t="shared" si="101"/>
        <v>0</v>
      </c>
      <c r="E70" s="142">
        <f t="shared" ca="1" si="102"/>
        <v>-159545.34375</v>
      </c>
      <c r="F70" s="171">
        <f t="shared" ca="1" si="123"/>
        <v>-499.49431843891614</v>
      </c>
      <c r="G70" s="143">
        <f>[5]COMED!$E48</f>
        <v>28.656248092651367</v>
      </c>
      <c r="H70" s="143">
        <f t="shared" si="103"/>
        <v>-3.2782554626464844E-7</v>
      </c>
      <c r="I70" s="174">
        <f t="shared" si="104"/>
        <v>28.656247764825821</v>
      </c>
      <c r="J70" s="152">
        <f t="shared" ca="1" si="124"/>
        <v>5.2303039468824863E-2</v>
      </c>
      <c r="K70" s="144">
        <f t="shared" si="105"/>
        <v>0</v>
      </c>
      <c r="L70" s="144">
        <f t="shared" ca="1" si="106"/>
        <v>5.2303039468824863E-2</v>
      </c>
      <c r="M70" s="286"/>
      <c r="N70" s="124">
        <f t="shared" si="107"/>
        <v>37591</v>
      </c>
      <c r="O70" s="165">
        <v>25.45</v>
      </c>
      <c r="P70" s="165">
        <v>25.45</v>
      </c>
      <c r="Q70" s="162">
        <f t="shared" si="133"/>
        <v>-3.2062480926513679</v>
      </c>
      <c r="R70" s="288">
        <f>TradeSum!R26</f>
        <v>-3.2782554626464844E-7</v>
      </c>
      <c r="S70" s="264">
        <f t="shared" si="108"/>
        <v>28.656247764825821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46">A56</f>
        <v>37195</v>
      </c>
      <c r="AA70" s="175">
        <f t="shared" ref="AA70:AA82" si="147">I56</f>
        <v>24.450000000000003</v>
      </c>
      <c r="AB70" s="176">
        <f t="shared" ref="AB70:AC82" ca="1" si="148">AB26</f>
        <v>-527.37915233465037</v>
      </c>
      <c r="AC70" s="177">
        <f t="shared" ca="1" si="148"/>
        <v>280.04477279299238</v>
      </c>
      <c r="AD70" s="177">
        <f t="shared" ref="AD70:AD82" ca="1" si="149">AC70+AB70</f>
        <v>-247.334379541658</v>
      </c>
      <c r="AE70" s="104"/>
      <c r="AF70" s="104"/>
      <c r="AG70" s="104"/>
      <c r="AH70" s="104"/>
      <c r="AI70" s="104"/>
      <c r="AJ70" s="47">
        <f t="shared" si="110"/>
        <v>37591</v>
      </c>
      <c r="AK70" s="781">
        <f t="shared" si="145"/>
        <v>0</v>
      </c>
      <c r="AL70" s="778">
        <f t="shared" si="145"/>
        <v>0</v>
      </c>
      <c r="AM70" s="781">
        <f t="shared" si="145"/>
        <v>0</v>
      </c>
      <c r="AN70" s="778">
        <f t="shared" si="145"/>
        <v>0</v>
      </c>
      <c r="AO70" s="781">
        <f t="shared" si="145"/>
        <v>0</v>
      </c>
      <c r="AP70" s="778">
        <f t="shared" si="145"/>
        <v>0</v>
      </c>
      <c r="AQ70" s="781">
        <f t="shared" si="145"/>
        <v>0</v>
      </c>
      <c r="AR70" s="778">
        <f t="shared" si="145"/>
        <v>0</v>
      </c>
      <c r="AS70" s="789"/>
      <c r="AT70" s="790"/>
      <c r="AU70" s="843">
        <f t="shared" si="138"/>
        <v>0</v>
      </c>
      <c r="AV70" s="844">
        <f t="shared" si="139"/>
        <v>0</v>
      </c>
      <c r="AW70" s="843">
        <f t="shared" si="140"/>
        <v>0</v>
      </c>
      <c r="AX70" s="844">
        <f t="shared" si="141"/>
        <v>0</v>
      </c>
      <c r="AY70" s="843"/>
      <c r="AZ70" s="844"/>
      <c r="BA70" s="843"/>
      <c r="BB70" s="844"/>
      <c r="BC70" s="781"/>
      <c r="BD70" s="778"/>
      <c r="BE70" s="781"/>
      <c r="BF70" s="778"/>
      <c r="BG70" s="781"/>
      <c r="BH70" s="778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11"/>
        <v>0</v>
      </c>
      <c r="BZ70" s="49">
        <f t="shared" si="112"/>
        <v>0</v>
      </c>
      <c r="CA70" s="50"/>
      <c r="CB70" s="51">
        <f t="shared" si="113"/>
        <v>37591</v>
      </c>
      <c r="CC70" s="50">
        <f t="shared" si="114"/>
        <v>0</v>
      </c>
      <c r="CD70" s="52">
        <f t="shared" si="115"/>
        <v>336</v>
      </c>
      <c r="CE70" s="50">
        <f t="shared" si="115"/>
        <v>0.95063610347622851</v>
      </c>
      <c r="CF70" s="53">
        <f t="shared" ca="1" si="116"/>
        <v>0</v>
      </c>
      <c r="CG70" s="53">
        <f t="shared" si="117"/>
        <v>0</v>
      </c>
      <c r="CH70" s="53">
        <f t="shared" si="118"/>
        <v>0</v>
      </c>
      <c r="CI70" s="53">
        <f t="shared" si="119"/>
        <v>0</v>
      </c>
      <c r="CJ70" s="25">
        <f t="shared" si="120"/>
        <v>0</v>
      </c>
      <c r="CM70" s="438">
        <f t="shared" ca="1" si="129"/>
        <v>0</v>
      </c>
      <c r="DJ70" s="54">
        <f>[5]Cinergy!$D92</f>
        <v>38930</v>
      </c>
      <c r="DK70" s="30">
        <f t="shared" si="143"/>
        <v>23</v>
      </c>
      <c r="DL70" s="254">
        <v>37500</v>
      </c>
      <c r="DM70" s="255">
        <v>20</v>
      </c>
      <c r="DP70" s="55">
        <f>[5]Cinergy!$D61</f>
        <v>37987</v>
      </c>
      <c r="DQ70" s="56">
        <f ca="1">[5]OPPD_NPPD!$O61+[5]NSP!$O61</f>
        <v>0</v>
      </c>
      <c r="DR70" s="56">
        <f ca="1">[5]COMED!$O61</f>
        <v>0</v>
      </c>
      <c r="DS70" s="56">
        <f t="shared" ca="1" si="26"/>
        <v>0</v>
      </c>
      <c r="DT70" s="56">
        <f ca="1">SUM([5]OPPD_NPPD!$P61:$R61)+SUM([5]NSP!$P61:$R61)</f>
        <v>0</v>
      </c>
      <c r="DU70" s="56">
        <f ca="1">SUM([5]COMED!$P61:$R61)</f>
        <v>0</v>
      </c>
      <c r="DV70" s="56">
        <f t="shared" ca="1" si="27"/>
        <v>0</v>
      </c>
      <c r="DW70" s="57"/>
      <c r="DX70" s="58">
        <f>[5]OtherPosn!$D61</f>
        <v>37865</v>
      </c>
      <c r="DY70" s="56">
        <f>[5]OtherPosn!$N61</f>
        <v>-15378.1767578125</v>
      </c>
      <c r="DZ70" s="56">
        <f>SUM([5]OtherPosn!$O61:$P61)</f>
        <v>0</v>
      </c>
      <c r="EO70" s="54">
        <f t="shared" si="121"/>
        <v>37591</v>
      </c>
      <c r="EP70" s="449">
        <f t="shared" si="121"/>
        <v>21</v>
      </c>
      <c r="EQ70" s="297">
        <f t="shared" si="130"/>
        <v>714</v>
      </c>
      <c r="ER70" s="297">
        <f t="shared" si="131"/>
        <v>714</v>
      </c>
      <c r="ES70" s="25">
        <f t="shared" si="122"/>
        <v>0</v>
      </c>
      <c r="ET70" s="25">
        <f t="shared" si="122"/>
        <v>0</v>
      </c>
      <c r="EU70" s="25">
        <f t="shared" si="122"/>
        <v>0</v>
      </c>
    </row>
    <row r="71" spans="1:151" ht="18.75" customHeight="1" x14ac:dyDescent="0.25">
      <c r="A71" s="153">
        <f>[5]COMED!$D49</f>
        <v>37622</v>
      </c>
      <c r="B71" s="154">
        <f ca="1">[5]COMED!$O49</f>
        <v>-249736.484375</v>
      </c>
      <c r="C71" s="138">
        <f t="shared" ca="1" si="100"/>
        <v>-749.1392005469063</v>
      </c>
      <c r="D71" s="138">
        <f t="shared" si="101"/>
        <v>0</v>
      </c>
      <c r="E71" s="137">
        <f t="shared" ca="1" si="102"/>
        <v>-249736.484375</v>
      </c>
      <c r="F71" s="172">
        <f t="shared" ca="1" si="123"/>
        <v>-749.1392005469063</v>
      </c>
      <c r="G71" s="139">
        <f>[5]COMED!$E49</f>
        <v>29.433710098266602</v>
      </c>
      <c r="H71" s="143">
        <f t="shared" si="103"/>
        <v>1.8165225057487078E-7</v>
      </c>
      <c r="I71" s="134">
        <f t="shared" si="104"/>
        <v>29.433710279918852</v>
      </c>
      <c r="J71" s="137">
        <f t="shared" ca="1" si="124"/>
        <v>-4.5365194437374801E-2</v>
      </c>
      <c r="K71" s="140">
        <f t="shared" si="105"/>
        <v>0</v>
      </c>
      <c r="L71" s="140">
        <f t="shared" ca="1" si="106"/>
        <v>-4.5365194437374801E-2</v>
      </c>
      <c r="M71" s="286"/>
      <c r="N71" s="124">
        <f t="shared" si="107"/>
        <v>37622</v>
      </c>
      <c r="O71" s="165">
        <v>25.2</v>
      </c>
      <c r="P71" s="165">
        <v>25.2</v>
      </c>
      <c r="Q71" s="162">
        <f t="shared" si="133"/>
        <v>-4.2337100982666023</v>
      </c>
      <c r="R71" s="288">
        <f>TradeSum!R27</f>
        <v>1.8165225057487078E-7</v>
      </c>
      <c r="S71" s="264">
        <f t="shared" si="108"/>
        <v>29.433710279918852</v>
      </c>
      <c r="T71" s="46">
        <f>IF(MONTH($B$2)&gt;=10,YEAR($B$2)+1,YEAR($B$2))</f>
        <v>2001</v>
      </c>
      <c r="U71" s="45">
        <f>IF(INT((MONTH($B$2)-1)/3)+2=5,1,INT((MONTH($B$2)-1)/3)+2)</f>
        <v>4</v>
      </c>
      <c r="V71" s="112" t="str">
        <f t="shared" ref="V71:V81" si="150">V56</f>
        <v>Q4 2001</v>
      </c>
      <c r="W71" s="112">
        <f t="array" aca="1" ref="W71" ca="1">SUM(IF((INT((MONTH($A$56:$A$91)-1)/3)=$U71-1)*(YEAR($A$56:$A$91)=$T71),$F$56:$F$91))</f>
        <v>1237.7539554233836</v>
      </c>
      <c r="X71" s="168">
        <f t="array" aca="1" ref="X71" ca="1">SUM(IF((INT((MONTH($A$56:$A$91)-1)/3)=$U71-1)*(YEAR($A$56:$A$91)=$T71),$E$56:$E$91))</f>
        <v>411918.92932864185</v>
      </c>
      <c r="Y71" s="104"/>
      <c r="Z71" s="185">
        <f t="shared" si="146"/>
        <v>37196</v>
      </c>
      <c r="AA71" s="204">
        <f t="shared" si="147"/>
        <v>25.099995803833011</v>
      </c>
      <c r="AB71" s="131">
        <f t="shared" ca="1" si="148"/>
        <v>-1469.2688209987768</v>
      </c>
      <c r="AC71" s="131">
        <f t="shared" ca="1" si="148"/>
        <v>430.08628787691333</v>
      </c>
      <c r="AD71" s="131">
        <f t="shared" ca="1" si="149"/>
        <v>-1039.1825331218636</v>
      </c>
      <c r="AE71" s="104"/>
      <c r="AF71" s="104"/>
      <c r="AG71" s="104"/>
      <c r="AH71" s="104"/>
      <c r="AI71" s="104"/>
      <c r="AJ71" s="47">
        <f t="shared" si="110"/>
        <v>37622</v>
      </c>
      <c r="AK71" s="781"/>
      <c r="AL71" s="778"/>
      <c r="AM71" s="781"/>
      <c r="AN71" s="778"/>
      <c r="AO71" s="781"/>
      <c r="AP71" s="778"/>
      <c r="AQ71" s="781"/>
      <c r="AR71" s="778"/>
      <c r="AS71" s="789"/>
      <c r="AT71" s="790"/>
      <c r="AU71" s="843"/>
      <c r="AV71" s="844"/>
      <c r="AW71" s="843"/>
      <c r="AX71" s="844"/>
      <c r="AY71" s="843"/>
      <c r="AZ71" s="844"/>
      <c r="BA71" s="843"/>
      <c r="BB71" s="844"/>
      <c r="BC71" s="781"/>
      <c r="BD71" s="778"/>
      <c r="BE71" s="781"/>
      <c r="BF71" s="778"/>
      <c r="BG71" s="781"/>
      <c r="BH71" s="778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11"/>
        <v>0</v>
      </c>
      <c r="BZ71" s="49">
        <f t="shared" si="112"/>
        <v>0</v>
      </c>
      <c r="CA71" s="50"/>
      <c r="CB71" s="51">
        <f t="shared" si="113"/>
        <v>37622</v>
      </c>
      <c r="CC71" s="50">
        <f t="shared" si="114"/>
        <v>0</v>
      </c>
      <c r="CD71" s="52">
        <f t="shared" si="115"/>
        <v>352</v>
      </c>
      <c r="CE71" s="50">
        <f t="shared" si="115"/>
        <v>0.94705850164383509</v>
      </c>
      <c r="CF71" s="53">
        <f t="shared" ca="1" si="116"/>
        <v>0</v>
      </c>
      <c r="CG71" s="53">
        <f t="shared" si="117"/>
        <v>0</v>
      </c>
      <c r="CH71" s="53">
        <f t="shared" si="118"/>
        <v>0</v>
      </c>
      <c r="CI71" s="53">
        <f t="shared" si="119"/>
        <v>0</v>
      </c>
      <c r="CJ71" s="25">
        <f t="shared" si="120"/>
        <v>0</v>
      </c>
      <c r="CM71" s="438">
        <f t="shared" ca="1" si="129"/>
        <v>0</v>
      </c>
      <c r="DJ71" s="54">
        <f>[5]Cinergy!$D93</f>
        <v>38961</v>
      </c>
      <c r="DK71" s="30">
        <f t="shared" si="143"/>
        <v>20</v>
      </c>
      <c r="DL71" s="254">
        <v>37530</v>
      </c>
      <c r="DM71" s="255">
        <v>23</v>
      </c>
      <c r="DP71" s="55">
        <f>[5]Cinergy!$D62</f>
        <v>38018</v>
      </c>
      <c r="DQ71" s="56">
        <f ca="1">[5]OPPD_NPPD!$O62+[5]NSP!$O62</f>
        <v>0</v>
      </c>
      <c r="DR71" s="56">
        <f ca="1">[5]COMED!$O62</f>
        <v>0</v>
      </c>
      <c r="DS71" s="56">
        <f t="shared" ca="1" si="26"/>
        <v>0</v>
      </c>
      <c r="DT71" s="56">
        <f ca="1">SUM([5]OPPD_NPPD!$P62:$R62)+SUM([5]NSP!$P62:$R62)</f>
        <v>0</v>
      </c>
      <c r="DU71" s="56">
        <f ca="1">SUM([5]COMED!$P62:$R62)</f>
        <v>0</v>
      </c>
      <c r="DV71" s="56">
        <f t="shared" ca="1" si="27"/>
        <v>0</v>
      </c>
      <c r="DW71" s="57"/>
      <c r="DX71" s="58">
        <f>[5]OtherPosn!$D62</f>
        <v>37895</v>
      </c>
      <c r="DY71" s="56">
        <f>[5]OtherPosn!$N62</f>
        <v>-16767.033203125</v>
      </c>
      <c r="DZ71" s="56">
        <f>SUM([5]OtherPosn!$O62:$P62)</f>
        <v>0</v>
      </c>
      <c r="EO71" s="54">
        <f t="shared" si="121"/>
        <v>37622</v>
      </c>
      <c r="EP71" s="449">
        <f t="shared" si="121"/>
        <v>22</v>
      </c>
      <c r="EQ71" s="297">
        <f t="shared" si="130"/>
        <v>559.9</v>
      </c>
      <c r="ER71" s="297">
        <f t="shared" si="131"/>
        <v>559.9</v>
      </c>
      <c r="ES71" s="25">
        <f t="shared" si="122"/>
        <v>0</v>
      </c>
      <c r="ET71" s="25">
        <f t="shared" si="122"/>
        <v>0</v>
      </c>
      <c r="EU71" s="25">
        <f t="shared" si="122"/>
        <v>0</v>
      </c>
    </row>
    <row r="72" spans="1:151" ht="18.75" customHeight="1" x14ac:dyDescent="0.25">
      <c r="A72" s="151">
        <f>[5]COMED!$D50</f>
        <v>37653</v>
      </c>
      <c r="B72" s="152">
        <f ca="1">[5]COMED!$O50</f>
        <v>-226219.296875</v>
      </c>
      <c r="C72" s="142">
        <f t="shared" ca="1" si="100"/>
        <v>-749.15505716897871</v>
      </c>
      <c r="D72" s="141">
        <f t="shared" si="101"/>
        <v>0</v>
      </c>
      <c r="E72" s="142">
        <f t="shared" ca="1" si="102"/>
        <v>-226219.296875</v>
      </c>
      <c r="F72" s="171">
        <f t="shared" ca="1" si="123"/>
        <v>-749.15505716897871</v>
      </c>
      <c r="G72" s="143">
        <f>[5]COMED!$E50</f>
        <v>28.835695266723633</v>
      </c>
      <c r="H72" s="143">
        <f t="shared" si="103"/>
        <v>1.8165225057487078E-7</v>
      </c>
      <c r="I72" s="174">
        <f t="shared" si="104"/>
        <v>28.835695448375883</v>
      </c>
      <c r="J72" s="152">
        <f t="shared" ca="1" si="124"/>
        <v>-4.1093244400808582E-2</v>
      </c>
      <c r="K72" s="144">
        <f t="shared" si="105"/>
        <v>0</v>
      </c>
      <c r="L72" s="144">
        <f t="shared" ca="1" si="106"/>
        <v>-4.1093244400808582E-2</v>
      </c>
      <c r="M72" s="286"/>
      <c r="N72" s="124">
        <f t="shared" si="107"/>
        <v>37653</v>
      </c>
      <c r="O72" s="165">
        <v>25.95</v>
      </c>
      <c r="P72" s="165">
        <v>25.95</v>
      </c>
      <c r="Q72" s="162">
        <f t="shared" si="133"/>
        <v>-2.8856952667236335</v>
      </c>
      <c r="R72" s="288">
        <f>TradeSum!R28</f>
        <v>1.8165225057487078E-7</v>
      </c>
      <c r="S72" s="264">
        <f t="shared" si="108"/>
        <v>28.835695448375883</v>
      </c>
      <c r="T72" s="46">
        <f t="shared" ref="T72:T78" si="151">IF(U71=4,T71+1,T71)</f>
        <v>2002</v>
      </c>
      <c r="U72" s="45">
        <f t="shared" ref="U72:U78" si="152">IF(U71=4,1,U71+1)</f>
        <v>1</v>
      </c>
      <c r="V72" s="131" t="str">
        <f t="shared" si="150"/>
        <v>Q1 2002</v>
      </c>
      <c r="W72" s="131">
        <f t="array" aca="1" ref="W72" ca="1">SUM(IF((INT((MONTH($A$56:$A$91)-1)/3)=$U72-1)*(YEAR($A$56:$A$91)=$T72),$F$56:$F$91))</f>
        <v>-2610.0737277383901</v>
      </c>
      <c r="X72" s="132">
        <f t="array" aca="1" ref="X72" ca="1">SUM(IF((INT((MONTH($A$56:$A$91)-1)/3)=$U72-1)*(YEAR($A$56:$A$91)=$T72),$E$56:$E$91))</f>
        <v>-861685.0859375</v>
      </c>
      <c r="Y72" s="104"/>
      <c r="Z72" s="187">
        <f t="shared" si="146"/>
        <v>37226</v>
      </c>
      <c r="AA72" s="178">
        <f t="shared" si="147"/>
        <v>26.600002288818359</v>
      </c>
      <c r="AB72" s="179">
        <f t="shared" ca="1" si="148"/>
        <v>-658.76731006975888</v>
      </c>
      <c r="AC72" s="180">
        <f t="shared" ca="1" si="148"/>
        <v>527.62289475347779</v>
      </c>
      <c r="AD72" s="180">
        <f t="shared" ca="1" si="149"/>
        <v>-131.14441531628108</v>
      </c>
      <c r="AE72" s="104"/>
      <c r="AF72" s="104"/>
      <c r="AG72" s="104"/>
      <c r="AH72" s="104"/>
      <c r="AI72" s="104"/>
      <c r="AJ72" s="47">
        <f t="shared" si="110"/>
        <v>37653</v>
      </c>
      <c r="AK72" s="781">
        <f t="shared" ref="AK72:AR72" si="153">+AK71</f>
        <v>0</v>
      </c>
      <c r="AL72" s="778">
        <f t="shared" si="153"/>
        <v>0</v>
      </c>
      <c r="AM72" s="781">
        <f t="shared" si="153"/>
        <v>0</v>
      </c>
      <c r="AN72" s="778">
        <f t="shared" si="153"/>
        <v>0</v>
      </c>
      <c r="AO72" s="781">
        <f t="shared" si="153"/>
        <v>0</v>
      </c>
      <c r="AP72" s="778">
        <f t="shared" si="153"/>
        <v>0</v>
      </c>
      <c r="AQ72" s="781">
        <f t="shared" si="153"/>
        <v>0</v>
      </c>
      <c r="AR72" s="778">
        <f t="shared" si="153"/>
        <v>0</v>
      </c>
      <c r="AS72" s="789"/>
      <c r="AT72" s="790"/>
      <c r="AU72" s="843">
        <f>+AU71</f>
        <v>0</v>
      </c>
      <c r="AV72" s="844">
        <f>+AV71</f>
        <v>0</v>
      </c>
      <c r="AW72" s="843">
        <f>+AW71</f>
        <v>0</v>
      </c>
      <c r="AX72" s="844">
        <f>+AX71</f>
        <v>0</v>
      </c>
      <c r="AY72" s="843"/>
      <c r="AZ72" s="844"/>
      <c r="BA72" s="843"/>
      <c r="BB72" s="844"/>
      <c r="BC72" s="781"/>
      <c r="BD72" s="778"/>
      <c r="BE72" s="781"/>
      <c r="BF72" s="778"/>
      <c r="BG72" s="781"/>
      <c r="BH72" s="778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11"/>
        <v>0</v>
      </c>
      <c r="BZ72" s="49">
        <f t="shared" si="112"/>
        <v>0</v>
      </c>
      <c r="CA72" s="50"/>
      <c r="CB72" s="51">
        <f t="shared" si="113"/>
        <v>37653</v>
      </c>
      <c r="CC72" s="50">
        <f t="shared" si="114"/>
        <v>0</v>
      </c>
      <c r="CD72" s="52">
        <f t="shared" si="115"/>
        <v>320</v>
      </c>
      <c r="CE72" s="50">
        <f t="shared" si="115"/>
        <v>0.94364350339681324</v>
      </c>
      <c r="CF72" s="53">
        <f t="shared" ca="1" si="116"/>
        <v>0</v>
      </c>
      <c r="CG72" s="53">
        <f t="shared" si="117"/>
        <v>0</v>
      </c>
      <c r="CH72" s="53">
        <f t="shared" si="118"/>
        <v>0</v>
      </c>
      <c r="CI72" s="53">
        <f t="shared" si="119"/>
        <v>0</v>
      </c>
      <c r="CJ72" s="25">
        <f t="shared" si="120"/>
        <v>0</v>
      </c>
      <c r="CM72" s="438">
        <f t="shared" ca="1" si="129"/>
        <v>0</v>
      </c>
      <c r="DJ72" s="54">
        <f>[5]Cinergy!$D94</f>
        <v>38991</v>
      </c>
      <c r="DK72" s="30">
        <f t="shared" si="143"/>
        <v>22</v>
      </c>
      <c r="DL72" s="254">
        <v>37561</v>
      </c>
      <c r="DM72" s="255">
        <v>20</v>
      </c>
      <c r="DP72" s="55">
        <f>[5]Cinergy!$D63</f>
        <v>38047</v>
      </c>
      <c r="DQ72" s="56">
        <f ca="1">[5]OPPD_NPPD!$O63+[5]NSP!$O63</f>
        <v>0</v>
      </c>
      <c r="DR72" s="56">
        <f ca="1">[5]COMED!$O63</f>
        <v>0</v>
      </c>
      <c r="DS72" s="56">
        <f t="shared" ca="1" si="26"/>
        <v>0</v>
      </c>
      <c r="DT72" s="56">
        <f ca="1">SUM([5]OPPD_NPPD!$P63:$R63)+SUM([5]NSP!$P63:$R63)</f>
        <v>0</v>
      </c>
      <c r="DU72" s="56">
        <f ca="1">SUM([5]COMED!$P63:$R63)</f>
        <v>0</v>
      </c>
      <c r="DV72" s="56">
        <f t="shared" ca="1" si="27"/>
        <v>0</v>
      </c>
      <c r="DW72" s="57"/>
      <c r="DX72" s="58">
        <f>[5]OtherPosn!$D63</f>
        <v>37926</v>
      </c>
      <c r="DY72" s="56">
        <f>[5]OtherPosn!$N63</f>
        <v>-13789.9072265625</v>
      </c>
      <c r="DZ72" s="56">
        <f>SUM([5]OtherPosn!$O63:$P63)</f>
        <v>0</v>
      </c>
      <c r="EO72" s="54">
        <f t="shared" ref="EO72:EP82" si="154">EO28</f>
        <v>37653</v>
      </c>
      <c r="EP72" s="449">
        <f t="shared" si="154"/>
        <v>20</v>
      </c>
      <c r="EQ72" s="297">
        <f t="shared" si="130"/>
        <v>504</v>
      </c>
      <c r="ER72" s="297">
        <f t="shared" si="131"/>
        <v>504</v>
      </c>
      <c r="ES72" s="25">
        <f t="shared" ref="ES72:EU79" si="155">IF(YEAR($EO72)=1999,EP72,0)</f>
        <v>0</v>
      </c>
      <c r="ET72" s="25">
        <f t="shared" si="155"/>
        <v>0</v>
      </c>
      <c r="EU72" s="25">
        <f t="shared" si="155"/>
        <v>0</v>
      </c>
    </row>
    <row r="73" spans="1:151" ht="18.75" customHeight="1" x14ac:dyDescent="0.25">
      <c r="A73" s="153">
        <f>[5]COMED!$D51</f>
        <v>37681</v>
      </c>
      <c r="B73" s="154">
        <f ca="1">[5]COMED!$O51</f>
        <v>-189259.765625</v>
      </c>
      <c r="C73" s="138">
        <f t="shared" ca="1" si="100"/>
        <v>-599.2607787673503</v>
      </c>
      <c r="D73" s="138">
        <f t="shared" si="101"/>
        <v>0</v>
      </c>
      <c r="E73" s="137">
        <f t="shared" ca="1" si="102"/>
        <v>-189259.765625</v>
      </c>
      <c r="F73" s="172">
        <f t="shared" ca="1" si="123"/>
        <v>-599.2607787673503</v>
      </c>
      <c r="G73" s="139">
        <f>[5]COMED!$E51</f>
        <v>27.847688674926758</v>
      </c>
      <c r="H73" s="143">
        <f t="shared" si="103"/>
        <v>-0.25000044356944784</v>
      </c>
      <c r="I73" s="134">
        <f t="shared" si="104"/>
        <v>27.59768823135731</v>
      </c>
      <c r="J73" s="137">
        <f t="shared" ca="1" si="124"/>
        <v>47315.025356099737</v>
      </c>
      <c r="K73" s="140">
        <f t="shared" si="105"/>
        <v>0</v>
      </c>
      <c r="L73" s="140">
        <f t="shared" ca="1" si="106"/>
        <v>47315.025356099737</v>
      </c>
      <c r="M73" s="286"/>
      <c r="N73" s="124">
        <f t="shared" si="107"/>
        <v>37681</v>
      </c>
      <c r="O73" s="165">
        <v>29.9</v>
      </c>
      <c r="P73" s="165">
        <v>29.9</v>
      </c>
      <c r="Q73" s="162">
        <f t="shared" si="133"/>
        <v>2.0523113250732408</v>
      </c>
      <c r="R73" s="288">
        <f>TradeSum!R29</f>
        <v>-0.25000044356944784</v>
      </c>
      <c r="S73" s="264">
        <f t="shared" si="108"/>
        <v>27.59768823135731</v>
      </c>
      <c r="T73" s="46">
        <f t="shared" si="151"/>
        <v>2002</v>
      </c>
      <c r="U73" s="45">
        <f t="shared" si="152"/>
        <v>2</v>
      </c>
      <c r="V73" s="112" t="str">
        <f t="shared" si="150"/>
        <v>Q2 2002</v>
      </c>
      <c r="W73" s="112">
        <f t="array" aca="1" ref="W73" ca="1">SUM(IF((INT((MONTH($A$56:$A$91)-1)/3)=$U73-1)*(YEAR($A$56:$A$91)=$T73),$F$56:$F$91))</f>
        <v>-789.87862913421588</v>
      </c>
      <c r="X73" s="168">
        <f t="array" aca="1" ref="X73" ca="1">SUM(IF((INT((MONTH($A$56:$A$91)-1)/3)=$U73-1)*(YEAR($A$56:$A$91)=$T73),$E$56:$E$91))</f>
        <v>-264247.32421875</v>
      </c>
      <c r="Y73" s="108"/>
      <c r="Z73" s="185">
        <f t="shared" si="146"/>
        <v>37257</v>
      </c>
      <c r="AA73" s="204">
        <f t="shared" si="147"/>
        <v>28.064668473743257</v>
      </c>
      <c r="AB73" s="131">
        <f t="shared" ca="1" si="148"/>
        <v>975.40959467741936</v>
      </c>
      <c r="AC73" s="131">
        <f t="shared" ca="1" si="148"/>
        <v>-1220.048226076872</v>
      </c>
      <c r="AD73" s="131">
        <f t="shared" ca="1" si="149"/>
        <v>-244.63863139945261</v>
      </c>
      <c r="AE73" s="104"/>
      <c r="AF73" s="104"/>
      <c r="AG73" s="104"/>
      <c r="AH73" s="104"/>
      <c r="AI73" s="104"/>
      <c r="AJ73" s="47">
        <f t="shared" si="110"/>
        <v>37681</v>
      </c>
      <c r="AK73" s="781"/>
      <c r="AL73" s="778"/>
      <c r="AM73" s="781"/>
      <c r="AN73" s="778"/>
      <c r="AO73" s="781"/>
      <c r="AP73" s="778"/>
      <c r="AQ73" s="781"/>
      <c r="AR73" s="778"/>
      <c r="AS73" s="789"/>
      <c r="AT73" s="790"/>
      <c r="AU73" s="843">
        <f t="shared" ref="AU73:AU82" si="156">+AU72</f>
        <v>0</v>
      </c>
      <c r="AV73" s="844">
        <f t="shared" ref="AV73:AV82" si="157">+AV72</f>
        <v>0</v>
      </c>
      <c r="AW73" s="843">
        <f t="shared" ref="AW73:AW82" si="158">+AW72</f>
        <v>0</v>
      </c>
      <c r="AX73" s="844">
        <f t="shared" ref="AX73:AX82" si="159">+AX72</f>
        <v>0</v>
      </c>
      <c r="AY73" s="843"/>
      <c r="AZ73" s="844"/>
      <c r="BA73" s="843"/>
      <c r="BB73" s="844"/>
      <c r="BC73" s="781"/>
      <c r="BD73" s="778"/>
      <c r="BE73" s="781"/>
      <c r="BF73" s="778"/>
      <c r="BG73" s="781"/>
      <c r="BH73" s="778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11"/>
        <v>0</v>
      </c>
      <c r="BZ73" s="49">
        <f t="shared" si="112"/>
        <v>0</v>
      </c>
      <c r="CA73" s="50"/>
      <c r="CB73" s="51">
        <f t="shared" si="113"/>
        <v>37681</v>
      </c>
      <c r="CC73" s="50">
        <f t="shared" si="114"/>
        <v>0</v>
      </c>
      <c r="CD73" s="52">
        <f t="shared" si="115"/>
        <v>336</v>
      </c>
      <c r="CE73" s="50">
        <f t="shared" si="115"/>
        <v>0.93994656739890692</v>
      </c>
      <c r="CF73" s="53">
        <f t="shared" ca="1" si="116"/>
        <v>0</v>
      </c>
      <c r="CG73" s="53">
        <f t="shared" si="117"/>
        <v>0</v>
      </c>
      <c r="CH73" s="53">
        <f t="shared" si="118"/>
        <v>0</v>
      </c>
      <c r="CI73" s="53">
        <f t="shared" si="119"/>
        <v>0</v>
      </c>
      <c r="CJ73" s="25">
        <f t="shared" si="120"/>
        <v>0</v>
      </c>
      <c r="CM73" s="438">
        <f t="shared" ca="1" si="129"/>
        <v>0</v>
      </c>
      <c r="DJ73" s="54">
        <f>[5]Cinergy!$D95</f>
        <v>39022</v>
      </c>
      <c r="DK73" s="30">
        <f t="shared" si="143"/>
        <v>21</v>
      </c>
      <c r="DL73" s="254">
        <v>37591</v>
      </c>
      <c r="DM73" s="255">
        <v>21</v>
      </c>
      <c r="DP73" s="55">
        <f>[5]Cinergy!$D64</f>
        <v>38078</v>
      </c>
      <c r="DQ73" s="56">
        <f ca="1">[5]OPPD_NPPD!$O64+[5]NSP!$O64</f>
        <v>0</v>
      </c>
      <c r="DR73" s="56">
        <f ca="1">[5]COMED!$O64</f>
        <v>0</v>
      </c>
      <c r="DS73" s="56">
        <f t="shared" ca="1" si="26"/>
        <v>0</v>
      </c>
      <c r="DT73" s="56">
        <f ca="1">SUM([5]OPPD_NPPD!$P64:$R64)+SUM([5]NSP!$P64:$R64)</f>
        <v>0</v>
      </c>
      <c r="DU73" s="56">
        <f ca="1">SUM([5]COMED!$P64:$R64)</f>
        <v>0</v>
      </c>
      <c r="DV73" s="56">
        <f t="shared" ca="1" si="27"/>
        <v>0</v>
      </c>
      <c r="DW73" s="57"/>
      <c r="DX73" s="58">
        <f>[5]OtherPosn!$D64</f>
        <v>37956</v>
      </c>
      <c r="DY73" s="56">
        <f>[5]OtherPosn!$N64</f>
        <v>-15893.56640625</v>
      </c>
      <c r="DZ73" s="56">
        <f>SUM([5]OtherPosn!$O64:$P64)</f>
        <v>0</v>
      </c>
      <c r="EO73" s="54">
        <f t="shared" si="154"/>
        <v>37681</v>
      </c>
      <c r="EP73" s="449">
        <f t="shared" si="154"/>
        <v>21</v>
      </c>
      <c r="EQ73" s="297">
        <f t="shared" si="130"/>
        <v>544.94999999999993</v>
      </c>
      <c r="ER73" s="297">
        <f t="shared" si="131"/>
        <v>544.94999999999993</v>
      </c>
      <c r="ES73" s="25">
        <f t="shared" si="155"/>
        <v>0</v>
      </c>
      <c r="ET73" s="25">
        <f t="shared" si="155"/>
        <v>0</v>
      </c>
      <c r="EU73" s="25">
        <f t="shared" si="155"/>
        <v>0</v>
      </c>
    </row>
    <row r="74" spans="1:151" ht="18.75" customHeight="1" x14ac:dyDescent="0.25">
      <c r="A74" s="151">
        <f>[5]COMED!$D52</f>
        <v>37712</v>
      </c>
      <c r="B74" s="152">
        <f ca="1">[5]COMED!$O52</f>
        <v>-197487.5625</v>
      </c>
      <c r="C74" s="142">
        <f t="shared" ca="1" si="100"/>
        <v>-599.25698215264811</v>
      </c>
      <c r="D74" s="141">
        <f t="shared" si="101"/>
        <v>0</v>
      </c>
      <c r="E74" s="142">
        <f t="shared" ca="1" si="102"/>
        <v>-197487.5625</v>
      </c>
      <c r="F74" s="171">
        <f t="shared" ca="1" si="123"/>
        <v>-599.25698215264811</v>
      </c>
      <c r="G74" s="143">
        <f>[5]COMED!$E52</f>
        <v>28.04768180847168</v>
      </c>
      <c r="H74" s="143">
        <f t="shared" si="103"/>
        <v>-0.25000044356944784</v>
      </c>
      <c r="I74" s="174">
        <f t="shared" si="104"/>
        <v>27.797681364902232</v>
      </c>
      <c r="J74" s="152">
        <f t="shared" ca="1" si="124"/>
        <v>49371.978224449056</v>
      </c>
      <c r="K74" s="144">
        <f t="shared" si="105"/>
        <v>0</v>
      </c>
      <c r="L74" s="144">
        <f t="shared" ca="1" si="106"/>
        <v>49371.978224449056</v>
      </c>
      <c r="M74" s="286"/>
      <c r="N74" s="124">
        <f t="shared" si="107"/>
        <v>37712</v>
      </c>
      <c r="O74" s="165">
        <v>30</v>
      </c>
      <c r="P74" s="165">
        <v>30</v>
      </c>
      <c r="Q74" s="162">
        <f t="shared" si="133"/>
        <v>1.9523181915283203</v>
      </c>
      <c r="R74" s="288">
        <f>TradeSum!R30</f>
        <v>-0.25000044356944784</v>
      </c>
      <c r="S74" s="264">
        <f t="shared" si="108"/>
        <v>27.797681364902232</v>
      </c>
      <c r="T74" s="46">
        <f t="shared" si="151"/>
        <v>2002</v>
      </c>
      <c r="U74" s="45">
        <f t="shared" si="152"/>
        <v>3</v>
      </c>
      <c r="V74" s="131" t="str">
        <f t="shared" si="150"/>
        <v>Q3 2002</v>
      </c>
      <c r="W74" s="131">
        <f t="array" aca="1" ref="W74" ca="1">SUM(IF((INT((MONTH($A$56:$A$91)-1)/3)=$U74-1)*(YEAR($A$56:$A$91)=$T74),$F$56:$F$91))</f>
        <v>-1399.4409521736875</v>
      </c>
      <c r="X74" s="132">
        <f t="array" aca="1" ref="X74" ca="1">SUM(IF((INT((MONTH($A$56:$A$91)-1)/3)=$U74-1)*(YEAR($A$56:$A$91)=$T74),$E$56:$E$91))</f>
        <v>-485245.5546875</v>
      </c>
      <c r="Y74" s="110"/>
      <c r="Z74" s="187">
        <f t="shared" si="146"/>
        <v>37288</v>
      </c>
      <c r="AA74" s="178">
        <f t="shared" si="147"/>
        <v>27.716665086292085</v>
      </c>
      <c r="AB74" s="179">
        <f t="shared" ca="1" si="148"/>
        <v>972.37899313420075</v>
      </c>
      <c r="AC74" s="180">
        <f t="shared" ca="1" si="148"/>
        <v>-1220.0305873600678</v>
      </c>
      <c r="AD74" s="180">
        <f t="shared" ca="1" si="149"/>
        <v>-247.65159422586703</v>
      </c>
      <c r="AE74" s="104"/>
      <c r="AF74" s="104"/>
      <c r="AG74" s="104"/>
      <c r="AH74" s="104"/>
      <c r="AI74" s="104"/>
      <c r="AJ74" s="47">
        <f t="shared" si="110"/>
        <v>37712</v>
      </c>
      <c r="AK74" s="781">
        <f t="shared" ref="AK74:AR74" si="160">+AK73</f>
        <v>0</v>
      </c>
      <c r="AL74" s="778">
        <f t="shared" si="160"/>
        <v>0</v>
      </c>
      <c r="AM74" s="781">
        <f t="shared" si="160"/>
        <v>0</v>
      </c>
      <c r="AN74" s="778">
        <f t="shared" si="160"/>
        <v>0</v>
      </c>
      <c r="AO74" s="781">
        <f t="shared" si="160"/>
        <v>0</v>
      </c>
      <c r="AP74" s="778">
        <f t="shared" si="160"/>
        <v>0</v>
      </c>
      <c r="AQ74" s="781">
        <f t="shared" si="160"/>
        <v>0</v>
      </c>
      <c r="AR74" s="778">
        <f t="shared" si="160"/>
        <v>0</v>
      </c>
      <c r="AS74" s="789"/>
      <c r="AT74" s="790"/>
      <c r="AU74" s="843">
        <f t="shared" si="156"/>
        <v>0</v>
      </c>
      <c r="AV74" s="844">
        <f t="shared" si="157"/>
        <v>0</v>
      </c>
      <c r="AW74" s="843">
        <f t="shared" si="158"/>
        <v>0</v>
      </c>
      <c r="AX74" s="844">
        <f t="shared" si="159"/>
        <v>0</v>
      </c>
      <c r="AY74" s="843"/>
      <c r="AZ74" s="844"/>
      <c r="BA74" s="843"/>
      <c r="BB74" s="844"/>
      <c r="BC74" s="781"/>
      <c r="BD74" s="778"/>
      <c r="BE74" s="781"/>
      <c r="BF74" s="778"/>
      <c r="BG74" s="781"/>
      <c r="BH74" s="778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11"/>
        <v>0</v>
      </c>
      <c r="BZ74" s="49">
        <f t="shared" si="112"/>
        <v>0</v>
      </c>
      <c r="CA74" s="50"/>
      <c r="CB74" s="51">
        <f t="shared" si="113"/>
        <v>37712</v>
      </c>
      <c r="CC74" s="50">
        <f t="shared" si="114"/>
        <v>0</v>
      </c>
      <c r="CD74" s="52">
        <f t="shared" si="115"/>
        <v>352</v>
      </c>
      <c r="CE74" s="50">
        <f t="shared" si="115"/>
        <v>0.9362330825622539</v>
      </c>
      <c r="CF74" s="53">
        <f t="shared" ca="1" si="116"/>
        <v>0</v>
      </c>
      <c r="CG74" s="53">
        <f t="shared" si="117"/>
        <v>0</v>
      </c>
      <c r="CH74" s="53">
        <f t="shared" si="118"/>
        <v>0</v>
      </c>
      <c r="CI74" s="53">
        <f t="shared" si="119"/>
        <v>0</v>
      </c>
      <c r="CJ74" s="25">
        <f t="shared" si="120"/>
        <v>0</v>
      </c>
      <c r="CM74" s="438">
        <f t="shared" ca="1" si="129"/>
        <v>0</v>
      </c>
      <c r="DJ74" s="54">
        <f>[5]Cinergy!$D96</f>
        <v>39052</v>
      </c>
      <c r="DK74" s="30">
        <f t="shared" si="143"/>
        <v>20</v>
      </c>
      <c r="DL74" s="254">
        <v>37622</v>
      </c>
      <c r="DM74" s="255">
        <v>22</v>
      </c>
      <c r="DP74" s="55">
        <f>[5]Cinergy!$D65</f>
        <v>38108</v>
      </c>
      <c r="DQ74" s="56">
        <f ca="1">[5]OPPD_NPPD!$O65+[5]NSP!$O65</f>
        <v>0</v>
      </c>
      <c r="DR74" s="56">
        <f ca="1">[5]COMED!$O65</f>
        <v>0</v>
      </c>
      <c r="DS74" s="56">
        <f t="shared" ca="1" si="26"/>
        <v>0</v>
      </c>
      <c r="DT74" s="56">
        <f ca="1">SUM([5]OPPD_NPPD!$P65:$R65)+SUM([5]NSP!$P65:$R65)</f>
        <v>0</v>
      </c>
      <c r="DU74" s="56">
        <f ca="1">SUM([5]COMED!$P65:$R65)</f>
        <v>0</v>
      </c>
      <c r="DV74" s="56">
        <f t="shared" ca="1" si="27"/>
        <v>0</v>
      </c>
      <c r="DW74" s="57"/>
      <c r="DX74" s="58">
        <f>[5]OtherPosn!$D65</f>
        <v>37165</v>
      </c>
      <c r="DY74" s="56">
        <f>[5]OtherPosn!$N65</f>
        <v>2385.392333984375</v>
      </c>
      <c r="DZ74" s="56">
        <f>SUM([5]OtherPosn!$O65:$P65)</f>
        <v>0</v>
      </c>
      <c r="EO74" s="54">
        <f t="shared" si="154"/>
        <v>37712</v>
      </c>
      <c r="EP74" s="449">
        <f t="shared" si="154"/>
        <v>22</v>
      </c>
      <c r="EQ74" s="297">
        <f t="shared" si="130"/>
        <v>657.8</v>
      </c>
      <c r="ER74" s="297">
        <f t="shared" si="131"/>
        <v>657.8</v>
      </c>
      <c r="ES74" s="25">
        <f t="shared" si="155"/>
        <v>0</v>
      </c>
      <c r="ET74" s="25">
        <f t="shared" si="155"/>
        <v>0</v>
      </c>
      <c r="EU74" s="25">
        <f t="shared" si="155"/>
        <v>0</v>
      </c>
    </row>
    <row r="75" spans="1:151" ht="18.75" customHeight="1" x14ac:dyDescent="0.25">
      <c r="A75" s="153">
        <f>[5]COMED!$D53</f>
        <v>37742</v>
      </c>
      <c r="B75" s="154">
        <f ca="1">[5]COMED!$O53</f>
        <v>-187725.765625</v>
      </c>
      <c r="C75" s="138">
        <f t="shared" ca="1" si="100"/>
        <v>-599.20451329443256</v>
      </c>
      <c r="D75" s="138">
        <f t="shared" si="101"/>
        <v>0</v>
      </c>
      <c r="E75" s="137">
        <f t="shared" ca="1" si="102"/>
        <v>-187725.765625</v>
      </c>
      <c r="F75" s="172">
        <f t="shared" ca="1" si="123"/>
        <v>-599.20451329443256</v>
      </c>
      <c r="G75" s="139">
        <f>[5]COMED!$E53</f>
        <v>29.749996185302734</v>
      </c>
      <c r="H75" s="143">
        <f t="shared" si="103"/>
        <v>0</v>
      </c>
      <c r="I75" s="134">
        <f t="shared" si="104"/>
        <v>29.749996185302734</v>
      </c>
      <c r="J75" s="137">
        <f t="shared" ca="1" si="124"/>
        <v>0</v>
      </c>
      <c r="K75" s="140">
        <f t="shared" si="105"/>
        <v>0</v>
      </c>
      <c r="L75" s="140">
        <f t="shared" ca="1" si="106"/>
        <v>0</v>
      </c>
      <c r="M75" s="286"/>
      <c r="N75" s="124">
        <f t="shared" si="107"/>
        <v>37742</v>
      </c>
      <c r="O75" s="165">
        <v>25.25</v>
      </c>
      <c r="P75" s="165">
        <v>25.25</v>
      </c>
      <c r="Q75" s="162">
        <f t="shared" si="133"/>
        <v>-4.4999961853027344</v>
      </c>
      <c r="R75" s="288">
        <f>TradeSum!R31</f>
        <v>0</v>
      </c>
      <c r="S75" s="264">
        <f t="shared" si="108"/>
        <v>29.749996185302734</v>
      </c>
      <c r="T75" s="46">
        <f t="shared" si="151"/>
        <v>2002</v>
      </c>
      <c r="U75" s="45">
        <f t="shared" si="152"/>
        <v>4</v>
      </c>
      <c r="V75" s="112" t="str">
        <f t="shared" si="150"/>
        <v>Q4 2002</v>
      </c>
      <c r="W75" s="112">
        <f t="array" aca="1" ref="W75" ca="1">SUM(IF((INT((MONTH($A$56:$A$91)-1)/3)=$U75-1)*(YEAR($A$56:$A$91)=$T75),$F$56:$F$91))</f>
        <v>-1498.6902356060668</v>
      </c>
      <c r="X75" s="168">
        <f t="array" aca="1" ref="X75" ca="1">SUM(IF((INT((MONTH($A$56:$A$91)-1)/3)=$U75-1)*(YEAR($A$56:$A$91)=$T75),$E$56:$E$91))</f>
        <v>-488099.9375</v>
      </c>
      <c r="Y75" s="104"/>
      <c r="Z75" s="185">
        <f t="shared" si="146"/>
        <v>37316</v>
      </c>
      <c r="AA75" s="204">
        <f t="shared" si="147"/>
        <v>26.419770484746888</v>
      </c>
      <c r="AB75" s="131">
        <f t="shared" ca="1" si="148"/>
        <v>24.744270110371531</v>
      </c>
      <c r="AC75" s="131">
        <f t="shared" ca="1" si="148"/>
        <v>-169.99491430145073</v>
      </c>
      <c r="AD75" s="131">
        <f t="shared" ca="1" si="149"/>
        <v>-145.2506441910792</v>
      </c>
      <c r="AE75" s="104"/>
      <c r="AF75" s="104"/>
      <c r="AG75" s="104"/>
      <c r="AH75" s="104"/>
      <c r="AI75" s="104"/>
      <c r="AJ75" s="47">
        <f t="shared" si="110"/>
        <v>37742</v>
      </c>
      <c r="AK75" s="781"/>
      <c r="AL75" s="778"/>
      <c r="AM75" s="781"/>
      <c r="AN75" s="778"/>
      <c r="AO75" s="781"/>
      <c r="AP75" s="778"/>
      <c r="AQ75" s="781"/>
      <c r="AR75" s="778"/>
      <c r="AS75" s="789"/>
      <c r="AT75" s="790"/>
      <c r="AU75" s="843">
        <f t="shared" si="156"/>
        <v>0</v>
      </c>
      <c r="AV75" s="844">
        <f t="shared" si="157"/>
        <v>0</v>
      </c>
      <c r="AW75" s="843">
        <f t="shared" si="158"/>
        <v>0</v>
      </c>
      <c r="AX75" s="844">
        <f t="shared" si="159"/>
        <v>0</v>
      </c>
      <c r="AY75" s="843"/>
      <c r="AZ75" s="844"/>
      <c r="BA75" s="843"/>
      <c r="BB75" s="844"/>
      <c r="BC75" s="781"/>
      <c r="BD75" s="778"/>
      <c r="BE75" s="781"/>
      <c r="BF75" s="778"/>
      <c r="BG75" s="781"/>
      <c r="BH75" s="778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11"/>
        <v>0</v>
      </c>
      <c r="BZ75" s="49">
        <f t="shared" si="112"/>
        <v>0</v>
      </c>
      <c r="CA75" s="50"/>
      <c r="CB75" s="51">
        <f t="shared" si="113"/>
        <v>37742</v>
      </c>
      <c r="CC75" s="50">
        <f t="shared" si="114"/>
        <v>0</v>
      </c>
      <c r="CD75" s="52">
        <f t="shared" si="115"/>
        <v>336</v>
      </c>
      <c r="CE75" s="50">
        <f t="shared" si="115"/>
        <v>0.93241560000426249</v>
      </c>
      <c r="CF75" s="53">
        <f t="shared" ca="1" si="116"/>
        <v>0</v>
      </c>
      <c r="CG75" s="53">
        <f t="shared" si="117"/>
        <v>0</v>
      </c>
      <c r="CH75" s="53">
        <f t="shared" si="118"/>
        <v>0</v>
      </c>
      <c r="CI75" s="53">
        <f t="shared" si="119"/>
        <v>0</v>
      </c>
      <c r="CJ75" s="25">
        <f t="shared" si="120"/>
        <v>0</v>
      </c>
      <c r="CM75" s="438">
        <f t="shared" ca="1" si="129"/>
        <v>0</v>
      </c>
      <c r="DJ75" s="54">
        <f>[5]Cinergy!$D97</f>
        <v>39083</v>
      </c>
      <c r="DK75" s="30">
        <f t="shared" si="143"/>
        <v>22</v>
      </c>
      <c r="DL75" s="254">
        <v>37653</v>
      </c>
      <c r="DM75" s="255">
        <v>20</v>
      </c>
      <c r="DP75" s="55">
        <f>[5]Cinergy!$D66</f>
        <v>38139</v>
      </c>
      <c r="DQ75" s="56">
        <f ca="1">[5]OPPD_NPPD!$O66+[5]NSP!$O66</f>
        <v>0</v>
      </c>
      <c r="DR75" s="56">
        <f ca="1">[5]COMED!$O66</f>
        <v>0</v>
      </c>
      <c r="DS75" s="56">
        <f t="shared" ca="1" si="26"/>
        <v>0</v>
      </c>
      <c r="DT75" s="56">
        <f ca="1">SUM([5]OPPD_NPPD!$P66:$R66)+SUM([5]NSP!$P66:$R66)</f>
        <v>0</v>
      </c>
      <c r="DU75" s="56">
        <f ca="1">SUM([5]COMED!$P66:$R66)</f>
        <v>0</v>
      </c>
      <c r="DV75" s="56">
        <f t="shared" ca="1" si="27"/>
        <v>0</v>
      </c>
      <c r="DW75" s="57"/>
      <c r="DX75" s="58">
        <f>[5]OtherPosn!$D66</f>
        <v>37166</v>
      </c>
      <c r="DY75" s="56">
        <f>[5]OtherPosn!$N66</f>
        <v>2385.392333984375</v>
      </c>
      <c r="DZ75" s="56">
        <f>SUM([5]OtherPosn!$O66:$P66)</f>
        <v>0</v>
      </c>
      <c r="EO75" s="54">
        <f t="shared" si="154"/>
        <v>37742</v>
      </c>
      <c r="EP75" s="449">
        <f t="shared" si="154"/>
        <v>21</v>
      </c>
      <c r="EQ75" s="297">
        <f t="shared" si="130"/>
        <v>630</v>
      </c>
      <c r="ER75" s="297">
        <f t="shared" si="131"/>
        <v>630</v>
      </c>
      <c r="ES75" s="25">
        <f t="shared" si="155"/>
        <v>0</v>
      </c>
      <c r="ET75" s="25">
        <f t="shared" si="155"/>
        <v>0</v>
      </c>
      <c r="EU75" s="25">
        <f t="shared" si="155"/>
        <v>0</v>
      </c>
    </row>
    <row r="76" spans="1:151" ht="18.75" customHeight="1" x14ac:dyDescent="0.25">
      <c r="A76" s="151">
        <f>[5]COMED!$D54</f>
        <v>37773</v>
      </c>
      <c r="B76" s="152">
        <f ca="1">[5]COMED!$O54</f>
        <v>-186955.484375</v>
      </c>
      <c r="C76" s="142">
        <f t="shared" ca="1" si="100"/>
        <v>-599.18590301392476</v>
      </c>
      <c r="D76" s="141">
        <f t="shared" si="101"/>
        <v>0</v>
      </c>
      <c r="E76" s="142">
        <f t="shared" ca="1" si="102"/>
        <v>-186955.484375</v>
      </c>
      <c r="F76" s="171">
        <f t="shared" ca="1" si="123"/>
        <v>-599.18590301392476</v>
      </c>
      <c r="G76" s="143">
        <f>[5]COMED!$E54</f>
        <v>39.375</v>
      </c>
      <c r="H76" s="143">
        <f>+R76</f>
        <v>-0.5</v>
      </c>
      <c r="I76" s="174">
        <f t="shared" si="104"/>
        <v>38.875</v>
      </c>
      <c r="J76" s="152">
        <f t="shared" ca="1" si="124"/>
        <v>93477.7421875</v>
      </c>
      <c r="K76" s="144">
        <f t="shared" si="105"/>
        <v>0</v>
      </c>
      <c r="L76" s="144">
        <f t="shared" ca="1" si="106"/>
        <v>93477.7421875</v>
      </c>
      <c r="M76" s="286"/>
      <c r="N76" s="124">
        <f t="shared" si="107"/>
        <v>37773</v>
      </c>
      <c r="O76" s="165">
        <v>25.75</v>
      </c>
      <c r="P76" s="165">
        <v>25.75</v>
      </c>
      <c r="Q76" s="162">
        <f t="shared" si="133"/>
        <v>-13.625</v>
      </c>
      <c r="R76" s="288">
        <f>TradeSum!R32</f>
        <v>-0.5</v>
      </c>
      <c r="S76" s="264">
        <f t="shared" si="108"/>
        <v>38.875</v>
      </c>
      <c r="T76" s="46">
        <f t="shared" si="151"/>
        <v>2003</v>
      </c>
      <c r="U76" s="45">
        <f t="shared" si="152"/>
        <v>1</v>
      </c>
      <c r="V76" s="131" t="str">
        <f t="shared" si="150"/>
        <v>Q1 2003</v>
      </c>
      <c r="W76" s="131">
        <f t="array" aca="1" ref="W76" ca="1">SUM(IF((INT((MONTH($A$56:$A$91)-1)/3)=$U76-1)*(YEAR($A$56:$A$91)=$T76),$F$56:$F$91))</f>
        <v>-2097.5550364832352</v>
      </c>
      <c r="X76" s="132">
        <f t="array" aca="1" ref="X76" ca="1">SUM(IF((INT((MONTH($A$56:$A$91)-1)/3)=$U76-1)*(YEAR($A$56:$A$91)=$T76),$E$56:$E$91))</f>
        <v>-665215.546875</v>
      </c>
      <c r="Y76" s="104"/>
      <c r="Z76" s="187">
        <f t="shared" si="146"/>
        <v>37347</v>
      </c>
      <c r="AA76" s="178">
        <f t="shared" si="147"/>
        <v>26.869767432989075</v>
      </c>
      <c r="AB76" s="179">
        <f t="shared" ca="1" si="148"/>
        <v>20.916939608042924</v>
      </c>
      <c r="AC76" s="180">
        <f t="shared" ca="1" si="148"/>
        <v>-169.98586109684334</v>
      </c>
      <c r="AD76" s="180">
        <f t="shared" ca="1" si="149"/>
        <v>-149.06892148880041</v>
      </c>
      <c r="AE76" s="104"/>
      <c r="AF76" s="104"/>
      <c r="AG76" s="104"/>
      <c r="AH76" s="104"/>
      <c r="AI76" s="104"/>
      <c r="AJ76" s="47">
        <f t="shared" si="110"/>
        <v>37773</v>
      </c>
      <c r="AK76" s="781"/>
      <c r="AL76" s="778"/>
      <c r="AM76" s="781"/>
      <c r="AN76" s="778"/>
      <c r="AO76" s="781"/>
      <c r="AP76" s="778"/>
      <c r="AQ76" s="781"/>
      <c r="AR76" s="778"/>
      <c r="AS76" s="789"/>
      <c r="AT76" s="790"/>
      <c r="AU76" s="843">
        <f t="shared" si="156"/>
        <v>0</v>
      </c>
      <c r="AV76" s="844">
        <f t="shared" si="157"/>
        <v>0</v>
      </c>
      <c r="AW76" s="843">
        <f t="shared" si="158"/>
        <v>0</v>
      </c>
      <c r="AX76" s="844">
        <f t="shared" si="159"/>
        <v>0</v>
      </c>
      <c r="AY76" s="843"/>
      <c r="AZ76" s="844"/>
      <c r="BA76" s="843"/>
      <c r="BB76" s="844"/>
      <c r="BC76" s="781"/>
      <c r="BD76" s="778"/>
      <c r="BE76" s="781"/>
      <c r="BF76" s="778"/>
      <c r="BG76" s="781"/>
      <c r="BH76" s="778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11"/>
        <v>0</v>
      </c>
      <c r="BZ76" s="49">
        <f t="shared" si="112"/>
        <v>0</v>
      </c>
      <c r="CA76" s="50"/>
      <c r="CB76" s="51">
        <f t="shared" si="113"/>
        <v>37773</v>
      </c>
      <c r="CC76" s="50">
        <f t="shared" si="114"/>
        <v>0</v>
      </c>
      <c r="CD76" s="52">
        <f t="shared" ref="CD76:CE91" si="161">CD32</f>
        <v>336</v>
      </c>
      <c r="CE76" s="50">
        <f t="shared" si="161"/>
        <v>0.92861852935735956</v>
      </c>
      <c r="CF76" s="53">
        <f t="shared" ca="1" si="116"/>
        <v>0</v>
      </c>
      <c r="CG76" s="53">
        <f t="shared" si="117"/>
        <v>0</v>
      </c>
      <c r="CH76" s="53">
        <f t="shared" si="118"/>
        <v>0</v>
      </c>
      <c r="CI76" s="53">
        <f t="shared" si="119"/>
        <v>0</v>
      </c>
      <c r="CJ76" s="25">
        <f t="shared" si="120"/>
        <v>0</v>
      </c>
      <c r="CM76" s="438">
        <f t="shared" ca="1" si="129"/>
        <v>0</v>
      </c>
      <c r="DJ76" s="54">
        <f>[5]Cinergy!$D98</f>
        <v>39114</v>
      </c>
      <c r="DK76" s="30">
        <f t="shared" si="143"/>
        <v>20</v>
      </c>
      <c r="DL76" s="254">
        <v>37681</v>
      </c>
      <c r="DM76" s="255">
        <v>21</v>
      </c>
      <c r="DP76" s="55">
        <f>[5]Cinergy!$D67</f>
        <v>38169</v>
      </c>
      <c r="DQ76" s="56">
        <f ca="1">[5]OPPD_NPPD!$O67+[5]NSP!$O67</f>
        <v>0</v>
      </c>
      <c r="DR76" s="56">
        <f ca="1">[5]COMED!$O67</f>
        <v>0</v>
      </c>
      <c r="DS76" s="56">
        <f t="shared" ca="1" si="26"/>
        <v>0</v>
      </c>
      <c r="DT76" s="56">
        <f ca="1">SUM([5]OPPD_NPPD!$P67:$R67)+SUM([5]NSP!$P67:$R67)</f>
        <v>0</v>
      </c>
      <c r="DU76" s="56">
        <f ca="1">SUM([5]COMED!$P67:$R67)</f>
        <v>0</v>
      </c>
      <c r="DV76" s="56">
        <f t="shared" ca="1" si="27"/>
        <v>0</v>
      </c>
      <c r="DW76" s="57"/>
      <c r="DX76" s="58">
        <f>[5]OtherPosn!$D67</f>
        <v>37167</v>
      </c>
      <c r="DY76" s="56">
        <f>[5]OtherPosn!$N67</f>
        <v>2385.392333984375</v>
      </c>
      <c r="DZ76" s="56">
        <f>SUM([5]OtherPosn!$O67:$P67)</f>
        <v>0</v>
      </c>
      <c r="EO76" s="54">
        <f t="shared" si="154"/>
        <v>37773</v>
      </c>
      <c r="EP76" s="449">
        <f t="shared" si="154"/>
        <v>21</v>
      </c>
      <c r="EQ76" s="297">
        <f t="shared" si="130"/>
        <v>530.25</v>
      </c>
      <c r="ER76" s="297">
        <f t="shared" si="131"/>
        <v>530.25</v>
      </c>
      <c r="ES76" s="25">
        <f t="shared" si="155"/>
        <v>0</v>
      </c>
      <c r="ET76" s="25">
        <f t="shared" si="155"/>
        <v>0</v>
      </c>
      <c r="EU76" s="25">
        <f t="shared" si="155"/>
        <v>0</v>
      </c>
    </row>
    <row r="77" spans="1:151" ht="18.75" customHeight="1" thickBot="1" x14ac:dyDescent="0.3">
      <c r="A77" s="153">
        <f>[5]COMED!$D55</f>
        <v>37803</v>
      </c>
      <c r="B77" s="154">
        <f ca="1">[5]COMED!$O55</f>
        <v>-292519.34375</v>
      </c>
      <c r="C77" s="138">
        <f t="shared" ca="1" si="100"/>
        <v>-898.69891788654513</v>
      </c>
      <c r="D77" s="138">
        <f t="shared" si="101"/>
        <v>0</v>
      </c>
      <c r="E77" s="137">
        <f t="shared" ca="1" si="102"/>
        <v>-292519.34375</v>
      </c>
      <c r="F77" s="172">
        <f t="shared" ca="1" si="123"/>
        <v>-898.69891788654513</v>
      </c>
      <c r="G77" s="139">
        <f>[5]COMED!$E55</f>
        <v>49.375</v>
      </c>
      <c r="H77" s="143">
        <f>+R77</f>
        <v>-0.5</v>
      </c>
      <c r="I77" s="134">
        <f t="shared" si="104"/>
        <v>48.875</v>
      </c>
      <c r="J77" s="137">
        <f t="shared" ca="1" si="124"/>
        <v>146259.671875</v>
      </c>
      <c r="K77" s="140">
        <f t="shared" si="105"/>
        <v>0</v>
      </c>
      <c r="L77" s="140">
        <f t="shared" ca="1" si="106"/>
        <v>146259.671875</v>
      </c>
      <c r="M77" s="286"/>
      <c r="N77" s="70">
        <f t="shared" si="107"/>
        <v>37803</v>
      </c>
      <c r="O77" s="166">
        <v>29.5</v>
      </c>
      <c r="P77" s="166">
        <v>29.5</v>
      </c>
      <c r="Q77" s="163">
        <f>AVERAGE(O77:P77)-G77</f>
        <v>-19.875</v>
      </c>
      <c r="R77" s="288">
        <f>TradeSum!R33</f>
        <v>-0.5</v>
      </c>
      <c r="S77" s="265">
        <f t="shared" si="108"/>
        <v>48.875</v>
      </c>
      <c r="T77" s="46">
        <f t="shared" si="151"/>
        <v>2003</v>
      </c>
      <c r="U77" s="45">
        <f t="shared" si="152"/>
        <v>2</v>
      </c>
      <c r="V77" s="112" t="str">
        <f t="shared" si="150"/>
        <v>Q2 2003</v>
      </c>
      <c r="W77" s="112">
        <f t="array" aca="1" ref="W77" ca="1">SUM(IF((INT((MONTH($A$56:$A$91)-1)/3)=$U77-1)*(YEAR($A$56:$A$91)=$T77),$F$56:$F$91))</f>
        <v>-1797.6473984610057</v>
      </c>
      <c r="X77" s="168">
        <f t="array" aca="1" ref="X77" ca="1">SUM(IF((INT((MONTH($A$56:$A$91)-1)/3)=$U77-1)*(YEAR($A$56:$A$91)=$T77),$E$56:$E$91))</f>
        <v>-572168.8125</v>
      </c>
      <c r="Y77" s="104"/>
      <c r="Z77" s="185">
        <f t="shared" si="146"/>
        <v>37377</v>
      </c>
      <c r="AA77" s="204">
        <f t="shared" si="147"/>
        <v>30.599996566772461</v>
      </c>
      <c r="AB77" s="131">
        <f t="shared" ca="1" si="148"/>
        <v>-487.1536882227719</v>
      </c>
      <c r="AC77" s="131">
        <f t="shared" ca="1" si="148"/>
        <v>-419.94537069038313</v>
      </c>
      <c r="AD77" s="131">
        <f t="shared" ca="1" si="149"/>
        <v>-907.09905891315498</v>
      </c>
      <c r="AE77" s="104"/>
      <c r="AF77" s="104"/>
      <c r="AG77" s="104"/>
      <c r="AH77" s="104"/>
      <c r="AI77" s="104"/>
      <c r="AJ77" s="47">
        <f t="shared" si="110"/>
        <v>37803</v>
      </c>
      <c r="AK77" s="781"/>
      <c r="AL77" s="778"/>
      <c r="AM77" s="781"/>
      <c r="AN77" s="778"/>
      <c r="AO77" s="781"/>
      <c r="AP77" s="778"/>
      <c r="AQ77" s="781"/>
      <c r="AR77" s="778"/>
      <c r="AS77" s="789"/>
      <c r="AT77" s="790"/>
      <c r="AU77" s="843">
        <f t="shared" si="156"/>
        <v>0</v>
      </c>
      <c r="AV77" s="844">
        <f t="shared" si="157"/>
        <v>0</v>
      </c>
      <c r="AW77" s="843">
        <f t="shared" si="158"/>
        <v>0</v>
      </c>
      <c r="AX77" s="844">
        <f t="shared" si="159"/>
        <v>0</v>
      </c>
      <c r="AY77" s="843"/>
      <c r="AZ77" s="844"/>
      <c r="BA77" s="843"/>
      <c r="BB77" s="844"/>
      <c r="BC77" s="781"/>
      <c r="BD77" s="778"/>
      <c r="BE77" s="781"/>
      <c r="BF77" s="778"/>
      <c r="BG77" s="781"/>
      <c r="BH77" s="778"/>
      <c r="BI77" s="666"/>
      <c r="BJ77" s="667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11"/>
        <v>0</v>
      </c>
      <c r="BZ77" s="49">
        <f t="shared" si="112"/>
        <v>0</v>
      </c>
      <c r="CA77" s="50"/>
      <c r="CB77" s="51">
        <f t="shared" si="113"/>
        <v>37803</v>
      </c>
      <c r="CC77" s="50">
        <f t="shared" si="114"/>
        <v>0</v>
      </c>
      <c r="CD77" s="52">
        <f t="shared" si="161"/>
        <v>352</v>
      </c>
      <c r="CE77" s="50">
        <f t="shared" si="161"/>
        <v>0.92469329425747382</v>
      </c>
      <c r="CF77" s="53">
        <f t="shared" ca="1" si="116"/>
        <v>0</v>
      </c>
      <c r="CG77" s="53">
        <f t="shared" si="117"/>
        <v>0</v>
      </c>
      <c r="CH77" s="53">
        <f t="shared" si="118"/>
        <v>0</v>
      </c>
      <c r="CI77" s="53">
        <f t="shared" si="119"/>
        <v>0</v>
      </c>
      <c r="CJ77" s="25">
        <f t="shared" si="120"/>
        <v>0</v>
      </c>
      <c r="CM77" s="438">
        <f t="shared" ca="1" si="129"/>
        <v>0</v>
      </c>
      <c r="DJ77" s="54">
        <f>[5]Cinergy!$D99</f>
        <v>39142</v>
      </c>
      <c r="DK77" s="30">
        <f t="shared" si="143"/>
        <v>22</v>
      </c>
      <c r="DL77" s="254">
        <v>37712</v>
      </c>
      <c r="DM77" s="255">
        <v>22</v>
      </c>
      <c r="DP77" s="55">
        <f>[5]Cinergy!$D68</f>
        <v>38200</v>
      </c>
      <c r="DQ77" s="56">
        <f ca="1">[5]OPPD_NPPD!$O68+[5]NSP!$O68</f>
        <v>0</v>
      </c>
      <c r="DR77" s="56">
        <f ca="1">[5]COMED!$O68</f>
        <v>0</v>
      </c>
      <c r="DS77" s="56">
        <f t="shared" ref="DS77:DS140" ca="1" si="162">DQ77+DR77</f>
        <v>0</v>
      </c>
      <c r="DT77" s="56">
        <f ca="1">SUM([5]OPPD_NPPD!$P68:$R68)+SUM([5]NSP!$P68:$R68)</f>
        <v>0</v>
      </c>
      <c r="DU77" s="56">
        <f ca="1">SUM([5]COMED!$P68:$R68)</f>
        <v>0</v>
      </c>
      <c r="DV77" s="56">
        <f t="shared" ref="DV77:DV140" ca="1" si="163">DT77+DU77</f>
        <v>0</v>
      </c>
      <c r="DW77" s="57"/>
      <c r="DX77" s="58">
        <f>[5]OtherPosn!$D68</f>
        <v>37168</v>
      </c>
      <c r="DY77" s="56">
        <f>[5]OtherPosn!$N68</f>
        <v>2385.392333984375</v>
      </c>
      <c r="DZ77" s="56">
        <f>SUM([5]OtherPosn!$O68:$P68)</f>
        <v>0</v>
      </c>
      <c r="EO77" s="54">
        <f t="shared" si="154"/>
        <v>37803</v>
      </c>
      <c r="EP77" s="449">
        <f t="shared" si="154"/>
        <v>22</v>
      </c>
      <c r="EQ77" s="297">
        <f t="shared" ref="EQ77:ER82" si="164">O77*$EP77</f>
        <v>649</v>
      </c>
      <c r="ER77" s="297">
        <f t="shared" si="164"/>
        <v>649</v>
      </c>
      <c r="ES77" s="25">
        <f t="shared" si="155"/>
        <v>0</v>
      </c>
      <c r="ET77" s="25">
        <f t="shared" si="155"/>
        <v>0</v>
      </c>
      <c r="EU77" s="25">
        <f t="shared" si="155"/>
        <v>0</v>
      </c>
    </row>
    <row r="78" spans="1:151" ht="18.75" customHeight="1" thickBot="1" x14ac:dyDescent="0.3">
      <c r="A78" s="678">
        <f>[5]COMED!$D56</f>
        <v>37834</v>
      </c>
      <c r="B78" s="679">
        <f ca="1">[5]COMED!$O56</f>
        <v>-277999.78125</v>
      </c>
      <c r="C78" s="680">
        <f t="shared" ca="1" si="100"/>
        <v>-898.65361155819494</v>
      </c>
      <c r="D78" s="680">
        <f t="shared" si="101"/>
        <v>0</v>
      </c>
      <c r="E78" s="679">
        <f t="shared" ca="1" si="102"/>
        <v>-277999.78125</v>
      </c>
      <c r="F78" s="681">
        <f t="shared" ca="1" si="123"/>
        <v>-898.65361155819494</v>
      </c>
      <c r="G78" s="433">
        <f>[5]COMED!$E56</f>
        <v>49.375</v>
      </c>
      <c r="H78" s="143">
        <f>+[5]COMED!$F56</f>
        <v>-0.5</v>
      </c>
      <c r="I78" s="682">
        <f t="shared" si="104"/>
        <v>48.875</v>
      </c>
      <c r="J78" s="679">
        <f t="shared" ca="1" si="124"/>
        <v>138999.890625</v>
      </c>
      <c r="K78" s="142">
        <f t="shared" si="105"/>
        <v>0</v>
      </c>
      <c r="L78" s="144">
        <f t="shared" ca="1" si="106"/>
        <v>138999.890625</v>
      </c>
      <c r="M78" s="104"/>
      <c r="N78"/>
      <c r="O78"/>
      <c r="P78"/>
      <c r="Q78"/>
      <c r="R78" s="104"/>
      <c r="S78" s="45"/>
      <c r="T78" s="46">
        <f t="shared" si="151"/>
        <v>2003</v>
      </c>
      <c r="U78" s="45">
        <f t="shared" si="152"/>
        <v>3</v>
      </c>
      <c r="V78" s="131" t="str">
        <f t="shared" si="150"/>
        <v>Q3 2003</v>
      </c>
      <c r="W78" s="131">
        <f t="array" aca="1" ref="W78" ca="1">SUM(IF((INT((MONTH($A$56:$A$91)-1)/3)=$U78-1)*(YEAR($A$56:$A$91)=$T78),$F$56:$F$91))</f>
        <v>-2296.6076913994748</v>
      </c>
      <c r="X78" s="132">
        <f t="array" aca="1" ref="X78" ca="1">SUM(IF((INT((MONTH($A$56:$A$91)-1)/3)=$U78-1)*(YEAR($A$56:$A$91)=$T78),$E$56:$E$91))</f>
        <v>-724300.890625</v>
      </c>
      <c r="Y78" s="104"/>
      <c r="Z78" s="187">
        <f t="shared" si="146"/>
        <v>37408</v>
      </c>
      <c r="AA78" s="178">
        <f t="shared" si="147"/>
        <v>40</v>
      </c>
      <c r="AB78" s="179">
        <f t="shared" ca="1" si="148"/>
        <v>-1649.6449729940928</v>
      </c>
      <c r="AC78" s="180">
        <f t="shared" ca="1" si="148"/>
        <v>-199.94739734698939</v>
      </c>
      <c r="AD78" s="180">
        <f t="shared" ca="1" si="149"/>
        <v>-1849.5923703410822</v>
      </c>
      <c r="AE78" s="104"/>
      <c r="AF78" s="104"/>
      <c r="AG78" s="104"/>
      <c r="AH78" s="104"/>
      <c r="AI78" s="104"/>
      <c r="AJ78" s="47">
        <f t="shared" si="110"/>
        <v>37834</v>
      </c>
      <c r="AK78" s="781">
        <f t="shared" ref="AK78:AR78" si="165">+AK77</f>
        <v>0</v>
      </c>
      <c r="AL78" s="778">
        <f t="shared" si="165"/>
        <v>0</v>
      </c>
      <c r="AM78" s="781">
        <f t="shared" si="165"/>
        <v>0</v>
      </c>
      <c r="AN78" s="778">
        <f t="shared" si="165"/>
        <v>0</v>
      </c>
      <c r="AO78" s="781">
        <f t="shared" si="165"/>
        <v>0</v>
      </c>
      <c r="AP78" s="778">
        <f t="shared" si="165"/>
        <v>0</v>
      </c>
      <c r="AQ78" s="781">
        <f t="shared" si="165"/>
        <v>0</v>
      </c>
      <c r="AR78" s="778">
        <f t="shared" si="165"/>
        <v>0</v>
      </c>
      <c r="AS78" s="789"/>
      <c r="AT78" s="790"/>
      <c r="AU78" s="843">
        <f t="shared" si="156"/>
        <v>0</v>
      </c>
      <c r="AV78" s="844">
        <f t="shared" si="157"/>
        <v>0</v>
      </c>
      <c r="AW78" s="843">
        <f t="shared" si="158"/>
        <v>0</v>
      </c>
      <c r="AX78" s="844">
        <f t="shared" si="159"/>
        <v>0</v>
      </c>
      <c r="AY78" s="843"/>
      <c r="AZ78" s="844"/>
      <c r="BA78" s="843"/>
      <c r="BB78" s="844"/>
      <c r="BC78" s="781"/>
      <c r="BD78" s="778"/>
      <c r="BE78" s="781"/>
      <c r="BF78" s="778"/>
      <c r="BG78" s="781"/>
      <c r="BH78" s="778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11"/>
        <v>0</v>
      </c>
      <c r="BZ78" s="49">
        <f t="shared" si="112"/>
        <v>0</v>
      </c>
      <c r="CA78" s="50"/>
      <c r="CB78" s="51">
        <f t="shared" si="113"/>
        <v>37834</v>
      </c>
      <c r="CC78" s="50">
        <f t="shared" si="114"/>
        <v>0</v>
      </c>
      <c r="CD78" s="52">
        <f t="shared" si="161"/>
        <v>336</v>
      </c>
      <c r="CE78" s="50">
        <f t="shared" si="161"/>
        <v>0.92068878453030767</v>
      </c>
      <c r="CF78" s="53">
        <f t="shared" ca="1" si="116"/>
        <v>0</v>
      </c>
      <c r="CG78" s="53">
        <f t="shared" si="117"/>
        <v>0</v>
      </c>
      <c r="CH78" s="53">
        <f t="shared" si="118"/>
        <v>0</v>
      </c>
      <c r="CI78" s="53">
        <f t="shared" si="119"/>
        <v>0</v>
      </c>
      <c r="CJ78" s="25">
        <f t="shared" si="120"/>
        <v>0</v>
      </c>
      <c r="CM78" s="438">
        <f t="shared" ca="1" si="129"/>
        <v>0</v>
      </c>
      <c r="DJ78" s="54">
        <f>[5]Cinergy!$D100</f>
        <v>39173</v>
      </c>
      <c r="DK78" s="30">
        <f t="shared" si="143"/>
        <v>21</v>
      </c>
      <c r="DL78" s="254">
        <v>37742</v>
      </c>
      <c r="DM78" s="255">
        <v>21</v>
      </c>
      <c r="DP78" s="55">
        <f>[5]Cinergy!$D69</f>
        <v>38231</v>
      </c>
      <c r="DQ78" s="56">
        <f ca="1">[5]OPPD_NPPD!$O69+[5]NSP!$O69</f>
        <v>0</v>
      </c>
      <c r="DR78" s="56">
        <f ca="1">[5]COMED!$O69</f>
        <v>0</v>
      </c>
      <c r="DS78" s="56">
        <f t="shared" ca="1" si="162"/>
        <v>0</v>
      </c>
      <c r="DT78" s="56">
        <f ca="1">SUM([5]OPPD_NPPD!$P69:$R69)+SUM([5]NSP!$P69:$R69)</f>
        <v>0</v>
      </c>
      <c r="DU78" s="56">
        <f ca="1">SUM([5]COMED!$P69:$R69)</f>
        <v>0</v>
      </c>
      <c r="DV78" s="56">
        <f t="shared" ca="1" si="163"/>
        <v>0</v>
      </c>
      <c r="DW78" s="57"/>
      <c r="DX78" s="58">
        <f>[5]OtherPosn!$D69</f>
        <v>37169</v>
      </c>
      <c r="DY78" s="56">
        <f>[5]OtherPosn!$N69</f>
        <v>2385.392333984375</v>
      </c>
      <c r="DZ78" s="56">
        <f>SUM([5]OtherPosn!$O69:$P69)</f>
        <v>0</v>
      </c>
      <c r="EO78" s="54">
        <f t="shared" si="154"/>
        <v>37834</v>
      </c>
      <c r="EP78" s="449">
        <f t="shared" si="154"/>
        <v>21</v>
      </c>
      <c r="EQ78" s="297">
        <f t="shared" si="164"/>
        <v>0</v>
      </c>
      <c r="ER78" s="297">
        <f t="shared" si="164"/>
        <v>0</v>
      </c>
      <c r="ES78" s="25">
        <f t="shared" si="155"/>
        <v>0</v>
      </c>
      <c r="ET78" s="25">
        <f t="shared" si="155"/>
        <v>0</v>
      </c>
      <c r="EU78" s="25">
        <f t="shared" si="155"/>
        <v>0</v>
      </c>
    </row>
    <row r="79" spans="1:151" ht="18.75" customHeight="1" x14ac:dyDescent="0.25">
      <c r="A79" s="683">
        <f>[5]COMED!$D57</f>
        <v>37865</v>
      </c>
      <c r="B79" s="684">
        <f ca="1">[5]COMED!$O57</f>
        <v>-153781.765625</v>
      </c>
      <c r="C79" s="685">
        <f t="shared" ca="1" si="100"/>
        <v>-499.25516195473477</v>
      </c>
      <c r="D79" s="685">
        <f t="shared" si="101"/>
        <v>0</v>
      </c>
      <c r="E79" s="684">
        <f t="shared" ca="1" si="102"/>
        <v>-153781.765625</v>
      </c>
      <c r="F79" s="686">
        <f t="shared" ca="1" si="123"/>
        <v>-499.25516195473477</v>
      </c>
      <c r="G79" s="687">
        <f>[5]COMED!$E57</f>
        <v>27.149995803833008</v>
      </c>
      <c r="H79" s="143">
        <f>+[5]COMED!$F57</f>
        <v>0</v>
      </c>
      <c r="I79" s="688">
        <f t="shared" si="104"/>
        <v>27.149995803833008</v>
      </c>
      <c r="J79" s="684">
        <f t="shared" ca="1" si="124"/>
        <v>0</v>
      </c>
      <c r="K79" s="689">
        <f t="shared" si="105"/>
        <v>0</v>
      </c>
      <c r="L79" s="690">
        <f t="shared" ca="1" si="106"/>
        <v>0</v>
      </c>
      <c r="M79" s="104"/>
      <c r="N79" s="257"/>
      <c r="O79" s="444"/>
      <c r="P79" s="444"/>
      <c r="Q79" s="445"/>
      <c r="R79" s="104"/>
      <c r="S79" s="957">
        <f>+Master!M33</f>
        <v>28.839477378409356</v>
      </c>
      <c r="T79" s="46">
        <f>IF(MONTH($B$2)&gt;8,YEAR($B$2)+1,YEAR($B$2))</f>
        <v>2002</v>
      </c>
      <c r="U79" s="45"/>
      <c r="V79" s="112" t="str">
        <f t="shared" si="150"/>
        <v>Bal 2002</v>
      </c>
      <c r="W79" s="112">
        <f t="array" aca="1" ref="W79" ca="1">SUM(IF((YEAR($A$56:$A$91)=$T79),$F$56:$F$91))</f>
        <v>-6298.0835446523606</v>
      </c>
      <c r="X79" s="168">
        <f t="array" aca="1" ref="X79" ca="1">SUM(IF((YEAR($A$56:$A$91)=$T79),$E$56:$E$91))</f>
        <v>-2099277.90234375</v>
      </c>
      <c r="Y79" s="104"/>
      <c r="Z79" s="185">
        <f t="shared" si="146"/>
        <v>37438</v>
      </c>
      <c r="AA79" s="204">
        <f t="shared" si="147"/>
        <v>53.625</v>
      </c>
      <c r="AB79" s="131">
        <f t="shared" ca="1" si="148"/>
        <v>-1133.7651384287142</v>
      </c>
      <c r="AC79" s="131">
        <f t="shared" ca="1" si="148"/>
        <v>-849.65850834542073</v>
      </c>
      <c r="AD79" s="131">
        <f t="shared" ca="1" si="149"/>
        <v>-1983.4236467741348</v>
      </c>
      <c r="AE79" s="104"/>
      <c r="AF79" s="104"/>
      <c r="AG79" s="104"/>
      <c r="AH79" s="104"/>
      <c r="AI79" s="104"/>
      <c r="AJ79" s="47">
        <f t="shared" si="110"/>
        <v>37865</v>
      </c>
      <c r="AK79" s="781"/>
      <c r="AL79" s="778"/>
      <c r="AM79" s="781"/>
      <c r="AN79" s="778"/>
      <c r="AO79" s="781"/>
      <c r="AP79" s="778"/>
      <c r="AQ79" s="781"/>
      <c r="AR79" s="778"/>
      <c r="AS79" s="789"/>
      <c r="AT79" s="790"/>
      <c r="AU79" s="843">
        <f t="shared" si="156"/>
        <v>0</v>
      </c>
      <c r="AV79" s="844">
        <f t="shared" si="157"/>
        <v>0</v>
      </c>
      <c r="AW79" s="843">
        <f t="shared" si="158"/>
        <v>0</v>
      </c>
      <c r="AX79" s="844">
        <f t="shared" si="159"/>
        <v>0</v>
      </c>
      <c r="AY79" s="843"/>
      <c r="AZ79" s="844"/>
      <c r="BA79" s="843"/>
      <c r="BB79" s="844"/>
      <c r="BC79" s="781"/>
      <c r="BD79" s="778"/>
      <c r="BE79" s="781"/>
      <c r="BF79" s="778"/>
      <c r="BG79" s="781"/>
      <c r="BH79" s="778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11"/>
        <v>0</v>
      </c>
      <c r="BZ79" s="49">
        <f t="shared" si="112"/>
        <v>0</v>
      </c>
      <c r="CA79" s="50"/>
      <c r="CB79" s="51">
        <f t="shared" si="113"/>
        <v>37865</v>
      </c>
      <c r="CC79" s="50">
        <f t="shared" si="114"/>
        <v>0</v>
      </c>
      <c r="CD79" s="52">
        <f t="shared" si="161"/>
        <v>336</v>
      </c>
      <c r="CE79" s="50">
        <f t="shared" si="161"/>
        <v>0.91673328819057276</v>
      </c>
      <c r="CF79" s="53">
        <f t="shared" ca="1" si="116"/>
        <v>0</v>
      </c>
      <c r="CG79" s="53">
        <f t="shared" si="117"/>
        <v>0</v>
      </c>
      <c r="CH79" s="53">
        <f t="shared" si="118"/>
        <v>0</v>
      </c>
      <c r="CI79" s="53">
        <f t="shared" si="119"/>
        <v>0</v>
      </c>
      <c r="CJ79" s="25">
        <f t="shared" si="120"/>
        <v>0</v>
      </c>
      <c r="CM79" s="438">
        <f t="shared" ca="1" si="129"/>
        <v>0</v>
      </c>
      <c r="DJ79" s="54">
        <f>[5]Cinergy!$D101</f>
        <v>39203</v>
      </c>
      <c r="DK79" s="30">
        <f t="shared" si="143"/>
        <v>22</v>
      </c>
      <c r="DL79" s="254">
        <v>37773</v>
      </c>
      <c r="DM79" s="255">
        <v>21</v>
      </c>
      <c r="DP79" s="55">
        <f>[5]Cinergy!$D70</f>
        <v>38261</v>
      </c>
      <c r="DQ79" s="56">
        <f ca="1">[5]OPPD_NPPD!$O70+[5]NSP!$O70</f>
        <v>0</v>
      </c>
      <c r="DR79" s="56">
        <f ca="1">[5]COMED!$O70</f>
        <v>0</v>
      </c>
      <c r="DS79" s="56">
        <f t="shared" ca="1" si="162"/>
        <v>0</v>
      </c>
      <c r="DT79" s="56">
        <f ca="1">SUM([5]OPPD_NPPD!$P70:$R70)+SUM([5]NSP!$P70:$R70)</f>
        <v>0</v>
      </c>
      <c r="DU79" s="56">
        <f ca="1">SUM([5]COMED!$P70:$R70)</f>
        <v>0</v>
      </c>
      <c r="DV79" s="56">
        <f t="shared" ca="1" si="163"/>
        <v>0</v>
      </c>
      <c r="DW79" s="57"/>
      <c r="DX79" s="58">
        <f>[5]OtherPosn!$D70</f>
        <v>37172</v>
      </c>
      <c r="DY79" s="56">
        <f>[5]OtherPosn!$N70</f>
        <v>2385.392333984375</v>
      </c>
      <c r="DZ79" s="56">
        <f>SUM([5]OtherPosn!$O70:$P70)</f>
        <v>0</v>
      </c>
      <c r="EO79" s="54">
        <f t="shared" si="154"/>
        <v>37865</v>
      </c>
      <c r="EP79" s="449">
        <f t="shared" si="154"/>
        <v>21</v>
      </c>
      <c r="EQ79" s="297">
        <f t="shared" si="164"/>
        <v>0</v>
      </c>
      <c r="ER79" s="297">
        <f t="shared" si="164"/>
        <v>0</v>
      </c>
      <c r="ES79" s="25">
        <f t="shared" si="155"/>
        <v>0</v>
      </c>
      <c r="ET79" s="25">
        <f t="shared" si="155"/>
        <v>0</v>
      </c>
      <c r="EU79" s="25">
        <f t="shared" si="155"/>
        <v>0</v>
      </c>
    </row>
    <row r="80" spans="1:151" ht="18.75" customHeight="1" thickBot="1" x14ac:dyDescent="0.3">
      <c r="A80" s="678">
        <f>[5]COMED!$D58</f>
        <v>37895</v>
      </c>
      <c r="B80" s="679">
        <f ca="1">[5]COMED!$O58</f>
        <v>-167670.328125</v>
      </c>
      <c r="C80" s="680">
        <f t="shared" ca="1" si="100"/>
        <v>-499.22246074884413</v>
      </c>
      <c r="D80" s="680">
        <f t="shared" si="101"/>
        <v>0</v>
      </c>
      <c r="E80" s="679">
        <f t="shared" ca="1" si="102"/>
        <v>-167670.328125</v>
      </c>
      <c r="F80" s="681">
        <f t="shared" ca="1" si="123"/>
        <v>-499.22246074884413</v>
      </c>
      <c r="G80" s="433">
        <f>[5]COMED!$E58</f>
        <v>28.771568298339844</v>
      </c>
      <c r="H80" s="143">
        <f>+[5]COMED!$F58</f>
        <v>-0.36500132083892822</v>
      </c>
      <c r="I80" s="682">
        <f t="shared" si="104"/>
        <v>28.406566977500916</v>
      </c>
      <c r="J80" s="679">
        <f t="shared" ca="1" si="124"/>
        <v>61199.891231121495</v>
      </c>
      <c r="K80" s="142">
        <f t="shared" si="105"/>
        <v>0</v>
      </c>
      <c r="L80" s="144">
        <f t="shared" ca="1" si="106"/>
        <v>61199.891231121495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50"/>
        <v>2003</v>
      </c>
      <c r="W80" s="131">
        <f t="array" aca="1" ref="W80" ca="1">SUM(IF((YEAR($A$56:$A$91)=$T80),$F$56:$F$91))</f>
        <v>-7689.4287525110858</v>
      </c>
      <c r="X80" s="132">
        <f t="array" aca="1" ref="X80" ca="1">SUM(IF((YEAR($A$56:$A$91)=$T80),$E$56:$E$91))</f>
        <v>-2426190.3125</v>
      </c>
      <c r="Y80" s="104"/>
      <c r="Z80" s="187">
        <f t="shared" si="146"/>
        <v>37469</v>
      </c>
      <c r="AA80" s="178">
        <f t="shared" si="147"/>
        <v>53.625</v>
      </c>
      <c r="AB80" s="179">
        <f t="shared" ca="1" si="148"/>
        <v>-1165.2615210977538</v>
      </c>
      <c r="AC80" s="180">
        <f t="shared" ca="1" si="148"/>
        <v>-849.59746029779365</v>
      </c>
      <c r="AD80" s="180">
        <f t="shared" ca="1" si="149"/>
        <v>-2014.8589813955473</v>
      </c>
      <c r="AE80" s="104"/>
      <c r="AF80" s="104"/>
      <c r="AG80" s="104"/>
      <c r="AH80" s="104"/>
      <c r="AI80" s="104"/>
      <c r="AJ80" s="47">
        <f t="shared" si="110"/>
        <v>37895</v>
      </c>
      <c r="AK80" s="781"/>
      <c r="AL80" s="778"/>
      <c r="AM80" s="781"/>
      <c r="AN80" s="778"/>
      <c r="AO80" s="781"/>
      <c r="AP80" s="778"/>
      <c r="AQ80" s="781"/>
      <c r="AR80" s="778"/>
      <c r="AS80" s="789"/>
      <c r="AT80" s="790"/>
      <c r="AU80" s="843">
        <f t="shared" si="156"/>
        <v>0</v>
      </c>
      <c r="AV80" s="844">
        <f t="shared" si="157"/>
        <v>0</v>
      </c>
      <c r="AW80" s="843">
        <f t="shared" si="158"/>
        <v>0</v>
      </c>
      <c r="AX80" s="844">
        <f t="shared" si="159"/>
        <v>0</v>
      </c>
      <c r="AY80" s="843"/>
      <c r="AZ80" s="844"/>
      <c r="BA80" s="843"/>
      <c r="BB80" s="844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11"/>
        <v>0</v>
      </c>
      <c r="BZ80" s="49">
        <f t="shared" si="112"/>
        <v>0</v>
      </c>
      <c r="CA80" s="50"/>
      <c r="CB80" s="51">
        <f t="shared" si="113"/>
        <v>37895</v>
      </c>
      <c r="CC80" s="50">
        <f t="shared" si="114"/>
        <v>0</v>
      </c>
      <c r="CD80" s="52">
        <f t="shared" si="161"/>
        <v>368</v>
      </c>
      <c r="CE80" s="50">
        <f t="shared" si="161"/>
        <v>0.91267105843069118</v>
      </c>
      <c r="CF80" s="53">
        <f t="shared" ca="1" si="116"/>
        <v>0</v>
      </c>
      <c r="CG80" s="53">
        <f t="shared" si="117"/>
        <v>0</v>
      </c>
      <c r="CH80" s="53">
        <f t="shared" si="118"/>
        <v>0</v>
      </c>
      <c r="CI80" s="53">
        <f t="shared" si="119"/>
        <v>0</v>
      </c>
      <c r="CJ80" s="25">
        <f t="shared" si="120"/>
        <v>0</v>
      </c>
      <c r="CM80" s="438">
        <f t="shared" ca="1" si="129"/>
        <v>0</v>
      </c>
      <c r="DJ80" s="54">
        <f>[5]Cinergy!$D102</f>
        <v>39234</v>
      </c>
      <c r="DK80" s="30">
        <f t="shared" si="143"/>
        <v>21</v>
      </c>
      <c r="DL80" s="254">
        <v>37803</v>
      </c>
      <c r="DM80" s="255">
        <v>22</v>
      </c>
      <c r="DP80" s="55">
        <f>[5]Cinergy!$D71</f>
        <v>38292</v>
      </c>
      <c r="DQ80" s="56">
        <f ca="1">[5]OPPD_NPPD!$O71+[5]NSP!$O71</f>
        <v>0</v>
      </c>
      <c r="DR80" s="56">
        <f ca="1">[5]COMED!$O71</f>
        <v>0</v>
      </c>
      <c r="DS80" s="56">
        <f t="shared" ca="1" si="162"/>
        <v>0</v>
      </c>
      <c r="DT80" s="56">
        <f ca="1">SUM([5]OPPD_NPPD!$P71:$R71)+SUM([5]NSP!$P71:$R71)</f>
        <v>0</v>
      </c>
      <c r="DU80" s="56">
        <f ca="1">SUM([5]COMED!$P71:$R71)</f>
        <v>0</v>
      </c>
      <c r="DV80" s="56">
        <f t="shared" ca="1" si="163"/>
        <v>0</v>
      </c>
      <c r="DW80" s="57"/>
      <c r="DX80" s="58">
        <f>[5]OtherPosn!$D71</f>
        <v>37195</v>
      </c>
      <c r="DY80" s="56">
        <f>[5]OtherPosn!$N71</f>
        <v>40551.66796875</v>
      </c>
      <c r="DZ80" s="56">
        <f>SUM([5]OtherPosn!$O71:$P71)</f>
        <v>0</v>
      </c>
      <c r="EO80" s="54">
        <f t="shared" si="154"/>
        <v>37895</v>
      </c>
      <c r="EP80" s="449">
        <f t="shared" si="154"/>
        <v>23</v>
      </c>
      <c r="EQ80" s="297">
        <f t="shared" si="164"/>
        <v>0</v>
      </c>
      <c r="ER80" s="297">
        <f t="shared" si="164"/>
        <v>0</v>
      </c>
    </row>
    <row r="81" spans="1:148" ht="18.75" customHeight="1" thickBot="1" x14ac:dyDescent="0.3">
      <c r="A81" s="683">
        <f>[5]COMED!$D59</f>
        <v>37926</v>
      </c>
      <c r="B81" s="684">
        <f ca="1">[5]COMED!$O59</f>
        <v>-137899.078125</v>
      </c>
      <c r="C81" s="685">
        <f t="shared" ca="1" si="100"/>
        <v>-499.21446481662952</v>
      </c>
      <c r="D81" s="685">
        <f t="shared" si="101"/>
        <v>0</v>
      </c>
      <c r="E81" s="684">
        <f t="shared" ca="1" si="102"/>
        <v>-137899.078125</v>
      </c>
      <c r="F81" s="686">
        <f t="shared" ca="1" si="123"/>
        <v>-499.21446481662952</v>
      </c>
      <c r="G81" s="687">
        <f>[5]COMED!$E59</f>
        <v>28.871562957763672</v>
      </c>
      <c r="H81" s="143">
        <f>+[5]COMED!$F59</f>
        <v>-0.36500132083892822</v>
      </c>
      <c r="I81" s="688">
        <f t="shared" si="104"/>
        <v>28.506561636924744</v>
      </c>
      <c r="J81" s="684">
        <f t="shared" ca="1" si="124"/>
        <v>50333.345658095554</v>
      </c>
      <c r="K81" s="689">
        <f t="shared" si="105"/>
        <v>0</v>
      </c>
      <c r="L81" s="690">
        <f t="shared" ca="1" si="106"/>
        <v>50333.345658095554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50"/>
        <v>2004</v>
      </c>
      <c r="W81" s="112">
        <f t="array" aca="1" ref="W81" ca="1">SUM(IF((YEAR($A$56:$A$91)=$T81),$F$56:$F$91))</f>
        <v>0</v>
      </c>
      <c r="X81" s="168">
        <f t="array" aca="1" ref="X81" ca="1">SUM(IF((YEAR($A$56:$A$91)=$T81),$E$56:$E$91))</f>
        <v>0</v>
      </c>
      <c r="Y81" s="104"/>
      <c r="Z81" s="185">
        <f t="shared" si="146"/>
        <v>37500</v>
      </c>
      <c r="AA81" s="204">
        <f t="shared" si="147"/>
        <v>27.249994277954102</v>
      </c>
      <c r="AB81" s="131">
        <f t="shared" ca="1" si="148"/>
        <v>-849.5067105854049</v>
      </c>
      <c r="AC81" s="131">
        <f t="shared" ca="1" si="148"/>
        <v>299.81501646952688</v>
      </c>
      <c r="AD81" s="131">
        <f t="shared" ca="1" si="149"/>
        <v>-549.69169411587802</v>
      </c>
      <c r="AE81" s="104"/>
      <c r="AF81" s="104"/>
      <c r="AG81" s="104"/>
      <c r="AH81" s="104"/>
      <c r="AI81" s="104"/>
      <c r="AJ81" s="47">
        <f t="shared" si="110"/>
        <v>37926</v>
      </c>
      <c r="AK81" s="781">
        <f t="shared" ref="AK81:AR82" si="166">+AK80</f>
        <v>0</v>
      </c>
      <c r="AL81" s="778">
        <f t="shared" si="166"/>
        <v>0</v>
      </c>
      <c r="AM81" s="781">
        <f t="shared" si="166"/>
        <v>0</v>
      </c>
      <c r="AN81" s="778">
        <f t="shared" si="166"/>
        <v>0</v>
      </c>
      <c r="AO81" s="781">
        <f t="shared" si="166"/>
        <v>0</v>
      </c>
      <c r="AP81" s="778">
        <f t="shared" si="166"/>
        <v>0</v>
      </c>
      <c r="AQ81" s="781">
        <f t="shared" si="166"/>
        <v>0</v>
      </c>
      <c r="AR81" s="778">
        <f t="shared" si="166"/>
        <v>0</v>
      </c>
      <c r="AS81" s="789"/>
      <c r="AT81" s="790"/>
      <c r="AU81" s="843">
        <f t="shared" si="156"/>
        <v>0</v>
      </c>
      <c r="AV81" s="844">
        <f t="shared" si="157"/>
        <v>0</v>
      </c>
      <c r="AW81" s="843">
        <f t="shared" si="158"/>
        <v>0</v>
      </c>
      <c r="AX81" s="844">
        <f t="shared" si="159"/>
        <v>0</v>
      </c>
      <c r="AY81" s="843"/>
      <c r="AZ81" s="844"/>
      <c r="BA81" s="843"/>
      <c r="BB81" s="844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11"/>
        <v>0</v>
      </c>
      <c r="BZ81" s="49">
        <f t="shared" si="112"/>
        <v>0</v>
      </c>
      <c r="CA81" s="50"/>
      <c r="CB81" s="51">
        <f t="shared" si="113"/>
        <v>37926</v>
      </c>
      <c r="CC81" s="50">
        <f t="shared" si="114"/>
        <v>0</v>
      </c>
      <c r="CD81" s="52">
        <f t="shared" si="161"/>
        <v>304</v>
      </c>
      <c r="CE81" s="50">
        <f t="shared" si="161"/>
        <v>0.90865834333486328</v>
      </c>
      <c r="CF81" s="53">
        <f t="shared" ca="1" si="116"/>
        <v>0</v>
      </c>
      <c r="CG81" s="53">
        <f t="shared" si="117"/>
        <v>0</v>
      </c>
      <c r="CH81" s="53">
        <f t="shared" si="118"/>
        <v>0</v>
      </c>
      <c r="CI81" s="53">
        <f t="shared" si="119"/>
        <v>0</v>
      </c>
      <c r="CJ81" s="25">
        <f t="shared" si="120"/>
        <v>0</v>
      </c>
      <c r="CM81" s="438">
        <f t="shared" ca="1" si="129"/>
        <v>0</v>
      </c>
      <c r="DJ81" s="54">
        <f>[5]Cinergy!$D103</f>
        <v>39264</v>
      </c>
      <c r="DK81" s="30">
        <f t="shared" si="143"/>
        <v>21</v>
      </c>
      <c r="DL81" s="254">
        <v>37834</v>
      </c>
      <c r="DM81" s="255">
        <v>21</v>
      </c>
      <c r="DP81" s="55">
        <f>[5]Cinergy!$D72</f>
        <v>38322</v>
      </c>
      <c r="DQ81" s="56">
        <f ca="1">[5]OPPD_NPPD!$O72+[5]NSP!$O72</f>
        <v>0</v>
      </c>
      <c r="DR81" s="56">
        <f ca="1">[5]COMED!$O72</f>
        <v>0</v>
      </c>
      <c r="DS81" s="56">
        <f t="shared" ca="1" si="162"/>
        <v>0</v>
      </c>
      <c r="DT81" s="56">
        <f ca="1">SUM([5]OPPD_NPPD!$P72:$R72)+SUM([5]NSP!$P72:$R72)</f>
        <v>0</v>
      </c>
      <c r="DU81" s="56">
        <f ca="1">SUM([5]COMED!$P72:$R72)</f>
        <v>0</v>
      </c>
      <c r="DV81" s="56">
        <f t="shared" ca="1" si="163"/>
        <v>0</v>
      </c>
      <c r="DW81" s="57"/>
      <c r="DX81" s="58">
        <f>[5]OtherPosn!$D72</f>
        <v>37196</v>
      </c>
      <c r="DY81" s="56">
        <f>[5]OtherPosn!$N72</f>
        <v>49950.2890625</v>
      </c>
      <c r="DZ81" s="56">
        <f>SUM([5]OtherPosn!$O72:$P72)</f>
        <v>0</v>
      </c>
      <c r="EO81" s="54">
        <f t="shared" si="154"/>
        <v>37926</v>
      </c>
      <c r="EP81" s="449">
        <f t="shared" si="154"/>
        <v>19</v>
      </c>
      <c r="EQ81" s="297" t="e">
        <f t="shared" si="164"/>
        <v>#N/A</v>
      </c>
      <c r="ER81" s="297" t="e">
        <f t="shared" si="164"/>
        <v>#N/A</v>
      </c>
    </row>
    <row r="82" spans="1:148" ht="18.75" customHeight="1" thickBot="1" x14ac:dyDescent="0.3">
      <c r="A82" s="678">
        <f>[5]COMED!$D60</f>
        <v>37956</v>
      </c>
      <c r="B82" s="679">
        <f ca="1">[5]COMED!$O60</f>
        <v>-158935.65625</v>
      </c>
      <c r="C82" s="680">
        <f t="shared" ca="1" si="100"/>
        <v>-499.18170060189607</v>
      </c>
      <c r="D82" s="680">
        <f t="shared" si="101"/>
        <v>0</v>
      </c>
      <c r="E82" s="679">
        <f t="shared" ca="1" si="102"/>
        <v>-158935.65625</v>
      </c>
      <c r="F82" s="681">
        <f t="shared" ca="1" si="123"/>
        <v>-499.18170060189607</v>
      </c>
      <c r="G82" s="433">
        <f>[5]COMED!$E60</f>
        <v>28.971563339233398</v>
      </c>
      <c r="H82" s="143">
        <f>+[5]COMED!$F60</f>
        <v>-0.36500132083892822</v>
      </c>
      <c r="I82" s="682">
        <f t="shared" si="104"/>
        <v>28.60656201839447</v>
      </c>
      <c r="J82" s="679">
        <f t="shared" ca="1" si="124"/>
        <v>58011.724459651858</v>
      </c>
      <c r="K82" s="142">
        <f t="shared" si="105"/>
        <v>0</v>
      </c>
      <c r="L82" s="144">
        <f t="shared" ca="1" si="106"/>
        <v>58011.724459651858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-100</v>
      </c>
      <c r="X82" s="161">
        <f ca="1">SUM(CF56:CF91)</f>
        <v>-36526.009147920617</v>
      </c>
      <c r="Y82" s="104"/>
      <c r="Z82" s="188">
        <f t="shared" si="146"/>
        <v>37530</v>
      </c>
      <c r="AA82" s="181">
        <f t="shared" si="147"/>
        <v>28.256248146295547</v>
      </c>
      <c r="AB82" s="182">
        <f t="shared" ca="1" si="148"/>
        <v>596.37715128731486</v>
      </c>
      <c r="AC82" s="183">
        <f t="shared" ca="1" si="148"/>
        <v>-499.61517461818897</v>
      </c>
      <c r="AD82" s="183">
        <f t="shared" ca="1" si="149"/>
        <v>96.761976669125886</v>
      </c>
      <c r="AE82" s="104"/>
      <c r="AF82" s="104"/>
      <c r="AG82" s="104"/>
      <c r="AH82" s="104"/>
      <c r="AI82" s="104"/>
      <c r="AJ82" s="47">
        <f t="shared" si="110"/>
        <v>37956</v>
      </c>
      <c r="AK82" s="781">
        <f t="shared" si="166"/>
        <v>0</v>
      </c>
      <c r="AL82" s="778">
        <f t="shared" si="166"/>
        <v>0</v>
      </c>
      <c r="AM82" s="781">
        <f t="shared" si="166"/>
        <v>0</v>
      </c>
      <c r="AN82" s="778">
        <f t="shared" si="166"/>
        <v>0</v>
      </c>
      <c r="AO82" s="781">
        <f t="shared" si="166"/>
        <v>0</v>
      </c>
      <c r="AP82" s="778">
        <f t="shared" si="166"/>
        <v>0</v>
      </c>
      <c r="AQ82" s="781">
        <f t="shared" si="166"/>
        <v>0</v>
      </c>
      <c r="AR82" s="778">
        <f t="shared" si="166"/>
        <v>0</v>
      </c>
      <c r="AS82" s="789"/>
      <c r="AT82" s="790"/>
      <c r="AU82" s="843">
        <f t="shared" si="156"/>
        <v>0</v>
      </c>
      <c r="AV82" s="844">
        <f t="shared" si="157"/>
        <v>0</v>
      </c>
      <c r="AW82" s="843">
        <f t="shared" si="158"/>
        <v>0</v>
      </c>
      <c r="AX82" s="844">
        <f t="shared" si="159"/>
        <v>0</v>
      </c>
      <c r="AY82" s="843"/>
      <c r="AZ82" s="844"/>
      <c r="BA82" s="843"/>
      <c r="BB82" s="844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11"/>
        <v>0</v>
      </c>
      <c r="BZ82" s="49">
        <f t="shared" si="112"/>
        <v>0</v>
      </c>
      <c r="CB82" s="51">
        <f t="shared" si="113"/>
        <v>37956</v>
      </c>
      <c r="CC82" s="50">
        <f t="shared" si="114"/>
        <v>0</v>
      </c>
      <c r="CD82" s="52">
        <f t="shared" si="161"/>
        <v>352</v>
      </c>
      <c r="CE82" s="50">
        <f t="shared" si="161"/>
        <v>0.90452384405477593</v>
      </c>
      <c r="CF82" s="53">
        <f t="shared" ca="1" si="116"/>
        <v>0</v>
      </c>
      <c r="CG82" s="53">
        <f t="shared" si="117"/>
        <v>0</v>
      </c>
      <c r="CH82" s="53">
        <f t="shared" si="118"/>
        <v>0</v>
      </c>
      <c r="CI82" s="53">
        <f t="shared" si="119"/>
        <v>0</v>
      </c>
      <c r="CJ82" s="25">
        <f t="shared" si="120"/>
        <v>0</v>
      </c>
      <c r="CM82" s="438">
        <f t="shared" ca="1" si="129"/>
        <v>0</v>
      </c>
      <c r="DJ82" s="54">
        <f>[5]Cinergy!$D104</f>
        <v>39295</v>
      </c>
      <c r="DK82" s="30">
        <f t="shared" si="143"/>
        <v>23</v>
      </c>
      <c r="DL82" s="254">
        <v>37865</v>
      </c>
      <c r="DM82" s="255">
        <v>21</v>
      </c>
      <c r="DP82" s="55">
        <f>[5]Cinergy!$D73</f>
        <v>38353</v>
      </c>
      <c r="DQ82" s="56">
        <f ca="1">[5]OPPD_NPPD!$O73+[5]NSP!$O73</f>
        <v>0</v>
      </c>
      <c r="DR82" s="56">
        <f ca="1">[5]COMED!$O73</f>
        <v>-14260.447265625</v>
      </c>
      <c r="DS82" s="56">
        <f t="shared" ca="1" si="162"/>
        <v>-14260.447265625</v>
      </c>
      <c r="DT82" s="56">
        <f ca="1">SUM([5]OPPD_NPPD!$P73:$R73)+SUM([5]NSP!$P73:$R73)</f>
        <v>0</v>
      </c>
      <c r="DU82" s="56">
        <f ca="1">SUM([5]COMED!$P73:$R73)</f>
        <v>0</v>
      </c>
      <c r="DV82" s="56">
        <f t="shared" ca="1" si="163"/>
        <v>0</v>
      </c>
      <c r="DW82" s="57"/>
      <c r="DX82" s="58">
        <f>[5]OtherPosn!$D73</f>
        <v>37226</v>
      </c>
      <c r="DY82" s="56">
        <f>[5]OtherPosn!$N73</f>
        <v>47431.5234375</v>
      </c>
      <c r="DZ82" s="56">
        <f>SUM([5]OtherPosn!$O73:$P73)</f>
        <v>0</v>
      </c>
      <c r="EO82" s="54">
        <f t="shared" si="154"/>
        <v>37956</v>
      </c>
      <c r="EP82" s="449">
        <f t="shared" si="154"/>
        <v>22</v>
      </c>
      <c r="EQ82" s="297">
        <f t="shared" si="164"/>
        <v>517</v>
      </c>
      <c r="ER82" s="297">
        <f t="shared" si="164"/>
        <v>528</v>
      </c>
    </row>
    <row r="83" spans="1:148" ht="18.75" customHeight="1" x14ac:dyDescent="0.25">
      <c r="A83" s="683">
        <f>[5]COMED!$D61</f>
        <v>37987</v>
      </c>
      <c r="B83" s="684">
        <f ca="1">[5]COMED!$O61</f>
        <v>0</v>
      </c>
      <c r="C83" s="685">
        <f t="shared" ca="1" si="100"/>
        <v>0</v>
      </c>
      <c r="D83" s="685">
        <f t="shared" si="101"/>
        <v>0</v>
      </c>
      <c r="E83" s="684">
        <f t="shared" ca="1" si="102"/>
        <v>0</v>
      </c>
      <c r="F83" s="686">
        <f t="shared" ca="1" si="123"/>
        <v>0</v>
      </c>
      <c r="G83" s="687">
        <f>[5]COMED!$E61</f>
        <v>30.408714294433594</v>
      </c>
      <c r="H83" s="143">
        <f>+[5]COMED!$F61</f>
        <v>1.8165225057487078E-7</v>
      </c>
      <c r="I83" s="688">
        <f t="shared" si="104"/>
        <v>30.408714476085844</v>
      </c>
      <c r="J83" s="684">
        <f t="shared" ca="1" si="124"/>
        <v>0</v>
      </c>
      <c r="K83" s="689">
        <f t="shared" si="105"/>
        <v>0</v>
      </c>
      <c r="L83" s="690">
        <f t="shared" ca="1" si="106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10"/>
        <v>37987</v>
      </c>
      <c r="AK83" s="781"/>
      <c r="AL83" s="778"/>
      <c r="AM83" s="781"/>
      <c r="AN83" s="778"/>
      <c r="AO83" s="781"/>
      <c r="AP83" s="778"/>
      <c r="AQ83" s="781"/>
      <c r="AR83" s="778"/>
      <c r="AS83" s="789"/>
      <c r="AT83" s="790"/>
      <c r="AU83" s="843"/>
      <c r="AV83" s="844"/>
      <c r="AW83" s="843"/>
      <c r="AX83" s="844"/>
      <c r="AY83" s="843"/>
      <c r="AZ83" s="844"/>
      <c r="BA83" s="843"/>
      <c r="BB83" s="844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11"/>
        <v>0</v>
      </c>
      <c r="BZ83" s="49">
        <f t="shared" si="112"/>
        <v>0</v>
      </c>
      <c r="CB83" s="51">
        <f t="shared" si="113"/>
        <v>37987</v>
      </c>
      <c r="CC83" s="50">
        <f t="shared" si="114"/>
        <v>0</v>
      </c>
      <c r="CD83" s="52">
        <f t="shared" si="161"/>
        <v>336</v>
      </c>
      <c r="CE83" s="50">
        <f t="shared" si="161"/>
        <v>0.90032704046417211</v>
      </c>
      <c r="CF83" s="53">
        <f t="shared" ca="1" si="116"/>
        <v>0</v>
      </c>
      <c r="CG83" s="53">
        <f t="shared" si="117"/>
        <v>0</v>
      </c>
      <c r="CH83" s="53">
        <f t="shared" si="118"/>
        <v>0</v>
      </c>
      <c r="CI83" s="53">
        <f t="shared" si="119"/>
        <v>0</v>
      </c>
      <c r="CJ83" s="25">
        <f t="shared" si="120"/>
        <v>0</v>
      </c>
      <c r="CM83" s="438">
        <f t="shared" ca="1" si="129"/>
        <v>0</v>
      </c>
      <c r="DJ83" s="54">
        <f>[5]Cinergy!$D105</f>
        <v>39326</v>
      </c>
      <c r="DK83" s="30">
        <f t="shared" si="143"/>
        <v>19</v>
      </c>
      <c r="DL83" s="254">
        <v>37895</v>
      </c>
      <c r="DM83" s="255">
        <v>23</v>
      </c>
      <c r="DP83" s="55">
        <f>[5]Cinergy!$D74</f>
        <v>38384</v>
      </c>
      <c r="DQ83" s="56">
        <f ca="1">[5]OPPD_NPPD!$O74+[5]NSP!$O74</f>
        <v>0</v>
      </c>
      <c r="DR83" s="56">
        <f ca="1">[5]COMED!$O74</f>
        <v>-13519.8544921875</v>
      </c>
      <c r="DS83" s="56">
        <f t="shared" ca="1" si="162"/>
        <v>-13519.8544921875</v>
      </c>
      <c r="DT83" s="56">
        <f ca="1">SUM([5]OPPD_NPPD!$P74:$R74)+SUM([5]NSP!$P74:$R74)</f>
        <v>0</v>
      </c>
      <c r="DU83" s="56">
        <f ca="1">SUM([5]COMED!$P74:$R74)</f>
        <v>0</v>
      </c>
      <c r="DV83" s="56">
        <f t="shared" ca="1" si="163"/>
        <v>0</v>
      </c>
      <c r="DW83" s="57"/>
      <c r="DX83" s="58">
        <f>[5]OtherPosn!$D74</f>
        <v>37257</v>
      </c>
      <c r="DY83" s="56">
        <f>[5]OtherPosn!$N74</f>
        <v>69367.5234375</v>
      </c>
      <c r="DZ83" s="56">
        <f>SUM([5]OtherPosn!$O74:$P74)</f>
        <v>0</v>
      </c>
      <c r="EO83"/>
      <c r="EP83"/>
      <c r="EQ83" s="297"/>
      <c r="ER83" s="297"/>
    </row>
    <row r="84" spans="1:148" ht="18.75" thickBot="1" x14ac:dyDescent="0.3">
      <c r="A84" s="678">
        <f>[5]COMED!$D62</f>
        <v>38018</v>
      </c>
      <c r="B84" s="679">
        <f ca="1">[5]COMED!$O62</f>
        <v>0</v>
      </c>
      <c r="C84" s="680">
        <f t="shared" ca="1" si="100"/>
        <v>0</v>
      </c>
      <c r="D84" s="680">
        <f t="shared" si="101"/>
        <v>0</v>
      </c>
      <c r="E84" s="679">
        <f t="shared" ca="1" si="102"/>
        <v>0</v>
      </c>
      <c r="F84" s="681">
        <f t="shared" ca="1" si="123"/>
        <v>0</v>
      </c>
      <c r="G84" s="433">
        <f>[5]COMED!$E62</f>
        <v>29.810710906982422</v>
      </c>
      <c r="H84" s="143">
        <f>+[5]COMED!$F62</f>
        <v>1.8165225057487078E-7</v>
      </c>
      <c r="I84" s="682">
        <f t="shared" si="104"/>
        <v>29.810711088634672</v>
      </c>
      <c r="J84" s="679">
        <f t="shared" ca="1" si="124"/>
        <v>0</v>
      </c>
      <c r="K84" s="142">
        <f t="shared" si="105"/>
        <v>0</v>
      </c>
      <c r="L84" s="144">
        <f t="shared" ca="1" si="106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10"/>
        <v>38018</v>
      </c>
      <c r="AK84" s="781"/>
      <c r="AL84" s="778"/>
      <c r="AM84" s="781"/>
      <c r="AN84" s="778"/>
      <c r="AO84" s="781"/>
      <c r="AP84" s="778"/>
      <c r="AQ84" s="781"/>
      <c r="AR84" s="778"/>
      <c r="AS84" s="789"/>
      <c r="AT84" s="790"/>
      <c r="AU84" s="843"/>
      <c r="AV84" s="844"/>
      <c r="AW84" s="843"/>
      <c r="AX84" s="844"/>
      <c r="AY84" s="843"/>
      <c r="AZ84" s="844"/>
      <c r="BA84" s="843"/>
      <c r="BB84" s="844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11"/>
        <v>0</v>
      </c>
      <c r="BZ84" s="49">
        <f t="shared" si="112"/>
        <v>0</v>
      </c>
      <c r="CB84" s="51">
        <f t="shared" si="113"/>
        <v>38018</v>
      </c>
      <c r="CC84" s="50">
        <f t="shared" si="114"/>
        <v>0</v>
      </c>
      <c r="CD84" s="52">
        <f t="shared" si="161"/>
        <v>320</v>
      </c>
      <c r="CE84" s="50">
        <f t="shared" si="161"/>
        <v>0.8963123211219497</v>
      </c>
      <c r="CF84" s="53">
        <f t="shared" ca="1" si="116"/>
        <v>0</v>
      </c>
      <c r="CG84" s="53">
        <f t="shared" si="117"/>
        <v>0</v>
      </c>
      <c r="CH84" s="53">
        <f t="shared" si="118"/>
        <v>0</v>
      </c>
      <c r="CI84" s="53">
        <f t="shared" si="119"/>
        <v>0</v>
      </c>
      <c r="CJ84" s="25">
        <f t="shared" si="120"/>
        <v>0</v>
      </c>
      <c r="CM84" s="438">
        <f t="shared" ca="1" si="129"/>
        <v>0</v>
      </c>
      <c r="DJ84" s="54">
        <f>[5]Cinergy!$D106</f>
        <v>39356</v>
      </c>
      <c r="DK84" s="30">
        <f t="shared" si="143"/>
        <v>23</v>
      </c>
      <c r="DL84" s="254">
        <v>37926</v>
      </c>
      <c r="DM84" s="255">
        <v>19</v>
      </c>
      <c r="DP84" s="55">
        <f>[5]Cinergy!$D75</f>
        <v>38412</v>
      </c>
      <c r="DQ84" s="56">
        <f ca="1">[5]OPPD_NPPD!$O75+[5]NSP!$O75</f>
        <v>0</v>
      </c>
      <c r="DR84" s="56">
        <f ca="1">[5]COMED!$O75</f>
        <v>-15470.18359375</v>
      </c>
      <c r="DS84" s="56">
        <f t="shared" ca="1" si="162"/>
        <v>-15470.18359375</v>
      </c>
      <c r="DT84" s="56">
        <f ca="1">SUM([5]OPPD_NPPD!$P75:$R75)+SUM([5]NSP!$P75:$R75)</f>
        <v>0</v>
      </c>
      <c r="DU84" s="56">
        <f ca="1">SUM([5]COMED!$P75:$R75)</f>
        <v>0</v>
      </c>
      <c r="DV84" s="56">
        <f t="shared" ca="1" si="163"/>
        <v>0</v>
      </c>
      <c r="DW84" s="57"/>
      <c r="DX84" s="58">
        <f>[5]OtherPosn!$D75</f>
        <v>37288</v>
      </c>
      <c r="DY84" s="56">
        <f>[5]OtherPosn!$N75</f>
        <v>62893.38671875</v>
      </c>
      <c r="DZ84" s="56">
        <f>SUM([5]OtherPosn!$O75:$P75)</f>
        <v>0</v>
      </c>
    </row>
    <row r="85" spans="1:148" ht="18" x14ac:dyDescent="0.25">
      <c r="A85" s="683">
        <f>[5]COMED!$D63</f>
        <v>38047</v>
      </c>
      <c r="B85" s="684">
        <f ca="1">[5]COMED!$O63</f>
        <v>0</v>
      </c>
      <c r="C85" s="685">
        <f t="shared" ca="1" si="100"/>
        <v>0</v>
      </c>
      <c r="D85" s="685">
        <f t="shared" si="101"/>
        <v>0</v>
      </c>
      <c r="E85" s="684">
        <f t="shared" ca="1" si="102"/>
        <v>0</v>
      </c>
      <c r="F85" s="686">
        <f t="shared" ca="1" si="123"/>
        <v>0</v>
      </c>
      <c r="G85" s="687">
        <f>[5]COMED!$E63</f>
        <v>29.022680282592773</v>
      </c>
      <c r="H85" s="143">
        <f>+[5]COMED!$F63</f>
        <v>-0.25000044356944784</v>
      </c>
      <c r="I85" s="688">
        <f t="shared" si="104"/>
        <v>28.772679839023326</v>
      </c>
      <c r="J85" s="684">
        <f t="shared" ca="1" si="124"/>
        <v>0</v>
      </c>
      <c r="K85" s="689">
        <f t="shared" si="105"/>
        <v>0</v>
      </c>
      <c r="L85" s="690">
        <f t="shared" ca="1" si="106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10"/>
        <v>38047</v>
      </c>
      <c r="AK85" s="781"/>
      <c r="AL85" s="778"/>
      <c r="AM85" s="781"/>
      <c r="AN85" s="778"/>
      <c r="AO85" s="781"/>
      <c r="AP85" s="778"/>
      <c r="AQ85" s="781"/>
      <c r="AR85" s="778"/>
      <c r="AS85" s="789"/>
      <c r="AT85" s="790"/>
      <c r="AU85" s="843"/>
      <c r="AV85" s="844"/>
      <c r="AW85" s="843"/>
      <c r="AX85" s="844"/>
      <c r="AY85" s="78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11"/>
        <v>0</v>
      </c>
      <c r="BZ85" s="49">
        <f t="shared" si="112"/>
        <v>0</v>
      </c>
      <c r="CB85" s="51">
        <f t="shared" si="113"/>
        <v>38047</v>
      </c>
      <c r="CC85" s="50">
        <f t="shared" si="114"/>
        <v>0</v>
      </c>
      <c r="CD85" s="52">
        <f t="shared" si="161"/>
        <v>368</v>
      </c>
      <c r="CE85" s="50">
        <f t="shared" si="161"/>
        <v>0.89210655360418001</v>
      </c>
      <c r="CF85" s="53">
        <f t="shared" ca="1" si="116"/>
        <v>0</v>
      </c>
      <c r="CG85" s="53">
        <f t="shared" si="117"/>
        <v>0</v>
      </c>
      <c r="CH85" s="53">
        <f t="shared" si="118"/>
        <v>0</v>
      </c>
      <c r="CI85" s="53">
        <f t="shared" si="119"/>
        <v>0</v>
      </c>
      <c r="CJ85" s="25">
        <f t="shared" si="120"/>
        <v>0</v>
      </c>
      <c r="CM85" s="438">
        <f t="shared" ca="1" si="129"/>
        <v>0</v>
      </c>
      <c r="DJ85" s="54">
        <f>[5]Cinergy!$D107</f>
        <v>39387</v>
      </c>
      <c r="DK85" s="30">
        <f t="shared" si="143"/>
        <v>21</v>
      </c>
      <c r="DL85" s="254">
        <v>37956</v>
      </c>
      <c r="DM85" s="255">
        <v>22</v>
      </c>
      <c r="DP85" s="55">
        <f>[5]Cinergy!$D76</f>
        <v>38443</v>
      </c>
      <c r="DQ85" s="56">
        <f ca="1">[5]OPPD_NPPD!$O76+[5]NSP!$O76</f>
        <v>0</v>
      </c>
      <c r="DR85" s="56">
        <f ca="1">[5]COMED!$O76</f>
        <v>-14056.44140625</v>
      </c>
      <c r="DS85" s="56">
        <f t="shared" ca="1" si="162"/>
        <v>-14056.44140625</v>
      </c>
      <c r="DT85" s="56">
        <f ca="1">SUM([5]OPPD_NPPD!$P76:$R76)+SUM([5]NSP!$P76:$R76)</f>
        <v>0</v>
      </c>
      <c r="DU85" s="56">
        <f ca="1">SUM([5]COMED!$P76:$R76)</f>
        <v>0</v>
      </c>
      <c r="DV85" s="56">
        <f t="shared" ca="1" si="163"/>
        <v>0</v>
      </c>
      <c r="DW85" s="57"/>
      <c r="DX85" s="58">
        <f>[5]OtherPosn!$D76</f>
        <v>37316</v>
      </c>
      <c r="DY85" s="56">
        <f>[5]OtherPosn!$N76</f>
        <v>49390.75</v>
      </c>
      <c r="DZ85" s="56">
        <f>SUM([5]OtherPosn!$O76:$P76)</f>
        <v>0</v>
      </c>
    </row>
    <row r="86" spans="1:148" ht="18.75" thickBot="1" x14ac:dyDescent="0.3">
      <c r="A86" s="678">
        <f>[5]COMED!$D64</f>
        <v>38078</v>
      </c>
      <c r="B86" s="679">
        <f ca="1">[5]COMED!$O64</f>
        <v>0</v>
      </c>
      <c r="C86" s="680">
        <f t="shared" ca="1" si="100"/>
        <v>0</v>
      </c>
      <c r="D86" s="680">
        <f t="shared" si="101"/>
        <v>0</v>
      </c>
      <c r="E86" s="679">
        <f t="shared" ca="1" si="102"/>
        <v>0</v>
      </c>
      <c r="F86" s="681">
        <f t="shared" ca="1" si="123"/>
        <v>0</v>
      </c>
      <c r="G86" s="433">
        <f>[5]COMED!$E64</f>
        <v>29.222673416137695</v>
      </c>
      <c r="H86" s="143">
        <f>+[5]COMED!$F64</f>
        <v>-0.25000044356944784</v>
      </c>
      <c r="I86" s="682">
        <f t="shared" si="104"/>
        <v>28.972672972568247</v>
      </c>
      <c r="J86" s="679">
        <f t="shared" ca="1" si="124"/>
        <v>0</v>
      </c>
      <c r="K86" s="142">
        <f t="shared" si="105"/>
        <v>0</v>
      </c>
      <c r="L86" s="144">
        <f t="shared" ca="1" si="106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10"/>
        <v>38078</v>
      </c>
      <c r="AK86" s="781"/>
      <c r="AL86" s="778"/>
      <c r="AM86" s="781"/>
      <c r="AN86" s="778"/>
      <c r="AO86" s="781"/>
      <c r="AP86" s="778"/>
      <c r="AQ86" s="781"/>
      <c r="AR86" s="778"/>
      <c r="AS86" s="789"/>
      <c r="AT86" s="790"/>
      <c r="AU86" s="843"/>
      <c r="AV86" s="844"/>
      <c r="AW86" s="843"/>
      <c r="AX86" s="844"/>
      <c r="AY86" s="78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11"/>
        <v>0</v>
      </c>
      <c r="BZ86" s="49">
        <f t="shared" si="112"/>
        <v>0</v>
      </c>
      <c r="CB86" s="51">
        <f t="shared" si="113"/>
        <v>38078</v>
      </c>
      <c r="CC86" s="50">
        <f t="shared" si="114"/>
        <v>0</v>
      </c>
      <c r="CD86" s="52">
        <f t="shared" si="161"/>
        <v>352</v>
      </c>
      <c r="CE86" s="50">
        <f t="shared" si="161"/>
        <v>0.88797186248714488</v>
      </c>
      <c r="CF86" s="53">
        <f t="shared" ca="1" si="116"/>
        <v>0</v>
      </c>
      <c r="CG86" s="53">
        <f t="shared" si="117"/>
        <v>0</v>
      </c>
      <c r="CH86" s="53">
        <f t="shared" si="118"/>
        <v>0</v>
      </c>
      <c r="CI86" s="53">
        <f t="shared" si="119"/>
        <v>0</v>
      </c>
      <c r="CJ86" s="25">
        <f t="shared" si="120"/>
        <v>0</v>
      </c>
      <c r="CM86" s="438">
        <f t="shared" ca="1" si="129"/>
        <v>0</v>
      </c>
      <c r="DJ86" s="54">
        <f>[5]Cinergy!$D108</f>
        <v>39417</v>
      </c>
      <c r="DK86" s="30">
        <f t="shared" si="143"/>
        <v>20</v>
      </c>
      <c r="DL86" s="254">
        <v>37987</v>
      </c>
      <c r="DM86" s="255">
        <v>21</v>
      </c>
      <c r="DP86" s="55">
        <f>[5]Cinergy!$D77</f>
        <v>38473</v>
      </c>
      <c r="DQ86" s="56">
        <f ca="1">[5]OPPD_NPPD!$O77+[5]NSP!$O77</f>
        <v>0</v>
      </c>
      <c r="DR86" s="56">
        <f ca="1">[5]COMED!$O77</f>
        <v>-13985.68359375</v>
      </c>
      <c r="DS86" s="56">
        <f t="shared" ca="1" si="162"/>
        <v>-13985.68359375</v>
      </c>
      <c r="DT86" s="56">
        <f ca="1">SUM([5]OPPD_NPPD!$P77:$R77)+SUM([5]NSP!$P77:$R77)</f>
        <v>0</v>
      </c>
      <c r="DU86" s="56">
        <f ca="1">SUM([5]COMED!$P77:$R77)</f>
        <v>0</v>
      </c>
      <c r="DV86" s="56">
        <f t="shared" ca="1" si="163"/>
        <v>0</v>
      </c>
      <c r="DW86" s="57"/>
      <c r="DX86" s="58">
        <f>[5]OtherPosn!$D77</f>
        <v>37347</v>
      </c>
      <c r="DY86" s="56">
        <f>[5]OtherPosn!$N77</f>
        <v>51581.5390625</v>
      </c>
      <c r="DZ86" s="56">
        <f>SUM([5]OtherPosn!$O77:$P77)</f>
        <v>0</v>
      </c>
    </row>
    <row r="87" spans="1:148" ht="18" x14ac:dyDescent="0.25">
      <c r="A87" s="683">
        <f>[5]COMED!$D65</f>
        <v>38108</v>
      </c>
      <c r="B87" s="684">
        <f ca="1">[5]COMED!$O65</f>
        <v>0</v>
      </c>
      <c r="C87" s="685">
        <f t="shared" ca="1" si="100"/>
        <v>0</v>
      </c>
      <c r="D87" s="685">
        <f t="shared" si="101"/>
        <v>0</v>
      </c>
      <c r="E87" s="684">
        <f t="shared" ca="1" si="102"/>
        <v>0</v>
      </c>
      <c r="F87" s="686">
        <f t="shared" ca="1" si="123"/>
        <v>0</v>
      </c>
      <c r="G87" s="687">
        <f>[5]COMED!$E65</f>
        <v>29.375</v>
      </c>
      <c r="H87" s="143">
        <f>+[5]COMED!$F65</f>
        <v>0</v>
      </c>
      <c r="I87" s="688">
        <f t="shared" si="104"/>
        <v>29.375</v>
      </c>
      <c r="J87" s="684">
        <f t="shared" ca="1" si="124"/>
        <v>0</v>
      </c>
      <c r="K87" s="689">
        <f t="shared" si="105"/>
        <v>0</v>
      </c>
      <c r="L87" s="690">
        <f t="shared" ca="1" si="106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10"/>
        <v>38108</v>
      </c>
      <c r="AK87" s="781"/>
      <c r="AL87" s="778"/>
      <c r="AM87" s="781"/>
      <c r="AN87" s="778"/>
      <c r="AO87" s="781"/>
      <c r="AP87" s="778"/>
      <c r="AQ87" s="781"/>
      <c r="AR87" s="778"/>
      <c r="AS87" s="789"/>
      <c r="AT87" s="790"/>
      <c r="AU87" s="781"/>
      <c r="AV87" s="2"/>
      <c r="AW87" s="1"/>
      <c r="AX87" s="2"/>
      <c r="AY87" s="78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11"/>
        <v>0</v>
      </c>
      <c r="BZ87" s="49">
        <f t="shared" si="112"/>
        <v>0</v>
      </c>
      <c r="CB87" s="51">
        <f t="shared" si="113"/>
        <v>38108</v>
      </c>
      <c r="CC87" s="50">
        <f t="shared" si="114"/>
        <v>0</v>
      </c>
      <c r="CD87" s="52">
        <f t="shared" si="161"/>
        <v>320</v>
      </c>
      <c r="CE87" s="50">
        <f t="shared" si="161"/>
        <v>0.88379696363742133</v>
      </c>
      <c r="CF87" s="53">
        <f t="shared" ca="1" si="116"/>
        <v>0</v>
      </c>
      <c r="CG87" s="53">
        <f t="shared" si="117"/>
        <v>0</v>
      </c>
      <c r="CH87" s="53">
        <f t="shared" si="118"/>
        <v>0</v>
      </c>
      <c r="CI87" s="53">
        <f t="shared" si="119"/>
        <v>0</v>
      </c>
      <c r="CJ87" s="25">
        <f t="shared" si="120"/>
        <v>0</v>
      </c>
      <c r="CM87" s="438">
        <f t="shared" ca="1" si="129"/>
        <v>0</v>
      </c>
      <c r="DJ87" s="54">
        <f>[5]Cinergy!$D109</f>
        <v>39448</v>
      </c>
      <c r="DK87" s="30">
        <f t="shared" si="143"/>
        <v>22</v>
      </c>
      <c r="DL87" s="254">
        <v>38018</v>
      </c>
      <c r="DM87" s="255">
        <v>20</v>
      </c>
      <c r="DP87" s="55">
        <f>[5]Cinergy!$D78</f>
        <v>38504</v>
      </c>
      <c r="DQ87" s="56">
        <f ca="1">[5]OPPD_NPPD!$O78+[5]NSP!$O78</f>
        <v>0</v>
      </c>
      <c r="DR87" s="56">
        <f ca="1">[5]COMED!$O78</f>
        <v>-14580.1669921875</v>
      </c>
      <c r="DS87" s="56">
        <f t="shared" ca="1" si="162"/>
        <v>-14580.1669921875</v>
      </c>
      <c r="DT87" s="56">
        <f ca="1">SUM([5]OPPD_NPPD!$P78:$R78)+SUM([5]NSP!$P78:$R78)</f>
        <v>0</v>
      </c>
      <c r="DU87" s="56">
        <f ca="1">SUM([5]COMED!$P78:$R78)</f>
        <v>0</v>
      </c>
      <c r="DV87" s="56">
        <f t="shared" ca="1" si="163"/>
        <v>0</v>
      </c>
      <c r="DW87" s="57"/>
      <c r="DX87" s="58">
        <f>[5]OtherPosn!$D78</f>
        <v>37377</v>
      </c>
      <c r="DY87" s="56">
        <f>[5]OtherPosn!$N78</f>
        <v>68566.265625</v>
      </c>
      <c r="DZ87" s="56">
        <f>SUM([5]OtherPosn!$O78:$P78)</f>
        <v>0</v>
      </c>
    </row>
    <row r="88" spans="1:148" ht="18.75" thickBot="1" x14ac:dyDescent="0.3">
      <c r="A88" s="678">
        <f>[5]COMED!$D66</f>
        <v>38139</v>
      </c>
      <c r="B88" s="679">
        <f ca="1">[5]COMED!$O66</f>
        <v>0</v>
      </c>
      <c r="C88" s="680">
        <f t="shared" ca="1" si="100"/>
        <v>0</v>
      </c>
      <c r="D88" s="680">
        <f t="shared" si="101"/>
        <v>0</v>
      </c>
      <c r="E88" s="679">
        <f t="shared" ca="1" si="102"/>
        <v>0</v>
      </c>
      <c r="F88" s="681">
        <f t="shared" ca="1" si="123"/>
        <v>0</v>
      </c>
      <c r="G88" s="433">
        <f>[5]COMED!$E66</f>
        <v>37.450004577636719</v>
      </c>
      <c r="H88" s="143">
        <f>+[5]COMED!$F66</f>
        <v>-0.5</v>
      </c>
      <c r="I88" s="682">
        <f t="shared" si="104"/>
        <v>36.950004577636719</v>
      </c>
      <c r="J88" s="679">
        <f t="shared" ca="1" si="124"/>
        <v>0</v>
      </c>
      <c r="K88" s="142">
        <f t="shared" si="105"/>
        <v>0</v>
      </c>
      <c r="L88" s="144">
        <f t="shared" ca="1" si="106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10"/>
        <v>38139</v>
      </c>
      <c r="AK88" s="781"/>
      <c r="AL88" s="778"/>
      <c r="AM88" s="781"/>
      <c r="AN88" s="778"/>
      <c r="AO88" s="781"/>
      <c r="AP88" s="778"/>
      <c r="AQ88" s="781"/>
      <c r="AR88" s="778"/>
      <c r="AS88" s="789"/>
      <c r="AT88" s="790"/>
      <c r="AU88" s="781"/>
      <c r="AV88" s="2"/>
      <c r="AW88" s="1"/>
      <c r="AX88" s="2"/>
      <c r="AY88" s="78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11"/>
        <v>0</v>
      </c>
      <c r="BZ88" s="49">
        <f t="shared" si="112"/>
        <v>0</v>
      </c>
      <c r="CB88" s="51">
        <f t="shared" si="113"/>
        <v>38139</v>
      </c>
      <c r="CC88" s="50">
        <f t="shared" si="114"/>
        <v>0</v>
      </c>
      <c r="CD88" s="52">
        <f t="shared" si="161"/>
        <v>352</v>
      </c>
      <c r="CE88" s="50">
        <f t="shared" si="161"/>
        <v>0.87966728428355223</v>
      </c>
      <c r="CF88" s="53">
        <f t="shared" ca="1" si="116"/>
        <v>0</v>
      </c>
      <c r="CG88" s="53">
        <f t="shared" si="117"/>
        <v>0</v>
      </c>
      <c r="CH88" s="53">
        <f t="shared" si="118"/>
        <v>0</v>
      </c>
      <c r="CI88" s="53">
        <f t="shared" si="119"/>
        <v>0</v>
      </c>
      <c r="CJ88" s="25">
        <f t="shared" si="120"/>
        <v>0</v>
      </c>
      <c r="CM88" s="438">
        <f t="shared" ca="1" si="129"/>
        <v>0</v>
      </c>
      <c r="DJ88" s="54">
        <f>[5]Cinergy!$D110</f>
        <v>39479</v>
      </c>
      <c r="DK88" s="30">
        <f t="shared" si="143"/>
        <v>21</v>
      </c>
      <c r="DL88" s="254">
        <v>38047</v>
      </c>
      <c r="DM88" s="255">
        <v>23</v>
      </c>
      <c r="DP88" s="55">
        <f>[5]Cinergy!$D79</f>
        <v>38534</v>
      </c>
      <c r="DQ88" s="56">
        <f ca="1">[5]OPPD_NPPD!$O79+[5]NSP!$O79</f>
        <v>0</v>
      </c>
      <c r="DR88" s="56">
        <f ca="1">[5]COMED!$O79</f>
        <v>-13187.482421875</v>
      </c>
      <c r="DS88" s="56">
        <f t="shared" ca="1" si="162"/>
        <v>-13187.482421875</v>
      </c>
      <c r="DT88" s="56">
        <f ca="1">SUM([5]OPPD_NPPD!$P79:$R79)+SUM([5]NSP!$P79:$R79)</f>
        <v>0</v>
      </c>
      <c r="DU88" s="56">
        <f ca="1">SUM([5]COMED!$P79:$R79)</f>
        <v>0</v>
      </c>
      <c r="DV88" s="56">
        <f t="shared" ca="1" si="163"/>
        <v>0</v>
      </c>
      <c r="DW88" s="57"/>
      <c r="DX88" s="58">
        <f>[5]OtherPosn!$D79</f>
        <v>37408</v>
      </c>
      <c r="DY88" s="56">
        <f>[5]OtherPosn!$N79</f>
        <v>62138.125</v>
      </c>
      <c r="DZ88" s="56">
        <f>SUM([5]OtherPosn!$O79:$P79)</f>
        <v>0</v>
      </c>
    </row>
    <row r="89" spans="1:148" ht="18.75" thickBot="1" x14ac:dyDescent="0.3">
      <c r="A89" s="683">
        <f>[5]COMED!$D67</f>
        <v>38169</v>
      </c>
      <c r="B89" s="684">
        <f ca="1">[5]COMED!$O67</f>
        <v>0</v>
      </c>
      <c r="C89" s="685">
        <f t="shared" ca="1" si="100"/>
        <v>0</v>
      </c>
      <c r="D89" s="685">
        <f t="shared" si="101"/>
        <v>0</v>
      </c>
      <c r="E89" s="684">
        <f t="shared" ca="1" si="102"/>
        <v>0</v>
      </c>
      <c r="F89" s="686">
        <f t="shared" ca="1" si="123"/>
        <v>0</v>
      </c>
      <c r="G89" s="687">
        <f>[5]COMED!$E67</f>
        <v>48.024997711181641</v>
      </c>
      <c r="H89" s="143">
        <f>+[5]COMED!$F67</f>
        <v>-0.5</v>
      </c>
      <c r="I89" s="688">
        <f t="shared" si="104"/>
        <v>47.524997711181641</v>
      </c>
      <c r="J89" s="684">
        <f t="shared" ca="1" si="124"/>
        <v>0</v>
      </c>
      <c r="K89" s="689">
        <f t="shared" si="105"/>
        <v>0</v>
      </c>
      <c r="L89" s="690">
        <f t="shared" ca="1" si="106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10"/>
        <v>38169</v>
      </c>
      <c r="AK89" s="781"/>
      <c r="AL89" s="778"/>
      <c r="AM89" s="781"/>
      <c r="AN89" s="778"/>
      <c r="AO89" s="781"/>
      <c r="AP89" s="778"/>
      <c r="AQ89" s="781"/>
      <c r="AR89" s="778"/>
      <c r="AS89" s="789"/>
      <c r="AT89" s="790"/>
      <c r="AU89" s="78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11"/>
        <v>0</v>
      </c>
      <c r="BZ89" s="49">
        <f t="shared" si="112"/>
        <v>0</v>
      </c>
      <c r="CB89" s="51">
        <f t="shared" si="113"/>
        <v>38169</v>
      </c>
      <c r="CC89" s="50">
        <f t="shared" si="114"/>
        <v>0</v>
      </c>
      <c r="CD89" s="52">
        <f t="shared" si="161"/>
        <v>352</v>
      </c>
      <c r="CE89" s="50">
        <f t="shared" si="161"/>
        <v>0.87546124443682927</v>
      </c>
      <c r="CF89" s="53">
        <f t="shared" ca="1" si="116"/>
        <v>0</v>
      </c>
      <c r="CG89" s="53">
        <f t="shared" si="117"/>
        <v>0</v>
      </c>
      <c r="CH89" s="53">
        <f t="shared" si="118"/>
        <v>0</v>
      </c>
      <c r="CI89" s="53">
        <f t="shared" si="119"/>
        <v>0</v>
      </c>
      <c r="CJ89" s="25">
        <f t="shared" si="120"/>
        <v>0</v>
      </c>
      <c r="CM89" s="438"/>
      <c r="DJ89" s="54">
        <f>[5]Cinergy!$D111</f>
        <v>39508</v>
      </c>
      <c r="DK89" s="30">
        <f t="shared" si="143"/>
        <v>21</v>
      </c>
      <c r="DL89" s="254">
        <v>38078</v>
      </c>
      <c r="DM89" s="255">
        <v>22</v>
      </c>
      <c r="DP89" s="55">
        <f>[5]Cinergy!$D80</f>
        <v>38565</v>
      </c>
      <c r="DQ89" s="56">
        <f ca="1">[5]OPPD_NPPD!$O80+[5]NSP!$O80</f>
        <v>0</v>
      </c>
      <c r="DR89" s="56">
        <f ca="1">[5]COMED!$O80</f>
        <v>-15089.1669921875</v>
      </c>
      <c r="DS89" s="56">
        <f t="shared" ca="1" si="162"/>
        <v>-15089.1669921875</v>
      </c>
      <c r="DT89" s="56">
        <f ca="1">SUM([5]OPPD_NPPD!$P80:$R80)+SUM([5]NSP!$P80:$R80)</f>
        <v>0</v>
      </c>
      <c r="DU89" s="56">
        <f ca="1">SUM([5]COMED!$P80:$R80)</f>
        <v>0</v>
      </c>
      <c r="DV89" s="56">
        <f t="shared" ca="1" si="163"/>
        <v>0</v>
      </c>
      <c r="DW89" s="57"/>
      <c r="DX89" s="58">
        <f>[5]OtherPosn!$D80</f>
        <v>37438</v>
      </c>
      <c r="DY89" s="56">
        <f>[5]OtherPosn!$N80</f>
        <v>579172.3125</v>
      </c>
      <c r="DZ89" s="56">
        <f>SUM([5]OtherPosn!$O80:$P80)</f>
        <v>0</v>
      </c>
    </row>
    <row r="90" spans="1:148" ht="18.75" thickBot="1" x14ac:dyDescent="0.3">
      <c r="A90" s="678">
        <f>[5]COMED!$D68</f>
        <v>38200</v>
      </c>
      <c r="B90" s="679">
        <f ca="1">[5]COMED!$O68</f>
        <v>0</v>
      </c>
      <c r="C90" s="680">
        <f t="shared" ca="1" si="100"/>
        <v>0</v>
      </c>
      <c r="D90" s="680">
        <f t="shared" si="101"/>
        <v>0</v>
      </c>
      <c r="E90" s="679">
        <f t="shared" ca="1" si="102"/>
        <v>0</v>
      </c>
      <c r="F90" s="681">
        <f t="shared" ca="1" si="123"/>
        <v>0</v>
      </c>
      <c r="G90" s="433">
        <f>[5]COMED!$E68</f>
        <v>48.024997711181641</v>
      </c>
      <c r="H90" s="143">
        <f>+[5]COMED!$F68</f>
        <v>-0.5</v>
      </c>
      <c r="I90" s="682">
        <f t="shared" si="104"/>
        <v>47.524997711181641</v>
      </c>
      <c r="J90" s="679">
        <f t="shared" ca="1" si="124"/>
        <v>0</v>
      </c>
      <c r="K90" s="142">
        <f t="shared" si="105"/>
        <v>0</v>
      </c>
      <c r="L90" s="144">
        <f t="shared" ca="1" si="106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10"/>
        <v>38200</v>
      </c>
      <c r="AK90" s="781"/>
      <c r="AL90" s="778"/>
      <c r="AM90" s="781"/>
      <c r="AN90" s="778"/>
      <c r="AO90" s="781"/>
      <c r="AP90" s="778"/>
      <c r="AQ90" s="781"/>
      <c r="AR90" s="778"/>
      <c r="AS90" s="789"/>
      <c r="AT90" s="790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11"/>
        <v>0</v>
      </c>
      <c r="BZ90" s="49">
        <f t="shared" si="112"/>
        <v>0</v>
      </c>
      <c r="CB90" s="51">
        <f t="shared" si="113"/>
        <v>38200</v>
      </c>
      <c r="CC90" s="50">
        <f t="shared" si="114"/>
        <v>0</v>
      </c>
      <c r="CD90" s="52">
        <f t="shared" si="161"/>
        <v>352</v>
      </c>
      <c r="CE90" s="50">
        <f t="shared" si="161"/>
        <v>0.87123383610996497</v>
      </c>
      <c r="CF90" s="53">
        <f t="shared" ca="1" si="116"/>
        <v>0</v>
      </c>
      <c r="CG90" s="53">
        <f t="shared" si="117"/>
        <v>0</v>
      </c>
      <c r="CH90" s="53">
        <f t="shared" si="118"/>
        <v>0</v>
      </c>
      <c r="CI90" s="53">
        <f t="shared" si="119"/>
        <v>0</v>
      </c>
      <c r="CJ90" s="25">
        <f t="shared" si="120"/>
        <v>0</v>
      </c>
      <c r="CM90" s="438">
        <f ca="1">SUM(CM56:CM88)</f>
        <v>-31.266263830620051</v>
      </c>
      <c r="DJ90" s="54">
        <f>[5]Cinergy!$D112</f>
        <v>39539</v>
      </c>
      <c r="DK90" s="30">
        <f t="shared" si="143"/>
        <v>22</v>
      </c>
      <c r="DL90" s="254">
        <v>38108</v>
      </c>
      <c r="DM90" s="255">
        <v>20</v>
      </c>
      <c r="DP90" s="55">
        <f>[5]Cinergy!$D81</f>
        <v>38596</v>
      </c>
      <c r="DQ90" s="56">
        <f ca="1">[5]OPPD_NPPD!$O81+[5]NSP!$O81</f>
        <v>0</v>
      </c>
      <c r="DR90" s="56">
        <f ca="1">[5]COMED!$O81</f>
        <v>-13710.8564453125</v>
      </c>
      <c r="DS90" s="56">
        <f t="shared" ca="1" si="162"/>
        <v>-13710.8564453125</v>
      </c>
      <c r="DT90" s="56">
        <f ca="1">SUM([5]OPPD_NPPD!$P81:$R81)+SUM([5]NSP!$P81:$R81)</f>
        <v>0</v>
      </c>
      <c r="DU90" s="56">
        <f ca="1">SUM([5]COMED!$P81:$R81)</f>
        <v>0</v>
      </c>
      <c r="DV90" s="56">
        <f t="shared" ca="1" si="163"/>
        <v>0</v>
      </c>
      <c r="DW90" s="57"/>
      <c r="DX90" s="58">
        <f>[5]OtherPosn!$D81</f>
        <v>37469</v>
      </c>
      <c r="DY90" s="56">
        <f>[5]OtherPosn!$N81</f>
        <v>577141.625</v>
      </c>
      <c r="DZ90" s="56">
        <f>SUM([5]OtherPosn!$O81:$P81)</f>
        <v>0</v>
      </c>
    </row>
    <row r="91" spans="1:148" ht="18.75" thickBot="1" x14ac:dyDescent="0.3">
      <c r="A91" s="691">
        <f>[5]COMED!$D69</f>
        <v>38231</v>
      </c>
      <c r="B91" s="692">
        <f ca="1">[5]COMED!$O69</f>
        <v>0</v>
      </c>
      <c r="C91" s="693">
        <f t="shared" ca="1" si="100"/>
        <v>0</v>
      </c>
      <c r="D91" s="693">
        <f t="shared" si="101"/>
        <v>0</v>
      </c>
      <c r="E91" s="692">
        <f t="shared" ca="1" si="102"/>
        <v>0</v>
      </c>
      <c r="F91" s="694">
        <f t="shared" ca="1" si="123"/>
        <v>0</v>
      </c>
      <c r="G91" s="695">
        <f>[5]COMED!$E69</f>
        <v>27.82499885559082</v>
      </c>
      <c r="H91" s="143">
        <f>+[5]COMED!$F69</f>
        <v>0</v>
      </c>
      <c r="I91" s="696">
        <f t="shared" si="104"/>
        <v>27.82499885559082</v>
      </c>
      <c r="J91" s="692">
        <f t="shared" ca="1" si="124"/>
        <v>0</v>
      </c>
      <c r="K91" s="697">
        <f t="shared" si="105"/>
        <v>0</v>
      </c>
      <c r="L91" s="698">
        <f t="shared" ca="1" si="106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10"/>
        <v>38231</v>
      </c>
      <c r="AK91" s="781"/>
      <c r="AL91" s="778"/>
      <c r="AM91" s="781"/>
      <c r="AN91" s="778"/>
      <c r="AO91" s="781"/>
      <c r="AP91" s="778"/>
      <c r="AQ91" s="781"/>
      <c r="AR91" s="778"/>
      <c r="AS91" s="789"/>
      <c r="AT91" s="790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11"/>
        <v>0</v>
      </c>
      <c r="BZ91" s="49">
        <f t="shared" si="112"/>
        <v>0</v>
      </c>
      <c r="CB91" s="51">
        <f t="shared" si="113"/>
        <v>38231</v>
      </c>
      <c r="CC91" s="50">
        <f t="shared" si="114"/>
        <v>0</v>
      </c>
      <c r="CD91" s="52">
        <f t="shared" si="161"/>
        <v>336</v>
      </c>
      <c r="CE91" s="50">
        <f t="shared" si="161"/>
        <v>0.86708610334705938</v>
      </c>
      <c r="CF91" s="53">
        <f t="shared" ca="1" si="116"/>
        <v>0</v>
      </c>
      <c r="CG91" s="53">
        <f t="shared" si="117"/>
        <v>0</v>
      </c>
      <c r="CH91" s="53">
        <f t="shared" si="118"/>
        <v>0</v>
      </c>
      <c r="CI91" s="53">
        <f t="shared" si="119"/>
        <v>0</v>
      </c>
      <c r="CJ91" s="25">
        <f t="shared" si="120"/>
        <v>0</v>
      </c>
      <c r="CM91" s="438"/>
      <c r="DJ91" s="54">
        <f>[5]Cinergy!$D113</f>
        <v>39569</v>
      </c>
      <c r="DK91" s="30">
        <f t="shared" si="143"/>
        <v>21</v>
      </c>
      <c r="DL91" s="254">
        <v>38139</v>
      </c>
      <c r="DM91" s="255">
        <v>22</v>
      </c>
      <c r="DP91" s="55">
        <f>[5]Cinergy!$D82</f>
        <v>38626</v>
      </c>
      <c r="DQ91" s="56">
        <f ca="1">[5]OPPD_NPPD!$O82+[5]NSP!$O82</f>
        <v>0</v>
      </c>
      <c r="DR91" s="56">
        <f ca="1">[5]COMED!$O82</f>
        <v>-13642.8623046875</v>
      </c>
      <c r="DS91" s="56">
        <f t="shared" ca="1" si="162"/>
        <v>-13642.8623046875</v>
      </c>
      <c r="DT91" s="56">
        <f ca="1">SUM([5]OPPD_NPPD!$P82:$R82)+SUM([5]NSP!$P82:$R82)</f>
        <v>0</v>
      </c>
      <c r="DU91" s="56">
        <f ca="1">SUM([5]COMED!$P82:$R82)</f>
        <v>0</v>
      </c>
      <c r="DV91" s="56">
        <f t="shared" ca="1" si="163"/>
        <v>0</v>
      </c>
      <c r="DW91" s="57"/>
      <c r="DX91" s="58">
        <f>[5]OtherPosn!$D82</f>
        <v>37500</v>
      </c>
      <c r="DY91" s="56">
        <f>[5]OtherPosn!$N82</f>
        <v>46152.40625</v>
      </c>
      <c r="DZ91" s="56">
        <f>SUM([5]OtherPosn!$O82:$P82)</f>
        <v>0</v>
      </c>
    </row>
    <row r="92" spans="1:148" ht="18.75" thickBot="1" x14ac:dyDescent="0.3">
      <c r="A92" s="59">
        <f>[5]COMED!$D70</f>
        <v>38261</v>
      </c>
      <c r="B92" s="145">
        <f ca="1">[5]COMED!$O70</f>
        <v>0</v>
      </c>
      <c r="C92" s="146">
        <f ca="1">B92/(CE48*CD48)</f>
        <v>0</v>
      </c>
      <c r="D92" s="146">
        <f>IF(YEAR(A92)=$T$20,$BY$92,0)+IF(YEAR(A92)=$T$21,$BY$93,0)+IF(YEAR(A92)=$T$22,$BY$94,0)</f>
        <v>0</v>
      </c>
      <c r="E92" s="145">
        <f ca="1">B92+(D92*CN48*CE92)</f>
        <v>0</v>
      </c>
      <c r="F92" s="173">
        <f ca="1">C92+D92</f>
        <v>0</v>
      </c>
      <c r="G92" s="147">
        <f>[5]COMED!$E70</f>
        <v>28.946569442749023</v>
      </c>
      <c r="H92" s="147">
        <f>+[5]COMED!$F70</f>
        <v>-0.36500132083892822</v>
      </c>
      <c r="I92" s="135">
        <f>G92+H92</f>
        <v>28.581568121910095</v>
      </c>
      <c r="J92" s="145">
        <f ca="1">H92*B92</f>
        <v>0</v>
      </c>
      <c r="K92" s="148">
        <f>CG92+CH92+CI92</f>
        <v>0</v>
      </c>
      <c r="L92" s="149">
        <f ca="1"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81"/>
      <c r="AL92" s="778"/>
      <c r="AM92" s="781"/>
      <c r="AN92" s="778"/>
      <c r="AO92" s="781"/>
      <c r="AP92" s="778"/>
      <c r="AQ92" s="781"/>
      <c r="AR92" s="778"/>
      <c r="AS92" s="789"/>
      <c r="AT92" s="790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11"/>
        <v>0</v>
      </c>
      <c r="BZ92" s="49">
        <f t="shared" si="112"/>
        <v>0</v>
      </c>
      <c r="CA92" s="50"/>
      <c r="CB92" s="51" t="str">
        <f t="shared" si="113"/>
        <v>Bal 2002</v>
      </c>
      <c r="CC92" s="50">
        <f t="shared" si="114"/>
        <v>0</v>
      </c>
      <c r="CD92" s="61">
        <f t="shared" ref="CD92:CE94" si="167">CD48</f>
        <v>4080</v>
      </c>
      <c r="CE92" s="50">
        <f t="shared" si="167"/>
        <v>0.86286907665744417</v>
      </c>
      <c r="CF92" s="53">
        <f t="shared" ca="1" si="116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20"/>
        <v>0</v>
      </c>
      <c r="CM92" s="438"/>
      <c r="DJ92" s="54">
        <f>[5]Cinergy!$D114</f>
        <v>39600</v>
      </c>
      <c r="DK92" s="30">
        <f t="shared" si="143"/>
        <v>21</v>
      </c>
      <c r="DL92" s="254">
        <v>38169</v>
      </c>
      <c r="DM92" s="255">
        <v>22</v>
      </c>
      <c r="DP92" s="55">
        <f>[5]Cinergy!$D83</f>
        <v>38657</v>
      </c>
      <c r="DQ92" s="56">
        <f ca="1">[5]OPPD_NPPD!$O83+[5]NSP!$O83</f>
        <v>0</v>
      </c>
      <c r="DR92" s="56">
        <f ca="1">[5]COMED!$O83</f>
        <v>-13576.9736328125</v>
      </c>
      <c r="DS92" s="56">
        <f t="shared" ca="1" si="162"/>
        <v>-13576.9736328125</v>
      </c>
      <c r="DT92" s="56">
        <f ca="1">SUM([5]OPPD_NPPD!$P83:$R83)+SUM([5]NSP!$P83:$R83)</f>
        <v>0</v>
      </c>
      <c r="DU92" s="56">
        <f ca="1">SUM([5]COMED!$P83:$R83)</f>
        <v>0</v>
      </c>
      <c r="DV92" s="56">
        <f t="shared" ca="1" si="163"/>
        <v>0</v>
      </c>
      <c r="DW92" s="57"/>
      <c r="DX92" s="58">
        <f>[5]OtherPosn!$D83</f>
        <v>37530</v>
      </c>
      <c r="DY92" s="56">
        <f>[5]OtherPosn!$N83</f>
        <v>123405.1484375</v>
      </c>
      <c r="DZ92" s="56">
        <f>SUM([5]OtherPosn!$O83:$P83)</f>
        <v>0</v>
      </c>
    </row>
    <row r="93" spans="1:148" ht="18" x14ac:dyDescent="0.25">
      <c r="A93" s="59">
        <f>[5]COMED!$D71</f>
        <v>38292</v>
      </c>
      <c r="B93" s="145">
        <f ca="1">[5]COMED!$O71</f>
        <v>0</v>
      </c>
      <c r="C93" s="146">
        <f ca="1">B93/(CE49*CD49)</f>
        <v>0</v>
      </c>
      <c r="D93" s="146">
        <f>IF(YEAR(A93)=$T$20,$BY$92,0)+IF(YEAR(A93)=$T$21,$BY$93,0)+IF(YEAR(A93)=$T$22,$BY$94,0)</f>
        <v>0</v>
      </c>
      <c r="E93" s="145">
        <f ca="1">B93+(D93*CN48*CE93)</f>
        <v>0</v>
      </c>
      <c r="F93" s="173">
        <f ca="1">C93+D93</f>
        <v>0</v>
      </c>
      <c r="G93" s="147">
        <f>[5]COMED!$E71</f>
        <v>29.146564483642578</v>
      </c>
      <c r="H93" s="147">
        <f>+[5]COMED!$F71</f>
        <v>-0.36500132083892822</v>
      </c>
      <c r="I93" s="135">
        <f>G93+H93</f>
        <v>28.78156316280365</v>
      </c>
      <c r="J93" s="145">
        <f ca="1">H93*B93</f>
        <v>0</v>
      </c>
      <c r="K93" s="148">
        <f>CG93+CH93+CI93</f>
        <v>0</v>
      </c>
      <c r="L93" s="149">
        <f ca="1"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81"/>
      <c r="AL93" s="778"/>
      <c r="AM93" s="781"/>
      <c r="AN93" s="778"/>
      <c r="AO93" s="781"/>
      <c r="AP93" s="778"/>
      <c r="AQ93" s="781"/>
      <c r="AR93" s="778"/>
      <c r="AS93" s="789"/>
      <c r="AT93" s="790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11"/>
        <v>0</v>
      </c>
      <c r="BZ93" s="49">
        <f t="shared" si="112"/>
        <v>0</v>
      </c>
      <c r="CA93" s="50"/>
      <c r="CB93" s="63">
        <f t="shared" si="113"/>
        <v>2003</v>
      </c>
      <c r="CC93" s="50">
        <f t="shared" si="114"/>
        <v>0</v>
      </c>
      <c r="CD93" s="61">
        <f t="shared" si="167"/>
        <v>4080</v>
      </c>
      <c r="CE93" s="50">
        <f t="shared" si="167"/>
        <v>0.85874344490290377</v>
      </c>
      <c r="CF93" s="53">
        <f t="shared" ca="1" si="116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20"/>
        <v>0</v>
      </c>
      <c r="CM93" s="438"/>
      <c r="DJ93" s="54">
        <f>[5]Cinergy!$D115</f>
        <v>39630</v>
      </c>
      <c r="DK93" s="30">
        <f t="shared" si="143"/>
        <v>22</v>
      </c>
      <c r="DL93" s="254">
        <v>38200</v>
      </c>
      <c r="DM93" s="255">
        <v>22</v>
      </c>
      <c r="DP93" s="55">
        <f>[5]Cinergy!$D84</f>
        <v>38687</v>
      </c>
      <c r="DQ93" s="56">
        <f ca="1">[5]OPPD_NPPD!$O84+[5]NSP!$O84</f>
        <v>0</v>
      </c>
      <c r="DR93" s="56">
        <f ca="1">[5]COMED!$O84</f>
        <v>-13508.802734375</v>
      </c>
      <c r="DS93" s="56">
        <f t="shared" ca="1" si="162"/>
        <v>-13508.802734375</v>
      </c>
      <c r="DT93" s="56">
        <f ca="1">SUM([5]OPPD_NPPD!$P84:$R84)+SUM([5]NSP!$P84:$R84)</f>
        <v>0</v>
      </c>
      <c r="DU93" s="56">
        <f ca="1">SUM([5]COMED!$P84:$R84)</f>
        <v>0</v>
      </c>
      <c r="DV93" s="56">
        <f t="shared" ca="1" si="163"/>
        <v>0</v>
      </c>
      <c r="DW93" s="57"/>
      <c r="DX93" s="58">
        <f>[5]OtherPosn!$D84</f>
        <v>37561</v>
      </c>
      <c r="DY93" s="56">
        <f>[5]OtherPosn!$N84</f>
        <v>106947.0390625</v>
      </c>
      <c r="DZ93" s="56">
        <f>SUM([5]OtherPosn!$O84:$P84)</f>
        <v>0</v>
      </c>
    </row>
    <row r="94" spans="1:148" ht="18.75" thickBot="1" x14ac:dyDescent="0.3">
      <c r="A94" s="59">
        <f>[5]COMED!$D72</f>
        <v>38322</v>
      </c>
      <c r="B94" s="145">
        <f ca="1">[5]COMED!$O72</f>
        <v>0</v>
      </c>
      <c r="C94" s="146">
        <f ca="1">B94/(CE50*CD50)</f>
        <v>0</v>
      </c>
      <c r="D94" s="146">
        <f>IF(YEAR(A94)=$T$20,$BY$92,0)+IF(YEAR(A94)=$T$21,$BY$93,0)+IF(YEAR(A94)=$T$22,$BY$94,0)</f>
        <v>0</v>
      </c>
      <c r="E94" s="145">
        <f ca="1">B94+(D94*CN48*CE94)</f>
        <v>0</v>
      </c>
      <c r="F94" s="173">
        <f ca="1">C94+D94</f>
        <v>0</v>
      </c>
      <c r="G94" s="147">
        <f>[5]COMED!$E72</f>
        <v>29.996564865112305</v>
      </c>
      <c r="H94" s="147">
        <f>+[5]COMED!$F72</f>
        <v>-0.36500132083892822</v>
      </c>
      <c r="I94" s="135">
        <f>G94+H94</f>
        <v>29.631563544273376</v>
      </c>
      <c r="J94" s="145">
        <f ca="1">H94*B94</f>
        <v>0</v>
      </c>
      <c r="K94" s="148">
        <f>CG94+CH94+CI94</f>
        <v>0</v>
      </c>
      <c r="L94" s="149">
        <f ca="1">J94+K94</f>
        <v>0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82"/>
      <c r="AL94" s="779"/>
      <c r="AM94" s="782"/>
      <c r="AN94" s="779"/>
      <c r="AO94" s="782"/>
      <c r="AP94" s="779"/>
      <c r="AQ94" s="782"/>
      <c r="AR94" s="779"/>
      <c r="AS94" s="791"/>
      <c r="AT94" s="792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11"/>
        <v>0</v>
      </c>
      <c r="BZ94" s="66">
        <f t="shared" si="112"/>
        <v>0</v>
      </c>
      <c r="CB94" s="63">
        <f t="shared" si="113"/>
        <v>2004</v>
      </c>
      <c r="CC94" s="50">
        <f t="shared" si="114"/>
        <v>0</v>
      </c>
      <c r="CD94" s="61">
        <f t="shared" si="167"/>
        <v>4128</v>
      </c>
      <c r="CE94" s="50">
        <f t="shared" si="167"/>
        <v>0.8545139703631689</v>
      </c>
      <c r="CF94" s="53">
        <f t="shared" ca="1" si="116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20"/>
        <v>0</v>
      </c>
      <c r="CM94" s="438"/>
      <c r="DJ94" s="54">
        <f>[5]Cinergy!$D116</f>
        <v>39661</v>
      </c>
      <c r="DK94" s="30">
        <f t="shared" si="143"/>
        <v>21</v>
      </c>
      <c r="DL94" s="254">
        <v>38231</v>
      </c>
      <c r="DM94" s="255">
        <v>21</v>
      </c>
      <c r="DP94" s="55">
        <f>[5]Cinergy!$D85</f>
        <v>38718</v>
      </c>
      <c r="DQ94" s="56">
        <f ca="1">[5]OPPD_NPPD!$O85+[5]NSP!$O85</f>
        <v>0</v>
      </c>
      <c r="DR94" s="56">
        <f ca="1">[5]COMED!$O85</f>
        <v>-75823.015625</v>
      </c>
      <c r="DS94" s="56">
        <f t="shared" ca="1" si="162"/>
        <v>-75823.015625</v>
      </c>
      <c r="DT94" s="56">
        <f ca="1">SUM([5]OPPD_NPPD!$P85:$R85)+SUM([5]NSP!$P85:$R85)</f>
        <v>0</v>
      </c>
      <c r="DU94" s="56">
        <f ca="1">SUM([5]COMED!$P85:$R85)</f>
        <v>-24498.381591796875</v>
      </c>
      <c r="DV94" s="56">
        <f t="shared" ca="1" si="163"/>
        <v>-24498.381591796875</v>
      </c>
      <c r="DW94" s="57"/>
      <c r="DX94" s="58">
        <f>[5]OtherPosn!$D85</f>
        <v>37591</v>
      </c>
      <c r="DY94" s="56">
        <f>[5]OtherPosn!$N85</f>
        <v>111848.28125</v>
      </c>
      <c r="DZ94" s="56">
        <f>SUM([5]OtherPosn!$O85:$P85)</f>
        <v>0</v>
      </c>
    </row>
    <row r="95" spans="1:148" s="238" customFormat="1" ht="31.5" customHeight="1" x14ac:dyDescent="0.2">
      <c r="CI95" s="239" t="s">
        <v>71</v>
      </c>
      <c r="CJ95" s="240">
        <f>SUM(CJ56:CJ94)</f>
        <v>36800</v>
      </c>
      <c r="DJ95" s="54">
        <f>[5]Cinergy!$D117</f>
        <v>39692</v>
      </c>
      <c r="DK95" s="30">
        <f t="shared" si="143"/>
        <v>21</v>
      </c>
      <c r="DL95" s="254">
        <v>38261</v>
      </c>
      <c r="DM95" s="255">
        <v>21</v>
      </c>
      <c r="DP95" s="55">
        <f>[5]Cinergy!$D86</f>
        <v>38749</v>
      </c>
      <c r="DQ95" s="56">
        <f ca="1">[5]OPPD_NPPD!$O86+[5]NSP!$O86</f>
        <v>0</v>
      </c>
      <c r="DR95" s="56">
        <f ca="1">[5]COMED!$O86</f>
        <v>-71880.90625</v>
      </c>
      <c r="DS95" s="56">
        <f t="shared" ca="1" si="162"/>
        <v>-71880.90625</v>
      </c>
      <c r="DT95" s="56">
        <f ca="1">SUM([5]OPPD_NPPD!$P86:$R86)+SUM([5]NSP!$P86:$R86)</f>
        <v>0</v>
      </c>
      <c r="DU95" s="56">
        <f ca="1">SUM([5]COMED!$P86:$R86)</f>
        <v>-20477.0537109375</v>
      </c>
      <c r="DV95" s="56">
        <f t="shared" ca="1" si="163"/>
        <v>-20477.0537109375</v>
      </c>
      <c r="DW95" s="57"/>
      <c r="DX95" s="58">
        <f>[5]OtherPosn!$D86</f>
        <v>37622</v>
      </c>
      <c r="DY95" s="56">
        <f>[5]OtherPosn!$N86</f>
        <v>16676.56640625</v>
      </c>
      <c r="DZ95" s="56">
        <f>SUM([5]OtherPosn!$O86:$P86)</f>
        <v>0</v>
      </c>
    </row>
    <row r="96" spans="1:148" ht="20.25" x14ac:dyDescent="0.3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 ca="1">SUM(CF12:CF50)+SUM(CF56:CF94)</f>
        <v>1406097.4904756898</v>
      </c>
      <c r="DJ96" s="54">
        <f>[5]Cinergy!$D118</f>
        <v>39722</v>
      </c>
      <c r="DK96" s="30">
        <f t="shared" si="143"/>
        <v>23</v>
      </c>
      <c r="DL96" s="254">
        <v>38292</v>
      </c>
      <c r="DM96" s="255">
        <v>21</v>
      </c>
      <c r="DP96" s="55">
        <f>[5]Cinergy!$D87</f>
        <v>38777</v>
      </c>
      <c r="DQ96" s="56">
        <f ca="1">[5]OPPD_NPPD!$O87+[5]NSP!$O87</f>
        <v>0</v>
      </c>
      <c r="DR96" s="56">
        <f ca="1">[5]COMED!$O87</f>
        <v>-83409.3125</v>
      </c>
      <c r="DS96" s="56">
        <f t="shared" ca="1" si="162"/>
        <v>-83409.3125</v>
      </c>
      <c r="DT96" s="56">
        <f ca="1">SUM([5]OPPD_NPPD!$P87:$R87)+SUM([5]NSP!$P87:$R87)</f>
        <v>0</v>
      </c>
      <c r="DU96" s="56">
        <f ca="1">SUM([5]COMED!$P87:$R87)</f>
        <v>-22358.56494140625</v>
      </c>
      <c r="DV96" s="56">
        <f t="shared" ca="1" si="163"/>
        <v>-22358.56494140625</v>
      </c>
      <c r="DW96" s="57"/>
      <c r="DX96" s="58">
        <f>[5]OtherPosn!$D87</f>
        <v>37653</v>
      </c>
      <c r="DY96" s="56">
        <f>[5]OtherPosn!$N87</f>
        <v>15106.5498046875</v>
      </c>
      <c r="DZ96" s="56">
        <f>SUM([5]OtherPosn!$O87:$P87)</f>
        <v>0</v>
      </c>
    </row>
    <row r="97" spans="1:130" ht="13.5" thickBot="1" x14ac:dyDescent="0.25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39753</v>
      </c>
      <c r="DK97" s="30">
        <f t="shared" si="143"/>
        <v>19</v>
      </c>
      <c r="DL97" s="254">
        <v>38322</v>
      </c>
      <c r="DM97" s="255">
        <v>23</v>
      </c>
      <c r="DP97" s="55">
        <f>[5]Cinergy!$D88</f>
        <v>38808</v>
      </c>
      <c r="DQ97" s="56">
        <f ca="1">[5]OPPD_NPPD!$O88+[5]NSP!$O88</f>
        <v>0</v>
      </c>
      <c r="DR97" s="56">
        <f ca="1">[5]COMED!$O88</f>
        <v>-71919.0234375</v>
      </c>
      <c r="DS97" s="56">
        <f t="shared" ca="1" si="162"/>
        <v>-71919.0234375</v>
      </c>
      <c r="DT97" s="56">
        <f ca="1">SUM([5]OPPD_NPPD!$P88:$R88)+SUM([5]NSP!$P88:$R88)</f>
        <v>0</v>
      </c>
      <c r="DU97" s="56">
        <f ca="1">SUM([5]COMED!$P88:$R88)</f>
        <v>-23314.48828125</v>
      </c>
      <c r="DV97" s="56">
        <f t="shared" ca="1" si="163"/>
        <v>-23314.48828125</v>
      </c>
      <c r="DW97" s="57"/>
      <c r="DX97" s="58">
        <f>[5]OtherPosn!$D88</f>
        <v>37681</v>
      </c>
      <c r="DY97" s="56">
        <f>[5]OtherPosn!$N88</f>
        <v>15798.41015625</v>
      </c>
      <c r="DZ97" s="56">
        <f>SUM([5]OtherPosn!$O88:$P88)</f>
        <v>0</v>
      </c>
    </row>
    <row r="98" spans="1:130" x14ac:dyDescent="0.2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39783</v>
      </c>
      <c r="DK98" s="30">
        <f t="shared" si="143"/>
        <v>22</v>
      </c>
      <c r="DL98" s="254">
        <v>38353</v>
      </c>
      <c r="DM98" s="255">
        <v>21</v>
      </c>
      <c r="DP98" s="55">
        <f>[5]Cinergy!$D89</f>
        <v>38838</v>
      </c>
      <c r="DQ98" s="56">
        <f ca="1">[5]OPPD_NPPD!$O89+[5]NSP!$O89</f>
        <v>0</v>
      </c>
      <c r="DR98" s="56">
        <f ca="1">[5]COMED!$O89</f>
        <v>-76208.5078125</v>
      </c>
      <c r="DS98" s="56">
        <f t="shared" ca="1" si="162"/>
        <v>-76208.5078125</v>
      </c>
      <c r="DT98" s="56">
        <f ca="1">SUM([5]OPPD_NPPD!$P89:$R89)+SUM([5]NSP!$P89:$R89)</f>
        <v>0</v>
      </c>
      <c r="DU98" s="56">
        <f ca="1">SUM([5]COMED!$P89:$R89)</f>
        <v>-19993.116455078125</v>
      </c>
      <c r="DV98" s="56">
        <f t="shared" ca="1" si="163"/>
        <v>-19993.116455078125</v>
      </c>
      <c r="DW98" s="57"/>
      <c r="DX98" s="58">
        <f>[5]OtherPosn!$D89</f>
        <v>37712</v>
      </c>
      <c r="DY98" s="56">
        <f>[5]OtherPosn!$N89</f>
        <v>16485.744140625</v>
      </c>
      <c r="DZ98" s="56">
        <f>SUM([5]OtherPosn!$O89:$P89)</f>
        <v>0</v>
      </c>
    </row>
    <row r="99" spans="1:130" ht="13.5" thickBot="1" x14ac:dyDescent="0.25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39814</v>
      </c>
      <c r="DK99" s="30">
        <f t="shared" si="143"/>
        <v>21</v>
      </c>
      <c r="DL99" s="254">
        <v>38384</v>
      </c>
      <c r="DM99" s="255">
        <v>20</v>
      </c>
      <c r="DP99" s="55">
        <f>[5]Cinergy!$D90</f>
        <v>38869</v>
      </c>
      <c r="DQ99" s="56">
        <f ca="1">[5]OPPD_NPPD!$O90+[5]NSP!$O90</f>
        <v>0</v>
      </c>
      <c r="DR99" s="56">
        <f ca="1">[5]COMED!$O90</f>
        <v>-74445.3828125</v>
      </c>
      <c r="DS99" s="56">
        <f t="shared" ca="1" si="162"/>
        <v>-74445.3828125</v>
      </c>
      <c r="DT99" s="56">
        <f ca="1">SUM([5]OPPD_NPPD!$P90:$R90)+SUM([5]NSP!$P90:$R90)</f>
        <v>0</v>
      </c>
      <c r="DU99" s="56">
        <f ca="1">SUM([5]COMED!$P90:$R90)</f>
        <v>-17809.4453125</v>
      </c>
      <c r="DV99" s="56">
        <f t="shared" ca="1" si="163"/>
        <v>-17809.4453125</v>
      </c>
      <c r="DW99" s="57"/>
      <c r="DX99" s="58">
        <f>[5]OtherPosn!$D90</f>
        <v>37742</v>
      </c>
      <c r="DY99" s="56">
        <f>[5]OtherPosn!$N90</f>
        <v>15673.4755859375</v>
      </c>
      <c r="DZ99" s="56">
        <f>SUM([5]OtherPosn!$O90:$P90)</f>
        <v>0</v>
      </c>
    </row>
    <row r="100" spans="1:130" ht="15.75" x14ac:dyDescent="0.25">
      <c r="A100" s="151">
        <f>A56</f>
        <v>37195</v>
      </c>
      <c r="B100" s="152">
        <f t="shared" ref="B100:B133" ca="1" si="168">B12+B56</f>
        <v>-619968.5107421875</v>
      </c>
      <c r="C100" s="152">
        <f t="shared" ref="C100:L100" ca="1" si="169">C12+C56</f>
        <v>-1697.3343795416581</v>
      </c>
      <c r="D100" s="152">
        <f t="shared" si="169"/>
        <v>1450</v>
      </c>
      <c r="E100" s="152">
        <f t="shared" ca="1" si="169"/>
        <v>-90341.378097338689</v>
      </c>
      <c r="F100" s="414">
        <f t="shared" ca="1" si="169"/>
        <v>-247.334379541658</v>
      </c>
      <c r="G100" s="152" t="s">
        <v>423</v>
      </c>
      <c r="H100" s="152" t="s">
        <v>423</v>
      </c>
      <c r="I100" s="152" t="s">
        <v>423</v>
      </c>
      <c r="J100" s="152">
        <f t="shared" ca="1" si="169"/>
        <v>65014.076487939812</v>
      </c>
      <c r="K100" s="152">
        <f t="shared" si="169"/>
        <v>-52049.172895917138</v>
      </c>
      <c r="L100" s="152">
        <f t="shared" ca="1" si="169"/>
        <v>12964.903592022676</v>
      </c>
      <c r="M100" s="104"/>
      <c r="N100" s="112" t="str">
        <f t="shared" ref="N100:N110" si="170">V71</f>
        <v>Q4 2001</v>
      </c>
      <c r="O100" s="206">
        <f t="shared" ref="O100:O110" si="171">W56-W12</f>
        <v>-1.181250661611557</v>
      </c>
      <c r="P100" s="112">
        <f t="shared" ref="P100:Q110" ca="1" si="172">W71-W27</f>
        <v>3893.1692388265697</v>
      </c>
      <c r="Q100" s="112">
        <f t="shared" ca="1" si="172"/>
        <v>1301158.4652528018</v>
      </c>
      <c r="R100" s="112">
        <f t="shared" ref="R100:S110" ca="1" si="173">W71+W27</f>
        <v>-1417.6613279798025</v>
      </c>
      <c r="S100" s="112">
        <f t="shared" ca="1" si="173"/>
        <v>-477320.60659551818</v>
      </c>
      <c r="T100" s="104"/>
      <c r="U100" s="104"/>
      <c r="V100" s="104"/>
      <c r="W100" s="109">
        <f t="shared" ref="W100:W121" si="174">A100</f>
        <v>37195</v>
      </c>
      <c r="X100" s="232">
        <f t="shared" ref="X100:X121" si="175">I56-I12</f>
        <v>-1.5</v>
      </c>
      <c r="Y100" s="177">
        <f t="shared" ref="Y100:Y121" ca="1" si="176">F56-F12</f>
        <v>807.42392512764275</v>
      </c>
      <c r="Z100" s="177">
        <f t="shared" ref="Z100:Z121" ca="1" si="177">E56-E12</f>
        <v>294919.73675462243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39845</v>
      </c>
      <c r="DK100" s="30">
        <f t="shared" si="143"/>
        <v>20</v>
      </c>
      <c r="DL100" s="254">
        <v>38412</v>
      </c>
      <c r="DM100" s="255">
        <v>23</v>
      </c>
      <c r="DP100" s="55">
        <f>[5]Cinergy!$D91</f>
        <v>38899</v>
      </c>
      <c r="DQ100" s="56">
        <f ca="1">[5]OPPD_NPPD!$O91+[5]NSP!$O91</f>
        <v>0</v>
      </c>
      <c r="DR100" s="56">
        <f ca="1">[5]COMED!$O91</f>
        <v>-65334.41796875</v>
      </c>
      <c r="DS100" s="56">
        <f t="shared" ca="1" si="162"/>
        <v>-65334.41796875</v>
      </c>
      <c r="DT100" s="56">
        <f ca="1">SUM([5]OPPD_NPPD!$P91:$R91)+SUM([5]NSP!$P91:$R91)</f>
        <v>0</v>
      </c>
      <c r="DU100" s="56">
        <f ca="1">SUM([5]COMED!$P91:$R91)</f>
        <v>-19424.64306640625</v>
      </c>
      <c r="DV100" s="56">
        <f t="shared" ca="1" si="163"/>
        <v>-19424.64306640625</v>
      </c>
      <c r="DW100" s="57"/>
      <c r="DX100" s="58">
        <f>[5]OtherPosn!$D91</f>
        <v>37773</v>
      </c>
      <c r="DY100" s="56">
        <f>[5]OtherPosn!$N91</f>
        <v>15605.4013671875</v>
      </c>
      <c r="DZ100" s="56">
        <f>SUM([5]OtherPosn!$O91:$P91)</f>
        <v>0</v>
      </c>
    </row>
    <row r="101" spans="1:130" ht="15.75" x14ac:dyDescent="0.25">
      <c r="A101" s="151">
        <f t="shared" ref="A101:A136" si="178">A57</f>
        <v>37196</v>
      </c>
      <c r="B101" s="152">
        <f t="shared" ca="1" si="168"/>
        <v>-811119.625</v>
      </c>
      <c r="C101" s="152">
        <f t="shared" ref="C101:L101" ca="1" si="179">C13+C57</f>
        <v>-2439.1825331218633</v>
      </c>
      <c r="D101" s="152">
        <f t="shared" si="179"/>
        <v>1400</v>
      </c>
      <c r="E101" s="152">
        <f t="shared" ca="1" si="179"/>
        <v>-345567.14601163636</v>
      </c>
      <c r="F101" s="415">
        <f t="shared" ca="1" si="179"/>
        <v>-1039.1825331218636</v>
      </c>
      <c r="G101" s="152" t="s">
        <v>423</v>
      </c>
      <c r="H101" s="152" t="s">
        <v>423</v>
      </c>
      <c r="I101" s="152" t="s">
        <v>423</v>
      </c>
      <c r="J101" s="152">
        <f t="shared" ca="1" si="179"/>
        <v>-40556.29066758386</v>
      </c>
      <c r="K101" s="152">
        <f t="shared" si="179"/>
        <v>23277.801543596368</v>
      </c>
      <c r="L101" s="152">
        <f t="shared" ca="1" si="179"/>
        <v>-17278.489123987496</v>
      </c>
      <c r="M101" s="104"/>
      <c r="N101" s="131" t="str">
        <f t="shared" si="170"/>
        <v>Q1 2002</v>
      </c>
      <c r="O101" s="204">
        <f t="shared" si="171"/>
        <v>-1.267363805619496</v>
      </c>
      <c r="P101" s="131">
        <f t="shared" ca="1" si="172"/>
        <v>-4582.6065856603818</v>
      </c>
      <c r="Q101" s="131">
        <f t="shared" ca="1" si="172"/>
        <v>-1513090.6978517813</v>
      </c>
      <c r="R101" s="131">
        <f t="shared" ca="1" si="173"/>
        <v>-637.5408698163983</v>
      </c>
      <c r="S101" s="131">
        <f t="shared" ca="1" si="173"/>
        <v>-210279.47402321873</v>
      </c>
      <c r="T101" s="104"/>
      <c r="U101" s="104"/>
      <c r="V101" s="104"/>
      <c r="W101" s="230">
        <f t="shared" si="174"/>
        <v>37196</v>
      </c>
      <c r="X101" s="233">
        <f t="shared" si="175"/>
        <v>-1.1000041961669922</v>
      </c>
      <c r="Y101" s="234">
        <f t="shared" ca="1" si="176"/>
        <v>1899.3551088756901</v>
      </c>
      <c r="Z101" s="234">
        <f t="shared" ca="1" si="177"/>
        <v>631606.77101163636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180">AK101*AL101</f>
        <v>0</v>
      </c>
      <c r="AQ101" s="25">
        <v>-30</v>
      </c>
      <c r="AR101" s="29">
        <v>40.25</v>
      </c>
      <c r="AS101" s="25">
        <f t="shared" ref="AS101:AS113" si="181">AQ101*AR101</f>
        <v>-1207.5</v>
      </c>
      <c r="DJ101" s="54">
        <f>[5]Cinergy!$D123</f>
        <v>39873</v>
      </c>
      <c r="DK101" s="30">
        <f t="shared" si="143"/>
        <v>22</v>
      </c>
      <c r="DL101" s="254">
        <v>38443</v>
      </c>
      <c r="DM101" s="255">
        <v>21</v>
      </c>
      <c r="DP101" s="55">
        <f>[5]Cinergy!$D92</f>
        <v>38930</v>
      </c>
      <c r="DQ101" s="56">
        <f ca="1">[5]OPPD_NPPD!$O92+[5]NSP!$O92</f>
        <v>0</v>
      </c>
      <c r="DR101" s="56">
        <f ca="1">[5]COMED!$O92</f>
        <v>-74461.859375</v>
      </c>
      <c r="DS101" s="56">
        <f t="shared" ca="1" si="162"/>
        <v>-74461.859375</v>
      </c>
      <c r="DT101" s="56">
        <f ca="1">SUM([5]OPPD_NPPD!$P92:$R92)+SUM([5]NSP!$P92:$R92)</f>
        <v>0</v>
      </c>
      <c r="DU101" s="56">
        <f ca="1">SUM([5]COMED!$P92:$R92)</f>
        <v>-17136.267578125</v>
      </c>
      <c r="DV101" s="56">
        <f t="shared" ca="1" si="163"/>
        <v>-17136.267578125</v>
      </c>
      <c r="DW101" s="57"/>
      <c r="DX101" s="58">
        <f>[5]OtherPosn!$D92</f>
        <v>37803</v>
      </c>
      <c r="DY101" s="56">
        <f>[5]OtherPosn!$N92</f>
        <v>16280.7294921875</v>
      </c>
      <c r="DZ101" s="56">
        <f>SUM([5]OtherPosn!$O92:$P92)</f>
        <v>0</v>
      </c>
    </row>
    <row r="102" spans="1:130" ht="15.75" x14ac:dyDescent="0.25">
      <c r="A102" s="151">
        <f t="shared" si="178"/>
        <v>37226</v>
      </c>
      <c r="B102" s="152">
        <f t="shared" ca="1" si="168"/>
        <v>-688750.125</v>
      </c>
      <c r="C102" s="152">
        <f t="shared" ref="C102:L102" ca="1" si="182">C14+C58</f>
        <v>-2181.1444153162811</v>
      </c>
      <c r="D102" s="152">
        <f t="shared" si="182"/>
        <v>2050</v>
      </c>
      <c r="E102" s="152">
        <f t="shared" ca="1" si="182"/>
        <v>-41412.082486543106</v>
      </c>
      <c r="F102" s="415">
        <f t="shared" ca="1" si="182"/>
        <v>-131.14441531628108</v>
      </c>
      <c r="G102" s="152" t="s">
        <v>423</v>
      </c>
      <c r="H102" s="152" t="s">
        <v>423</v>
      </c>
      <c r="I102" s="152" t="s">
        <v>423</v>
      </c>
      <c r="J102" s="152">
        <f t="shared" ca="1" si="182"/>
        <v>103312.25601267815</v>
      </c>
      <c r="K102" s="152">
        <f t="shared" si="182"/>
        <v>-97100.459437152473</v>
      </c>
      <c r="L102" s="152">
        <f t="shared" ca="1" si="182"/>
        <v>6211.7965755256737</v>
      </c>
      <c r="M102" s="104"/>
      <c r="N102" s="112" t="str">
        <f t="shared" si="170"/>
        <v>Q2 2002</v>
      </c>
      <c r="O102" s="206">
        <f t="shared" si="171"/>
        <v>-0.91406381130218506</v>
      </c>
      <c r="P102" s="112">
        <f t="shared" ca="1" si="172"/>
        <v>1326.0030924746061</v>
      </c>
      <c r="Q102" s="112">
        <f t="shared" ca="1" si="172"/>
        <v>407408.40531517845</v>
      </c>
      <c r="R102" s="112">
        <f t="shared" ca="1" si="173"/>
        <v>-2905.7603507430376</v>
      </c>
      <c r="S102" s="112">
        <f t="shared" ca="1" si="173"/>
        <v>-935903.05375267845</v>
      </c>
      <c r="T102" s="104"/>
      <c r="U102" s="104"/>
      <c r="V102" s="104"/>
      <c r="W102" s="111">
        <f t="shared" si="174"/>
        <v>37226</v>
      </c>
      <c r="X102" s="235">
        <f t="shared" si="175"/>
        <v>-0.89999771118164063</v>
      </c>
      <c r="Y102" s="180">
        <f t="shared" ca="1" si="176"/>
        <v>1186.3902048232367</v>
      </c>
      <c r="Z102" s="180">
        <f t="shared" ca="1" si="177"/>
        <v>374631.95748654311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180"/>
        <v>0</v>
      </c>
      <c r="AQ102" s="25">
        <v>-12</v>
      </c>
      <c r="AR102" s="29">
        <v>40</v>
      </c>
      <c r="AS102" s="25">
        <f t="shared" si="181"/>
        <v>-480</v>
      </c>
      <c r="DJ102" s="54">
        <f>[5]Cinergy!$D124</f>
        <v>39904</v>
      </c>
      <c r="DK102" s="30">
        <f t="shared" si="143"/>
        <v>22</v>
      </c>
      <c r="DL102" s="254">
        <v>38473</v>
      </c>
      <c r="DM102" s="255">
        <v>21</v>
      </c>
      <c r="DP102" s="55">
        <f>[5]Cinergy!$D93</f>
        <v>38961</v>
      </c>
      <c r="DQ102" s="56">
        <f ca="1">[5]OPPD_NPPD!$O93+[5]NSP!$O93</f>
        <v>0</v>
      </c>
      <c r="DR102" s="56">
        <f ca="1">[5]COMED!$O93</f>
        <v>-68377.6171875</v>
      </c>
      <c r="DS102" s="56">
        <f t="shared" ca="1" si="162"/>
        <v>-68377.6171875</v>
      </c>
      <c r="DT102" s="56">
        <f ca="1">SUM([5]OPPD_NPPD!$P93:$R93)+SUM([5]NSP!$P93:$R93)</f>
        <v>0</v>
      </c>
      <c r="DU102" s="56">
        <f ca="1">SUM([5]COMED!$P93:$R93)</f>
        <v>-19990.37255859375</v>
      </c>
      <c r="DV102" s="56">
        <f t="shared" ca="1" si="163"/>
        <v>-19990.37255859375</v>
      </c>
      <c r="DW102" s="57"/>
      <c r="DX102" s="58">
        <f>[5]OtherPosn!$D93</f>
        <v>37834</v>
      </c>
      <c r="DY102" s="56">
        <f>[5]OtherPosn!$N93</f>
        <v>15470.798828125</v>
      </c>
      <c r="DZ102" s="56">
        <f>SUM([5]OtherPosn!$O93:$P93)</f>
        <v>0</v>
      </c>
    </row>
    <row r="103" spans="1:130" ht="15.75" x14ac:dyDescent="0.25">
      <c r="A103" s="151">
        <f t="shared" si="178"/>
        <v>37257</v>
      </c>
      <c r="B103" s="152">
        <f t="shared" ca="1" si="168"/>
        <v>-292578.7421875</v>
      </c>
      <c r="C103" s="152">
        <f t="shared" ref="C103:L103" ca="1" si="183">C15+C59</f>
        <v>-844.63863139945261</v>
      </c>
      <c r="D103" s="152">
        <f t="shared" si="183"/>
        <v>600</v>
      </c>
      <c r="E103" s="152">
        <f t="shared" ca="1" si="183"/>
        <v>-84741.640276068531</v>
      </c>
      <c r="F103" s="415">
        <f t="shared" ca="1" si="183"/>
        <v>-244.63863139945261</v>
      </c>
      <c r="G103" s="152" t="s">
        <v>423</v>
      </c>
      <c r="H103" s="152" t="s">
        <v>423</v>
      </c>
      <c r="I103" s="152" t="s">
        <v>423</v>
      </c>
      <c r="J103" s="152">
        <f t="shared" ca="1" si="183"/>
        <v>73144.738694461994</v>
      </c>
      <c r="K103" s="152">
        <f t="shared" si="183"/>
        <v>-51959.313231935179</v>
      </c>
      <c r="L103" s="152">
        <f t="shared" ca="1" si="183"/>
        <v>21185.425462526808</v>
      </c>
      <c r="M103" s="104"/>
      <c r="N103" s="131" t="str">
        <f t="shared" si="170"/>
        <v>Q3 2002</v>
      </c>
      <c r="O103" s="204">
        <f t="shared" si="171"/>
        <v>-1.1718767881393433</v>
      </c>
      <c r="P103" s="131">
        <f t="shared" ca="1" si="172"/>
        <v>1749.0924179381855</v>
      </c>
      <c r="Q103" s="131">
        <f t="shared" ca="1" si="172"/>
        <v>557110.25036540418</v>
      </c>
      <c r="R103" s="131" t="s">
        <v>31</v>
      </c>
      <c r="S103" s="131">
        <f t="shared" ca="1" si="173"/>
        <v>-1527601.3597404042</v>
      </c>
      <c r="T103" s="104"/>
      <c r="U103" s="104"/>
      <c r="V103" s="104"/>
      <c r="W103" s="230">
        <f t="shared" si="174"/>
        <v>37257</v>
      </c>
      <c r="X103" s="233">
        <f t="shared" si="175"/>
        <v>-1.3519992828369141</v>
      </c>
      <c r="Y103" s="234">
        <f t="shared" ca="1" si="176"/>
        <v>-2195.4578207542913</v>
      </c>
      <c r="Z103" s="234">
        <f t="shared" ca="1" si="177"/>
        <v>-760495.98472393141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180"/>
        <v>0</v>
      </c>
      <c r="AQ103" s="25">
        <v>-5</v>
      </c>
      <c r="AR103" s="29">
        <v>39.75</v>
      </c>
      <c r="AS103" s="25">
        <f t="shared" si="181"/>
        <v>-198.75</v>
      </c>
      <c r="DJ103" s="54">
        <f>[5]Cinergy!$D125</f>
        <v>39934</v>
      </c>
      <c r="DK103" s="30">
        <f t="shared" si="143"/>
        <v>20</v>
      </c>
      <c r="DL103" s="254">
        <v>38504</v>
      </c>
      <c r="DM103" s="255">
        <v>22</v>
      </c>
      <c r="DP103" s="55">
        <f>[5]Cinergy!$D94</f>
        <v>38991</v>
      </c>
      <c r="DQ103" s="56">
        <f ca="1">[5]OPPD_NPPD!$O94+[5]NSP!$O94</f>
        <v>0</v>
      </c>
      <c r="DR103" s="56">
        <f ca="1">[5]COMED!$O94</f>
        <v>-75105.4375</v>
      </c>
      <c r="DS103" s="56">
        <f t="shared" ca="1" si="162"/>
        <v>-75105.4375</v>
      </c>
      <c r="DT103" s="56">
        <f ca="1">SUM([5]OPPD_NPPD!$P94:$R94)+SUM([5]NSP!$P94:$R94)</f>
        <v>0</v>
      </c>
      <c r="DU103" s="56">
        <f ca="1">SUM([5]COMED!$P94:$R94)</f>
        <v>-19829.879638671875</v>
      </c>
      <c r="DV103" s="56">
        <f t="shared" ca="1" si="163"/>
        <v>-19829.879638671875</v>
      </c>
      <c r="DW103" s="57"/>
      <c r="DX103" s="58">
        <f>[5]OtherPosn!$D94</f>
        <v>37865</v>
      </c>
      <c r="DY103" s="56">
        <f>[5]OtherPosn!$N94</f>
        <v>15406.927734375</v>
      </c>
      <c r="DZ103" s="56">
        <f>SUM([5]OtherPosn!$O94:$P94)</f>
        <v>0</v>
      </c>
    </row>
    <row r="104" spans="1:130" ht="15.75" x14ac:dyDescent="0.25">
      <c r="A104" s="151">
        <f t="shared" si="178"/>
        <v>37288</v>
      </c>
      <c r="B104" s="152">
        <f t="shared" ca="1" si="168"/>
        <v>-266219.6953125</v>
      </c>
      <c r="C104" s="152">
        <f t="shared" ref="C104:L104" ca="1" si="184">C16+C60</f>
        <v>-847.65159422586703</v>
      </c>
      <c r="D104" s="152">
        <f t="shared" si="184"/>
        <v>600</v>
      </c>
      <c r="E104" s="152">
        <f t="shared" ca="1" si="184"/>
        <v>-77779.281496752985</v>
      </c>
      <c r="F104" s="415">
        <f t="shared" ca="1" si="184"/>
        <v>-247.65159422586703</v>
      </c>
      <c r="G104" s="152" t="s">
        <v>423</v>
      </c>
      <c r="H104" s="152" t="s">
        <v>423</v>
      </c>
      <c r="I104" s="152" t="s">
        <v>423</v>
      </c>
      <c r="J104" s="152">
        <f t="shared" ca="1" si="184"/>
        <v>66554.972187531792</v>
      </c>
      <c r="K104" s="152">
        <f t="shared" si="184"/>
        <v>-47110.137684562011</v>
      </c>
      <c r="L104" s="152">
        <f t="shared" ca="1" si="184"/>
        <v>19444.834502969796</v>
      </c>
      <c r="M104" s="104"/>
      <c r="N104" s="112" t="str">
        <f t="shared" si="170"/>
        <v>Q4 2002</v>
      </c>
      <c r="O104" s="206">
        <f t="shared" si="171"/>
        <v>-0.5500023365020752</v>
      </c>
      <c r="P104" s="112">
        <f t="shared" ca="1" si="172"/>
        <v>-3287.620734977399</v>
      </c>
      <c r="Q104" s="112">
        <f t="shared" ca="1" si="172"/>
        <v>-1070726.7297046967</v>
      </c>
      <c r="R104" s="112">
        <f t="shared" ca="1" si="173"/>
        <v>290.24026376526535</v>
      </c>
      <c r="S104" s="112">
        <f t="shared" ca="1" si="173"/>
        <v>94526.854704696685</v>
      </c>
      <c r="T104" s="104"/>
      <c r="U104" s="104"/>
      <c r="V104" s="104"/>
      <c r="W104" s="111">
        <f t="shared" si="174"/>
        <v>37288</v>
      </c>
      <c r="X104" s="291">
        <f t="shared" si="175"/>
        <v>-1.3500003814697266</v>
      </c>
      <c r="Y104" s="180">
        <f t="shared" ca="1" si="176"/>
        <v>-2192.4095804942685</v>
      </c>
      <c r="Z104" s="180">
        <f t="shared" ca="1" si="177"/>
        <v>-688564.28100324702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180"/>
        <v>0</v>
      </c>
      <c r="AQ104" s="25">
        <v>-5</v>
      </c>
      <c r="AR104" s="29">
        <v>39.6</v>
      </c>
      <c r="AS104" s="25">
        <f t="shared" si="181"/>
        <v>-198</v>
      </c>
      <c r="DJ104" s="54">
        <f>[5]Cinergy!$D126</f>
        <v>39965</v>
      </c>
      <c r="DK104" s="30">
        <f t="shared" si="143"/>
        <v>22</v>
      </c>
      <c r="DL104" s="254">
        <v>38534</v>
      </c>
      <c r="DM104" s="255">
        <v>20</v>
      </c>
      <c r="DP104" s="55">
        <f>[5]Cinergy!$D95</f>
        <v>39022</v>
      </c>
      <c r="DQ104" s="56">
        <f ca="1">[5]OPPD_NPPD!$O95+[5]NSP!$O95</f>
        <v>0</v>
      </c>
      <c r="DR104" s="56">
        <f ca="1">[5]COMED!$O95</f>
        <v>-71597.15625</v>
      </c>
      <c r="DS104" s="56">
        <f t="shared" ca="1" si="162"/>
        <v>-71597.15625</v>
      </c>
      <c r="DT104" s="56">
        <f ca="1">SUM([5]OPPD_NPPD!$P95:$R95)+SUM([5]NSP!$P95:$R95)</f>
        <v>0</v>
      </c>
      <c r="DU104" s="56">
        <f ca="1">SUM([5]COMED!$P95:$R95)</f>
        <v>-21635.262939453125</v>
      </c>
      <c r="DV104" s="56">
        <f t="shared" ca="1" si="163"/>
        <v>-21635.262939453125</v>
      </c>
      <c r="DW104" s="57"/>
      <c r="DX104" s="58">
        <f>[5]OtherPosn!$D95</f>
        <v>37895</v>
      </c>
      <c r="DY104" s="56">
        <f>[5]OtherPosn!$N95</f>
        <v>16798.90234375</v>
      </c>
      <c r="DZ104" s="56">
        <f>SUM([5]OtherPosn!$O95:$P95)</f>
        <v>0</v>
      </c>
    </row>
    <row r="105" spans="1:130" ht="15.75" x14ac:dyDescent="0.25">
      <c r="A105" s="151">
        <f t="shared" si="178"/>
        <v>37316</v>
      </c>
      <c r="B105" s="152">
        <f t="shared" ca="1" si="168"/>
        <v>-31318.50390625</v>
      </c>
      <c r="C105" s="152">
        <f t="shared" ref="C105:L105" ca="1" si="185">C17+C61</f>
        <v>-95.250644191079203</v>
      </c>
      <c r="D105" s="152">
        <f t="shared" si="185"/>
        <v>-50</v>
      </c>
      <c r="E105" s="152">
        <f t="shared" ca="1" si="185"/>
        <v>-47758.552250397144</v>
      </c>
      <c r="F105" s="415">
        <f t="shared" ca="1" si="185"/>
        <v>-145.2506441910792</v>
      </c>
      <c r="G105" s="152" t="s">
        <v>423</v>
      </c>
      <c r="H105" s="152" t="s">
        <v>423</v>
      </c>
      <c r="I105" s="152" t="s">
        <v>423</v>
      </c>
      <c r="J105" s="152">
        <f t="shared" ca="1" si="185"/>
        <v>7829.6482036529878</v>
      </c>
      <c r="K105" s="152">
        <f t="shared" si="185"/>
        <v>4110.02375372191</v>
      </c>
      <c r="L105" s="152">
        <f t="shared" ca="1" si="185"/>
        <v>11939.671957374898</v>
      </c>
      <c r="M105" s="104"/>
      <c r="N105" s="131" t="str">
        <f t="shared" si="170"/>
        <v>Q1 2003</v>
      </c>
      <c r="O105" s="204">
        <f t="shared" si="171"/>
        <v>-0.83403569176083536</v>
      </c>
      <c r="P105" s="131">
        <f t="shared" ca="1" si="172"/>
        <v>1598.1141875778467</v>
      </c>
      <c r="Q105" s="131">
        <f t="shared" ca="1" si="172"/>
        <v>506376.546875</v>
      </c>
      <c r="R105" s="131">
        <f t="shared" ca="1" si="173"/>
        <v>-5793.2242605443171</v>
      </c>
      <c r="S105" s="131">
        <f t="shared" ca="1" si="173"/>
        <v>-1836807.640625</v>
      </c>
      <c r="T105" s="104"/>
      <c r="U105" s="104"/>
      <c r="V105" s="104"/>
      <c r="W105" s="230">
        <f t="shared" si="174"/>
        <v>37316</v>
      </c>
      <c r="X105" s="233">
        <f t="shared" si="175"/>
        <v>-1.0999965667724609</v>
      </c>
      <c r="Y105" s="234">
        <f t="shared" ca="1" si="176"/>
        <v>-194.73918441182227</v>
      </c>
      <c r="Z105" s="234">
        <f t="shared" ca="1" si="177"/>
        <v>-64030.432124602856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180"/>
        <v>0</v>
      </c>
      <c r="AQ105" s="25">
        <v>-5</v>
      </c>
      <c r="AR105" s="29">
        <v>39.75</v>
      </c>
      <c r="AS105" s="25">
        <f t="shared" si="181"/>
        <v>-198.75</v>
      </c>
      <c r="DJ105" s="54">
        <f>[5]Cinergy!$D127</f>
        <v>39995</v>
      </c>
      <c r="DK105" s="30">
        <f t="shared" si="143"/>
        <v>23</v>
      </c>
      <c r="DL105" s="254">
        <v>38565</v>
      </c>
      <c r="DM105" s="255">
        <v>23</v>
      </c>
      <c r="DP105" s="55">
        <f>[5]Cinergy!$D96</f>
        <v>39052</v>
      </c>
      <c r="DQ105" s="56">
        <f ca="1">[5]OPPD_NPPD!$O96+[5]NSP!$O96</f>
        <v>0</v>
      </c>
      <c r="DR105" s="56">
        <f ca="1">[5]COMED!$O96</f>
        <v>-67597.8515625</v>
      </c>
      <c r="DS105" s="56">
        <f t="shared" ca="1" si="162"/>
        <v>-67597.8515625</v>
      </c>
      <c r="DT105" s="56">
        <f ca="1">SUM([5]OPPD_NPPD!$P96:$R96)+SUM([5]NSP!$P96:$R96)</f>
        <v>0</v>
      </c>
      <c r="DU105" s="56">
        <f ca="1">SUM([5]COMED!$P96:$R96)</f>
        <v>-23444.8974609375</v>
      </c>
      <c r="DV105" s="56">
        <f t="shared" ca="1" si="163"/>
        <v>-23444.8974609375</v>
      </c>
      <c r="DW105" s="57"/>
      <c r="DX105" s="58">
        <f>[5]OtherPosn!$D96</f>
        <v>37926</v>
      </c>
      <c r="DY105" s="56">
        <f>[5]OtherPosn!$N96</f>
        <v>13820.515625</v>
      </c>
      <c r="DZ105" s="56">
        <f>SUM([5]OtherPosn!$O96:$P96)</f>
        <v>0</v>
      </c>
    </row>
    <row r="106" spans="1:130" ht="15.75" x14ac:dyDescent="0.25">
      <c r="A106" s="151">
        <f t="shared" si="178"/>
        <v>37347</v>
      </c>
      <c r="B106" s="152">
        <f t="shared" ca="1" si="168"/>
        <v>-34027.072265625</v>
      </c>
      <c r="C106" s="152">
        <f t="shared" ref="C106:L106" ca="1" si="186">C18+C62</f>
        <v>-99.068921488800413</v>
      </c>
      <c r="D106" s="152">
        <f t="shared" si="186"/>
        <v>-50</v>
      </c>
      <c r="E106" s="152">
        <f t="shared" ca="1" si="186"/>
        <v>-51200.506554738415</v>
      </c>
      <c r="F106" s="415">
        <f t="shared" ca="1" si="186"/>
        <v>-149.06892148880041</v>
      </c>
      <c r="G106" s="152" t="s">
        <v>423</v>
      </c>
      <c r="H106" s="152" t="s">
        <v>423</v>
      </c>
      <c r="I106" s="152" t="s">
        <v>423</v>
      </c>
      <c r="J106" s="152">
        <f t="shared" ca="1" si="186"/>
        <v>8506.792215797821</v>
      </c>
      <c r="K106" s="152">
        <f t="shared" si="186"/>
        <v>4293.3707604556403</v>
      </c>
      <c r="L106" s="152">
        <f t="shared" ca="1" si="186"/>
        <v>12800.162976253461</v>
      </c>
      <c r="M106" s="104"/>
      <c r="N106" s="112" t="str">
        <f t="shared" si="170"/>
        <v>Q2 2003</v>
      </c>
      <c r="O106" s="206">
        <f t="shared" si="171"/>
        <v>-0.84921646118164063</v>
      </c>
      <c r="P106" s="112">
        <f t="shared" ca="1" si="172"/>
        <v>736.59590233356857</v>
      </c>
      <c r="Q106" s="112">
        <f t="shared" ca="1" si="172"/>
        <v>242648.55859375</v>
      </c>
      <c r="R106" s="112">
        <f t="shared" ca="1" si="173"/>
        <v>-4331.8906992555803</v>
      </c>
      <c r="S106" s="112">
        <f t="shared" ca="1" si="173"/>
        <v>-1386986.18359375</v>
      </c>
      <c r="T106" s="104"/>
      <c r="U106" s="104"/>
      <c r="V106" s="104"/>
      <c r="W106" s="111">
        <f t="shared" si="174"/>
        <v>37347</v>
      </c>
      <c r="X106" s="235">
        <f t="shared" si="175"/>
        <v>-1.1000003814697266</v>
      </c>
      <c r="Y106" s="180">
        <f t="shared" ca="1" si="176"/>
        <v>-190.90280070488626</v>
      </c>
      <c r="Z106" s="180">
        <f t="shared" ca="1" si="177"/>
        <v>-65569.134070261585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180"/>
        <v>0</v>
      </c>
      <c r="AQ106" s="25">
        <v>-8</v>
      </c>
      <c r="AR106" s="29">
        <v>39.75</v>
      </c>
      <c r="AS106" s="25">
        <f t="shared" si="181"/>
        <v>-318</v>
      </c>
      <c r="DJ106" s="54">
        <f>[5]Cinergy!$D128</f>
        <v>40026</v>
      </c>
      <c r="DK106" s="30">
        <f t="shared" si="143"/>
        <v>21</v>
      </c>
      <c r="DL106" s="254">
        <v>38596</v>
      </c>
      <c r="DM106" s="255">
        <v>21</v>
      </c>
      <c r="DP106" s="55">
        <f>[5]Cinergy!$D97</f>
        <v>39083</v>
      </c>
      <c r="DQ106" s="56">
        <f ca="1">[5]OPPD_NPPD!$O97+[5]NSP!$O97</f>
        <v>0</v>
      </c>
      <c r="DR106" s="56">
        <f ca="1">[5]COMED!$O97</f>
        <v>-61521.86328125</v>
      </c>
      <c r="DS106" s="56">
        <f t="shared" ca="1" si="162"/>
        <v>-61521.86328125</v>
      </c>
      <c r="DT106" s="56">
        <f ca="1">SUM([5]OPPD_NPPD!$P97:$R97)+SUM([5]NSP!$P97:$R97)</f>
        <v>0</v>
      </c>
      <c r="DU106" s="56">
        <f ca="1">SUM([5]COMED!$P97:$R97)</f>
        <v>-22157.88720703125</v>
      </c>
      <c r="DV106" s="56">
        <f t="shared" ca="1" si="163"/>
        <v>-22157.88720703125</v>
      </c>
      <c r="DW106" s="57"/>
      <c r="DX106" s="58">
        <f>[5]OtherPosn!$D97</f>
        <v>37956</v>
      </c>
      <c r="DY106" s="56">
        <f>[5]OtherPosn!$N97</f>
        <v>15922.1494140625</v>
      </c>
      <c r="DZ106" s="56">
        <f>SUM([5]OtherPosn!$O97:$P97)</f>
        <v>0</v>
      </c>
    </row>
    <row r="107" spans="1:130" ht="15.75" x14ac:dyDescent="0.25">
      <c r="A107" s="151">
        <f t="shared" si="178"/>
        <v>37377</v>
      </c>
      <c r="B107" s="152">
        <f t="shared" ca="1" si="168"/>
        <v>-310618.09375</v>
      </c>
      <c r="C107" s="152">
        <f t="shared" ref="C107:L107" ca="1" si="187">C19+C63</f>
        <v>-907.09905891315498</v>
      </c>
      <c r="D107" s="152">
        <f t="shared" si="187"/>
        <v>0</v>
      </c>
      <c r="E107" s="152">
        <f t="shared" ca="1" si="187"/>
        <v>-310618.09375</v>
      </c>
      <c r="F107" s="415">
        <f t="shared" ca="1" si="187"/>
        <v>-907.09905891315498</v>
      </c>
      <c r="G107" s="152" t="s">
        <v>423</v>
      </c>
      <c r="H107" s="152" t="s">
        <v>423</v>
      </c>
      <c r="I107" s="152" t="s">
        <v>423</v>
      </c>
      <c r="J107" s="152">
        <f t="shared" ca="1" si="187"/>
        <v>0</v>
      </c>
      <c r="K107" s="152">
        <f t="shared" si="187"/>
        <v>4280.3772462591969</v>
      </c>
      <c r="L107" s="152">
        <f t="shared" ca="1" si="187"/>
        <v>4280.3772462591969</v>
      </c>
      <c r="M107" s="104"/>
      <c r="N107" s="131" t="str">
        <f t="shared" si="170"/>
        <v>Q3 2003</v>
      </c>
      <c r="O107" s="204">
        <f t="shared" si="171"/>
        <v>-0.86484512686729431</v>
      </c>
      <c r="P107" s="131">
        <f t="shared" ca="1" si="172"/>
        <v>-1854.8043648182947</v>
      </c>
      <c r="Q107" s="131">
        <f t="shared" ca="1" si="172"/>
        <v>-588024.564453125</v>
      </c>
      <c r="R107" s="131">
        <f t="shared" ca="1" si="173"/>
        <v>-2738.4110179806548</v>
      </c>
      <c r="S107" s="131">
        <f t="shared" ca="1" si="173"/>
        <v>-860577.216796875</v>
      </c>
      <c r="T107" s="104"/>
      <c r="U107" s="104"/>
      <c r="V107" s="104"/>
      <c r="W107" s="230">
        <f t="shared" si="174"/>
        <v>37377</v>
      </c>
      <c r="X107" s="233">
        <f t="shared" si="175"/>
        <v>-0.65000343322753906</v>
      </c>
      <c r="Y107" s="234">
        <f t="shared" ca="1" si="176"/>
        <v>67.208317532388776</v>
      </c>
      <c r="Z107" s="234">
        <f t="shared" ca="1" si="177"/>
        <v>23014.15625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180"/>
        <v>0</v>
      </c>
      <c r="AQ107" s="25">
        <v>-13</v>
      </c>
      <c r="AR107" s="29">
        <v>39.5</v>
      </c>
      <c r="AS107" s="25">
        <f t="shared" si="181"/>
        <v>-513.5</v>
      </c>
      <c r="DJ107" s="54">
        <f>[5]Cinergy!$D129</f>
        <v>40057</v>
      </c>
      <c r="DK107" s="30">
        <f t="shared" si="143"/>
        <v>21</v>
      </c>
      <c r="DL107" s="254">
        <v>38626</v>
      </c>
      <c r="DM107" s="255">
        <v>21</v>
      </c>
      <c r="DP107" s="55">
        <f>[5]Cinergy!$D98</f>
        <v>39114</v>
      </c>
      <c r="DQ107" s="56">
        <f ca="1">[5]OPPD_NPPD!$O98+[5]NSP!$O98</f>
        <v>0</v>
      </c>
      <c r="DR107" s="56">
        <f ca="1">[5]COMED!$O98</f>
        <v>-55670.41015625</v>
      </c>
      <c r="DS107" s="56">
        <f t="shared" ca="1" si="162"/>
        <v>-55670.41015625</v>
      </c>
      <c r="DT107" s="56">
        <f ca="1">SUM([5]OPPD_NPPD!$P98:$R98)+SUM([5]NSP!$P98:$R98)</f>
        <v>0</v>
      </c>
      <c r="DU107" s="56">
        <f ca="1">SUM([5]COMED!$P98:$R98)</f>
        <v>-19276.0390625</v>
      </c>
      <c r="DV107" s="56">
        <f t="shared" ca="1" si="163"/>
        <v>-19276.0390625</v>
      </c>
      <c r="DW107" s="57"/>
      <c r="DX107" s="58">
        <f>[5]OtherPosn!$D98</f>
        <v>37140</v>
      </c>
      <c r="DY107" s="56">
        <f>[5]OtherPosn!$N98</f>
        <v>0</v>
      </c>
      <c r="DZ107" s="56">
        <f>SUM([5]OtherPosn!$O98:$P98)</f>
        <v>0</v>
      </c>
    </row>
    <row r="108" spans="1:130" ht="15.75" x14ac:dyDescent="0.25">
      <c r="A108" s="151">
        <f t="shared" si="178"/>
        <v>37408</v>
      </c>
      <c r="B108" s="152">
        <f t="shared" ca="1" si="168"/>
        <v>-480969.16015625</v>
      </c>
      <c r="C108" s="152">
        <f t="shared" ref="C108:L108" ca="1" si="188">C20+C64</f>
        <v>-1549.5923703410822</v>
      </c>
      <c r="D108" s="152">
        <f t="shared" si="188"/>
        <v>-300</v>
      </c>
      <c r="E108" s="152">
        <f t="shared" ca="1" si="188"/>
        <v>-574084.45344794006</v>
      </c>
      <c r="F108" s="415">
        <f t="shared" ca="1" si="188"/>
        <v>-1849.5923703410822</v>
      </c>
      <c r="G108" s="152" t="s">
        <v>423</v>
      </c>
      <c r="H108" s="152" t="s">
        <v>423</v>
      </c>
      <c r="I108" s="152" t="s">
        <v>423</v>
      </c>
      <c r="J108" s="152">
        <f t="shared" ca="1" si="188"/>
        <v>180363.43505859375</v>
      </c>
      <c r="K108" s="152">
        <f t="shared" si="188"/>
        <v>34918.234984383758</v>
      </c>
      <c r="L108" s="152">
        <f t="shared" ca="1" si="188"/>
        <v>215281.67004297749</v>
      </c>
      <c r="M108" s="104"/>
      <c r="N108" s="112" t="str">
        <f t="shared" si="170"/>
        <v>Bal 2002</v>
      </c>
      <c r="O108" s="206">
        <f t="shared" si="171"/>
        <v>-0.97468340256634889</v>
      </c>
      <c r="P108" s="112">
        <f t="shared" ca="1" si="172"/>
        <v>-4795.1318102249897</v>
      </c>
      <c r="Q108" s="112">
        <f t="shared" ca="1" si="172"/>
        <v>-1619298.7718758956</v>
      </c>
      <c r="R108" s="112">
        <f t="shared" ca="1" si="173"/>
        <v>-7801.0352790797315</v>
      </c>
      <c r="S108" s="112">
        <f t="shared" ca="1" si="173"/>
        <v>-2579257.0328116044</v>
      </c>
      <c r="T108" s="104"/>
      <c r="U108" s="104"/>
      <c r="V108" s="104"/>
      <c r="W108" s="111">
        <f t="shared" si="174"/>
        <v>37408</v>
      </c>
      <c r="X108" s="235">
        <f t="shared" si="175"/>
        <v>-1</v>
      </c>
      <c r="Y108" s="180">
        <f t="shared" ca="1" si="176"/>
        <v>1449.6975756471033</v>
      </c>
      <c r="Z108" s="180">
        <f t="shared" ca="1" si="177"/>
        <v>449963.38313544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180"/>
        <v>0</v>
      </c>
      <c r="AQ108" s="25">
        <v>-5</v>
      </c>
      <c r="AR108" s="29">
        <v>39.25</v>
      </c>
      <c r="AS108" s="25">
        <f t="shared" si="181"/>
        <v>-196.25</v>
      </c>
      <c r="DJ108" s="54">
        <f>[5]Cinergy!$D130</f>
        <v>40087</v>
      </c>
      <c r="DK108" s="30">
        <f t="shared" si="143"/>
        <v>22</v>
      </c>
      <c r="DL108" s="254">
        <v>38657</v>
      </c>
      <c r="DM108" s="255">
        <v>21</v>
      </c>
      <c r="DP108" s="55">
        <f>[5]Cinergy!$D99</f>
        <v>39142</v>
      </c>
      <c r="DQ108" s="56">
        <f ca="1">[5]OPPD_NPPD!$O99+[5]NSP!$O99</f>
        <v>0</v>
      </c>
      <c r="DR108" s="56">
        <f ca="1">[5]COMED!$O99</f>
        <v>-61976.75</v>
      </c>
      <c r="DS108" s="56">
        <f t="shared" ca="1" si="162"/>
        <v>-61976.75</v>
      </c>
      <c r="DT108" s="56">
        <f ca="1">SUM([5]OPPD_NPPD!$P99:$R99)+SUM([5]NSP!$P99:$R99)</f>
        <v>0</v>
      </c>
      <c r="DU108" s="56">
        <f ca="1">SUM([5]COMED!$P99:$R99)</f>
        <v>-21943.42919921875</v>
      </c>
      <c r="DV108" s="56">
        <f t="shared" ca="1" si="163"/>
        <v>-21943.42919921875</v>
      </c>
      <c r="DW108" s="57"/>
      <c r="DX108" s="58">
        <f>[5]OtherPosn!$D99</f>
        <v>37141</v>
      </c>
      <c r="DY108" s="56">
        <f>[5]OtherPosn!$N99</f>
        <v>1.3000000381735433E-11</v>
      </c>
      <c r="DZ108" s="56">
        <f>SUM([5]OtherPosn!$O99:$P99)</f>
        <v>-398.2607421875</v>
      </c>
    </row>
    <row r="109" spans="1:130" ht="15.75" x14ac:dyDescent="0.25">
      <c r="A109" s="151">
        <f t="shared" si="178"/>
        <v>37438</v>
      </c>
      <c r="B109" s="152">
        <f t="shared" ca="1" si="168"/>
        <v>-453843.109375</v>
      </c>
      <c r="C109" s="152">
        <f t="shared" ref="C109:L109" ca="1" si="189">C21+C65</f>
        <v>-1333.423646774135</v>
      </c>
      <c r="D109" s="152">
        <f t="shared" si="189"/>
        <v>-650</v>
      </c>
      <c r="E109" s="152">
        <f t="shared" ca="1" si="189"/>
        <v>-675076.63992428908</v>
      </c>
      <c r="F109" s="415">
        <f t="shared" ca="1" si="189"/>
        <v>-1983.4236467741348</v>
      </c>
      <c r="G109" s="152" t="s">
        <v>423</v>
      </c>
      <c r="H109" s="152" t="s">
        <v>423</v>
      </c>
      <c r="I109" s="152" t="s">
        <v>423</v>
      </c>
      <c r="J109" s="152">
        <f t="shared" ca="1" si="189"/>
        <v>226921.5546875</v>
      </c>
      <c r="K109" s="152">
        <f t="shared" si="189"/>
        <v>116998.5017327971</v>
      </c>
      <c r="L109" s="152">
        <f t="shared" ca="1" si="189"/>
        <v>343920.05642029713</v>
      </c>
      <c r="M109" s="104"/>
      <c r="N109" s="169">
        <f t="shared" si="170"/>
        <v>2003</v>
      </c>
      <c r="O109" s="204">
        <f t="shared" si="171"/>
        <v>-0.82448651182885158</v>
      </c>
      <c r="P109" s="208">
        <f t="shared" ca="1" si="172"/>
        <v>1827.7624522026117</v>
      </c>
      <c r="Q109" s="208">
        <f t="shared" ca="1" si="172"/>
        <v>579055.087890625</v>
      </c>
      <c r="R109" s="208">
        <f t="shared" ca="1" si="173"/>
        <v>-17206.619957224782</v>
      </c>
      <c r="S109" s="208">
        <f t="shared" ca="1" si="173"/>
        <v>-5431435.712890625</v>
      </c>
      <c r="T109" s="104"/>
      <c r="U109" s="104"/>
      <c r="V109" s="104"/>
      <c r="W109" s="230">
        <f t="shared" si="174"/>
        <v>37438</v>
      </c>
      <c r="X109" s="233">
        <f t="shared" si="175"/>
        <v>-1.25</v>
      </c>
      <c r="Y109" s="234">
        <f t="shared" ca="1" si="176"/>
        <v>284.10663008329345</v>
      </c>
      <c r="Z109" s="234">
        <f t="shared" ca="1" si="177"/>
        <v>96698.327424289077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180"/>
        <v>0</v>
      </c>
      <c r="AR109" s="29"/>
      <c r="AS109" s="25">
        <f t="shared" si="181"/>
        <v>0</v>
      </c>
      <c r="DJ109" s="54">
        <f>[5]Cinergy!$D131</f>
        <v>40118</v>
      </c>
      <c r="DK109" s="30">
        <f t="shared" si="143"/>
        <v>20</v>
      </c>
      <c r="DL109" s="254">
        <v>38687</v>
      </c>
      <c r="DM109" s="255">
        <v>22</v>
      </c>
      <c r="DP109" s="55">
        <f>[5]Cinergy!$D100</f>
        <v>39173</v>
      </c>
      <c r="DQ109" s="56">
        <f ca="1">[5]OPPD_NPPD!$O100+[5]NSP!$O100</f>
        <v>0</v>
      </c>
      <c r="DR109" s="56">
        <f ca="1">[5]COMED!$O100</f>
        <v>-58612.84375</v>
      </c>
      <c r="DS109" s="56">
        <f t="shared" ca="1" si="162"/>
        <v>-58612.84375</v>
      </c>
      <c r="DT109" s="56">
        <f ca="1">SUM([5]OPPD_NPPD!$P100:$R100)+SUM([5]NSP!$P100:$R100)</f>
        <v>0</v>
      </c>
      <c r="DU109" s="56">
        <f ca="1">SUM([5]COMED!$P100:$R100)</f>
        <v>-21064.437255859375</v>
      </c>
      <c r="DV109" s="56">
        <f t="shared" ca="1" si="163"/>
        <v>-21064.437255859375</v>
      </c>
      <c r="DW109" s="57"/>
      <c r="DX109" s="58">
        <f>[5]OtherPosn!$D100</f>
        <v>37142</v>
      </c>
      <c r="DY109" s="56">
        <f>[5]OtherPosn!$N100</f>
        <v>0</v>
      </c>
      <c r="DZ109" s="56">
        <f>SUM([5]OtherPosn!$O100:$P100)</f>
        <v>-1194.7822265625</v>
      </c>
    </row>
    <row r="110" spans="1:130" ht="16.5" thickBot="1" x14ac:dyDescent="0.3">
      <c r="A110" s="151">
        <f t="shared" si="178"/>
        <v>37469</v>
      </c>
      <c r="B110" s="152">
        <f t="shared" ca="1" si="168"/>
        <v>-463027.203125</v>
      </c>
      <c r="C110" s="152">
        <f t="shared" ref="C110:L110" ca="1" si="190">C22+C66</f>
        <v>-1364.8589813955473</v>
      </c>
      <c r="D110" s="152">
        <f t="shared" si="190"/>
        <v>-650</v>
      </c>
      <c r="E110" s="152">
        <f t="shared" ca="1" si="190"/>
        <v>-683539.1286306777</v>
      </c>
      <c r="F110" s="415">
        <f t="shared" ca="1" si="190"/>
        <v>-2014.8589813955473</v>
      </c>
      <c r="G110" s="152" t="s">
        <v>423</v>
      </c>
      <c r="H110" s="152" t="s">
        <v>423</v>
      </c>
      <c r="I110" s="152" t="s">
        <v>423</v>
      </c>
      <c r="J110" s="152">
        <f t="shared" ca="1" si="190"/>
        <v>231513.6015625</v>
      </c>
      <c r="K110" s="152">
        <f t="shared" si="190"/>
        <v>116616.88368088723</v>
      </c>
      <c r="L110" s="152">
        <f t="shared" ca="1" si="190"/>
        <v>348130.48524338723</v>
      </c>
      <c r="M110" s="104"/>
      <c r="N110" s="205">
        <f t="shared" si="170"/>
        <v>2004</v>
      </c>
      <c r="O110" s="207">
        <f t="shared" si="171"/>
        <v>-1.0026817099992655</v>
      </c>
      <c r="P110" s="209">
        <f t="shared" ca="1" si="172"/>
        <v>1695.0331782904957</v>
      </c>
      <c r="Q110" s="209">
        <f t="shared" ca="1" si="172"/>
        <v>516622.5791015625</v>
      </c>
      <c r="R110" s="209">
        <f t="shared" ca="1" si="173"/>
        <v>-1695.0331782904957</v>
      </c>
      <c r="S110" s="209">
        <f t="shared" ca="1" si="173"/>
        <v>-516622.5791015625</v>
      </c>
      <c r="T110" s="104"/>
      <c r="U110" s="104"/>
      <c r="V110" s="104"/>
      <c r="W110" s="111">
        <f t="shared" si="174"/>
        <v>37469</v>
      </c>
      <c r="X110" s="235">
        <f t="shared" si="175"/>
        <v>-1.25</v>
      </c>
      <c r="Y110" s="180">
        <f t="shared" ca="1" si="176"/>
        <v>315.66406079996011</v>
      </c>
      <c r="Z110" s="180">
        <f t="shared" ca="1" si="177"/>
        <v>107088.7536306777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181"/>
        <v>0</v>
      </c>
      <c r="DJ110" s="54">
        <f>[5]Cinergy!$D132</f>
        <v>40148</v>
      </c>
      <c r="DK110" s="30">
        <f t="shared" si="143"/>
        <v>22</v>
      </c>
      <c r="DL110" s="254">
        <v>38718</v>
      </c>
      <c r="DM110" s="255">
        <v>22</v>
      </c>
      <c r="DP110" s="55">
        <f>[5]Cinergy!$D101</f>
        <v>39203</v>
      </c>
      <c r="DQ110" s="56">
        <f ca="1">[5]OPPD_NPPD!$O101+[5]NSP!$O101</f>
        <v>0</v>
      </c>
      <c r="DR110" s="56">
        <f ca="1">[5]COMED!$O101</f>
        <v>-58741.99609375</v>
      </c>
      <c r="DS110" s="56">
        <f t="shared" ca="1" si="162"/>
        <v>-58741.99609375</v>
      </c>
      <c r="DT110" s="56">
        <f ca="1">SUM([5]OPPD_NPPD!$P101:$R101)+SUM([5]NSP!$P101:$R101)</f>
        <v>0</v>
      </c>
      <c r="DU110" s="56">
        <f ca="1">SUM([5]COMED!$P101:$R101)</f>
        <v>-18819.442138671875</v>
      </c>
      <c r="DV110" s="56">
        <f t="shared" ca="1" si="163"/>
        <v>-18819.442138671875</v>
      </c>
      <c r="DW110" s="57"/>
      <c r="DX110" s="58">
        <f>[5]OtherPosn!$D101</f>
        <v>37143</v>
      </c>
      <c r="DY110" s="56">
        <f>[5]OtherPosn!$N101</f>
        <v>0</v>
      </c>
      <c r="DZ110" s="56">
        <f>SUM([5]OtherPosn!$O101:$P101)</f>
        <v>-1194.7822265625</v>
      </c>
    </row>
    <row r="111" spans="1:130" ht="15.75" x14ac:dyDescent="0.25">
      <c r="A111" s="151">
        <f t="shared" si="178"/>
        <v>37500</v>
      </c>
      <c r="B111" s="152">
        <f t="shared" ca="1" si="168"/>
        <v>-153614.6484375</v>
      </c>
      <c r="C111" s="152">
        <f t="shared" ref="C111:L111" ca="1" si="191">C23+C67</f>
        <v>-499.69169411587802</v>
      </c>
      <c r="D111" s="152">
        <f t="shared" si="191"/>
        <v>-50</v>
      </c>
      <c r="E111" s="152">
        <f t="shared" ca="1" si="191"/>
        <v>-168985.59118543737</v>
      </c>
      <c r="F111" s="415">
        <f t="shared" ca="1" si="191"/>
        <v>-549.69169411587802</v>
      </c>
      <c r="G111" s="152" t="s">
        <v>423</v>
      </c>
      <c r="H111" s="152" t="s">
        <v>423</v>
      </c>
      <c r="I111" s="152" t="s">
        <v>423</v>
      </c>
      <c r="J111" s="152">
        <f t="shared" ca="1" si="191"/>
        <v>0</v>
      </c>
      <c r="K111" s="152">
        <f t="shared" si="191"/>
        <v>0</v>
      </c>
      <c r="L111" s="152">
        <f t="shared" ca="1" si="191"/>
        <v>0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74"/>
        <v>37500</v>
      </c>
      <c r="X111" s="233">
        <f t="shared" si="175"/>
        <v>-1.0000057220458984</v>
      </c>
      <c r="Y111" s="234">
        <f t="shared" ca="1" si="176"/>
        <v>1149.3217270549317</v>
      </c>
      <c r="Z111" s="234">
        <f t="shared" ca="1" si="177"/>
        <v>353323.1693104374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181"/>
        <v>0</v>
      </c>
      <c r="DJ111" s="54">
        <f>[5]Cinergy!$D133</f>
        <v>40179</v>
      </c>
      <c r="DK111" s="30">
        <f t="shared" si="143"/>
        <v>20</v>
      </c>
      <c r="DL111" s="254">
        <v>38749</v>
      </c>
      <c r="DM111" s="255">
        <v>20</v>
      </c>
      <c r="DP111" s="55">
        <f>[5]Cinergy!$D102</f>
        <v>39234</v>
      </c>
      <c r="DQ111" s="56">
        <f ca="1">[5]OPPD_NPPD!$O102+[5]NSP!$O102</f>
        <v>0</v>
      </c>
      <c r="DR111" s="56">
        <f ca="1">[5]COMED!$O102</f>
        <v>-54551.12890625</v>
      </c>
      <c r="DS111" s="56">
        <f t="shared" ca="1" si="162"/>
        <v>-54551.12890625</v>
      </c>
      <c r="DT111" s="56">
        <f ca="1">SUM([5]OPPD_NPPD!$P102:$R102)+SUM([5]NSP!$P102:$R102)</f>
        <v>0</v>
      </c>
      <c r="DU111" s="56">
        <f ca="1">SUM([5]COMED!$P102:$R102)</f>
        <v>-17493.40966796875</v>
      </c>
      <c r="DV111" s="56">
        <f t="shared" ca="1" si="163"/>
        <v>-17493.40966796875</v>
      </c>
      <c r="DW111" s="57"/>
      <c r="DX111" s="58">
        <f>[5]OtherPosn!$D102</f>
        <v>37144</v>
      </c>
      <c r="DY111" s="56">
        <f>[5]OtherPosn!$N102</f>
        <v>-15133.908203125</v>
      </c>
      <c r="DZ111" s="56">
        <f>SUM([5]OtherPosn!$O102:$P102)</f>
        <v>-398.2607421875</v>
      </c>
    </row>
    <row r="112" spans="1:130" ht="15.75" x14ac:dyDescent="0.25">
      <c r="A112" s="151">
        <f t="shared" si="178"/>
        <v>37530</v>
      </c>
      <c r="B112" s="152">
        <f t="shared" ca="1" si="168"/>
        <v>51708.328125</v>
      </c>
      <c r="C112" s="152">
        <f t="shared" ref="C112:L112" ca="1" si="192">C24+C68</f>
        <v>146.76197666912589</v>
      </c>
      <c r="D112" s="152">
        <f t="shared" si="192"/>
        <v>-50</v>
      </c>
      <c r="E112" s="152">
        <f t="shared" ca="1" si="192"/>
        <v>34091.936843497941</v>
      </c>
      <c r="F112" s="415">
        <f t="shared" ca="1" si="192"/>
        <v>96.761976669125886</v>
      </c>
      <c r="G112" s="152" t="s">
        <v>423</v>
      </c>
      <c r="H112" s="152" t="s">
        <v>423</v>
      </c>
      <c r="I112" s="152" t="s">
        <v>423</v>
      </c>
      <c r="J112" s="152">
        <f t="shared" ca="1" si="192"/>
        <v>-1.6951310914009809E-2</v>
      </c>
      <c r="K112" s="152">
        <f t="shared" si="192"/>
        <v>5.7751030950702071E-3</v>
      </c>
      <c r="L112" s="152">
        <f t="shared" ca="1" si="192"/>
        <v>-1.1176207818939604E-2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74"/>
        <v>37530</v>
      </c>
      <c r="X112" s="235">
        <f t="shared" si="175"/>
        <v>-0.55000114440917969</v>
      </c>
      <c r="Y112" s="180">
        <f t="shared" ca="1" si="176"/>
        <v>-1095.9923259055038</v>
      </c>
      <c r="Z112" s="180">
        <f t="shared" ca="1" si="177"/>
        <v>-386148.59309349791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181"/>
        <v>0</v>
      </c>
      <c r="DJ112" s="54">
        <f>[5]Cinergy!$D134</f>
        <v>40210</v>
      </c>
      <c r="DK112" s="30">
        <f t="shared" si="143"/>
        <v>20</v>
      </c>
      <c r="DL112" s="254">
        <v>38777</v>
      </c>
      <c r="DM112" s="255">
        <v>23</v>
      </c>
      <c r="DP112" s="55">
        <f>[5]Cinergy!$D103</f>
        <v>39264</v>
      </c>
      <c r="DQ112" s="56">
        <f ca="1">[5]OPPD_NPPD!$O103+[5]NSP!$O103</f>
        <v>0</v>
      </c>
      <c r="DR112" s="56">
        <f ca="1">[5]COMED!$O103</f>
        <v>-52299.4921875</v>
      </c>
      <c r="DS112" s="56">
        <f t="shared" ca="1" si="162"/>
        <v>-52299.4921875</v>
      </c>
      <c r="DT112" s="56">
        <f ca="1">SUM([5]OPPD_NPPD!$P103:$R103)+SUM([5]NSP!$P103:$R103)</f>
        <v>0</v>
      </c>
      <c r="DU112" s="56">
        <f ca="1">SUM([5]COMED!$P103:$R103)</f>
        <v>-17594.553466796875</v>
      </c>
      <c r="DV112" s="56">
        <f t="shared" ca="1" si="163"/>
        <v>-17594.553466796875</v>
      </c>
      <c r="DW112" s="57"/>
      <c r="DX112" s="58">
        <f>[5]OtherPosn!$D103</f>
        <v>37145</v>
      </c>
      <c r="DY112" s="56">
        <f>[5]OtherPosn!$N103</f>
        <v>-15133.908203125</v>
      </c>
      <c r="DZ112" s="56">
        <f>SUM([5]OtherPosn!$O103:$P103)</f>
        <v>-398.2607421875</v>
      </c>
    </row>
    <row r="113" spans="1:130" ht="15.75" x14ac:dyDescent="0.25">
      <c r="A113" s="151">
        <f t="shared" si="178"/>
        <v>37561</v>
      </c>
      <c r="B113" s="152">
        <f t="shared" ca="1" si="168"/>
        <v>44804.59375</v>
      </c>
      <c r="C113" s="152">
        <f t="shared" ref="C113:L113" ca="1" si="193">C25+C69</f>
        <v>146.75185367916583</v>
      </c>
      <c r="D113" s="152">
        <f t="shared" si="193"/>
        <v>-50</v>
      </c>
      <c r="E113" s="152">
        <f t="shared" ca="1" si="193"/>
        <v>29539.166899599368</v>
      </c>
      <c r="F113" s="415">
        <f t="shared" ca="1" si="193"/>
        <v>96.751853679165833</v>
      </c>
      <c r="G113" s="152" t="s">
        <v>423</v>
      </c>
      <c r="H113" s="152" t="s">
        <v>423</v>
      </c>
      <c r="I113" s="152" t="s">
        <v>423</v>
      </c>
      <c r="J113" s="152">
        <f t="shared" ca="1" si="193"/>
        <v>-1.4688090421259403E-2</v>
      </c>
      <c r="K113" s="152">
        <f t="shared" si="193"/>
        <v>5.0043968961956146E-3</v>
      </c>
      <c r="L113" s="152">
        <f t="shared" ca="1" si="193"/>
        <v>-9.6836935250637912E-3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74"/>
        <v>37561</v>
      </c>
      <c r="X113" s="233">
        <f t="shared" si="175"/>
        <v>-0.55000495910644531</v>
      </c>
      <c r="Y113" s="234">
        <f t="shared" ca="1" si="176"/>
        <v>-1095.9133387770894</v>
      </c>
      <c r="Z113" s="234">
        <f t="shared" ca="1" si="177"/>
        <v>-334591.69814959937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181"/>
        <v>0</v>
      </c>
      <c r="DJ113" s="54">
        <f>[5]Cinergy!$D135</f>
        <v>40238</v>
      </c>
      <c r="DK113" s="30">
        <f t="shared" si="143"/>
        <v>23</v>
      </c>
      <c r="DL113" s="254">
        <v>38808</v>
      </c>
      <c r="DM113" s="255">
        <v>20</v>
      </c>
      <c r="DP113" s="55">
        <f>[5]Cinergy!$D104</f>
        <v>39295</v>
      </c>
      <c r="DQ113" s="56">
        <f ca="1">[5]OPPD_NPPD!$O104+[5]NSP!$O104</f>
        <v>0</v>
      </c>
      <c r="DR113" s="56">
        <f ca="1">[5]COMED!$O104</f>
        <v>-56710.140625</v>
      </c>
      <c r="DS113" s="56">
        <f t="shared" ca="1" si="162"/>
        <v>-56710.140625</v>
      </c>
      <c r="DT113" s="56">
        <f ca="1">SUM([5]OPPD_NPPD!$P104:$R104)+SUM([5]NSP!$P104:$R104)</f>
        <v>0</v>
      </c>
      <c r="DU113" s="56">
        <f ca="1">SUM([5]COMED!$P104:$R104)</f>
        <v>-16128.2685546875</v>
      </c>
      <c r="DV113" s="56">
        <f t="shared" ca="1" si="163"/>
        <v>-16128.2685546875</v>
      </c>
      <c r="DW113" s="57"/>
      <c r="DX113" s="58">
        <f>[5]OtherPosn!$D104</f>
        <v>37146</v>
      </c>
      <c r="DY113" s="56">
        <f>[5]OtherPosn!$N104</f>
        <v>-15133.908203125</v>
      </c>
      <c r="DZ113" s="56">
        <f>SUM([5]OtherPosn!$O104:$P104)</f>
        <v>-398.2607421875</v>
      </c>
    </row>
    <row r="114" spans="1:130" ht="15.75" x14ac:dyDescent="0.25">
      <c r="A114" s="151">
        <f t="shared" si="178"/>
        <v>37591</v>
      </c>
      <c r="B114" s="152">
        <f t="shared" ca="1" si="168"/>
        <v>46866.4375</v>
      </c>
      <c r="C114" s="152">
        <f t="shared" ref="C114:L114" ca="1" si="194">C26+C70</f>
        <v>146.72643341697369</v>
      </c>
      <c r="D114" s="152">
        <f t="shared" si="194"/>
        <v>-50</v>
      </c>
      <c r="E114" s="152">
        <f t="shared" ca="1" si="194"/>
        <v>30895.750961599348</v>
      </c>
      <c r="F114" s="415">
        <f t="shared" ca="1" si="194"/>
        <v>96.726433416973691</v>
      </c>
      <c r="G114" s="152" t="s">
        <v>423</v>
      </c>
      <c r="H114" s="152" t="s">
        <v>423</v>
      </c>
      <c r="I114" s="152" t="s">
        <v>423</v>
      </c>
      <c r="J114" s="152">
        <f t="shared" ca="1" si="194"/>
        <v>-1.5364015474915504E-2</v>
      </c>
      <c r="K114" s="152">
        <f t="shared" si="194"/>
        <v>5.2355990386726567E-3</v>
      </c>
      <c r="L114" s="152">
        <f t="shared" ca="1" si="194"/>
        <v>-1.0128416436242849E-2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74"/>
        <v>37591</v>
      </c>
      <c r="X114" s="235">
        <f t="shared" si="175"/>
        <v>-0.55000114440917969</v>
      </c>
      <c r="Y114" s="180">
        <f t="shared" ca="1" si="176"/>
        <v>-1095.7150702948061</v>
      </c>
      <c r="Z114" s="180">
        <f t="shared" ca="1" si="177"/>
        <v>-349986.43846159935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40269</v>
      </c>
      <c r="DK114" s="30">
        <f t="shared" si="143"/>
        <v>22</v>
      </c>
      <c r="DL114" s="254">
        <v>38838</v>
      </c>
      <c r="DM114" s="255">
        <v>22</v>
      </c>
      <c r="DP114" s="55">
        <f>[5]Cinergy!$D105</f>
        <v>39326</v>
      </c>
      <c r="DQ114" s="56">
        <f ca="1">[5]OPPD_NPPD!$O105+[5]NSP!$O105</f>
        <v>0</v>
      </c>
      <c r="DR114" s="56">
        <f ca="1">[5]COMED!$O105</f>
        <v>-50137.17578125</v>
      </c>
      <c r="DS114" s="56">
        <f t="shared" ca="1" si="162"/>
        <v>-50137.17578125</v>
      </c>
      <c r="DT114" s="56">
        <f ca="1">SUM([5]OPPD_NPPD!$P105:$R105)+SUM([5]NSP!$P105:$R105)</f>
        <v>0</v>
      </c>
      <c r="DU114" s="56">
        <f ca="1">SUM([5]COMED!$P105:$R105)</f>
        <v>-19564.92578125</v>
      </c>
      <c r="DV114" s="56">
        <f t="shared" ca="1" si="163"/>
        <v>-19564.92578125</v>
      </c>
      <c r="DW114" s="57"/>
      <c r="DX114" s="58">
        <f>[5]OtherPosn!$D105</f>
        <v>37147</v>
      </c>
      <c r="DY114" s="56">
        <f>[5]OtherPosn!$N105</f>
        <v>-15133.908203125</v>
      </c>
      <c r="DZ114" s="56">
        <f>SUM([5]OtherPosn!$O105:$P105)</f>
        <v>-398.2607421875</v>
      </c>
    </row>
    <row r="115" spans="1:130" ht="15.75" x14ac:dyDescent="0.25">
      <c r="A115" s="151">
        <f t="shared" si="178"/>
        <v>37622</v>
      </c>
      <c r="B115" s="152">
        <f t="shared" ca="1" si="168"/>
        <v>-649314.859375</v>
      </c>
      <c r="C115" s="152">
        <f t="shared" ref="C115:L115" ca="1" si="195">C27+C71</f>
        <v>-1947.7619214219565</v>
      </c>
      <c r="D115" s="152">
        <f t="shared" si="195"/>
        <v>0</v>
      </c>
      <c r="E115" s="152">
        <f t="shared" ca="1" si="195"/>
        <v>-649314.859375</v>
      </c>
      <c r="F115" s="415">
        <f t="shared" ca="1" si="195"/>
        <v>-1947.7619214219565</v>
      </c>
      <c r="G115" s="152" t="s">
        <v>423</v>
      </c>
      <c r="H115" s="152" t="s">
        <v>423</v>
      </c>
      <c r="I115" s="152" t="s">
        <v>423</v>
      </c>
      <c r="J115" s="152">
        <f t="shared" ca="1" si="195"/>
        <v>-0.11794950553717448</v>
      </c>
      <c r="K115" s="152">
        <f t="shared" si="195"/>
        <v>0</v>
      </c>
      <c r="L115" s="152">
        <f t="shared" ca="1" si="195"/>
        <v>-0.11794950553717448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74"/>
        <v>37622</v>
      </c>
      <c r="X115" s="233">
        <f t="shared" si="175"/>
        <v>-0.85200691223144531</v>
      </c>
      <c r="Y115" s="234">
        <f t="shared" ca="1" si="176"/>
        <v>449.48352032814387</v>
      </c>
      <c r="Z115" s="234">
        <f t="shared" ca="1" si="177"/>
        <v>149841.890625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40299</v>
      </c>
      <c r="DK115" s="30">
        <f t="shared" ref="DK115:DK127" si="196">VLOOKUP(DJ115,DL115:DM356,2)</f>
        <v>20</v>
      </c>
      <c r="DL115" s="254">
        <v>38869</v>
      </c>
      <c r="DM115" s="255">
        <v>22</v>
      </c>
      <c r="DP115" s="55">
        <f>[5]Cinergy!$D106</f>
        <v>39356</v>
      </c>
      <c r="DQ115" s="56">
        <f ca="1">[5]OPPD_NPPD!$O106+[5]NSP!$O106</f>
        <v>0</v>
      </c>
      <c r="DR115" s="56">
        <f ca="1">[5]COMED!$O106</f>
        <v>-60634.08984375</v>
      </c>
      <c r="DS115" s="56">
        <f t="shared" ca="1" si="162"/>
        <v>-60634.08984375</v>
      </c>
      <c r="DT115" s="56">
        <f ca="1">SUM([5]OPPD_NPPD!$P106:$R106)+SUM([5]NSP!$P106:$R106)</f>
        <v>0</v>
      </c>
      <c r="DU115" s="56">
        <f ca="1">SUM([5]COMED!$P106:$R106)</f>
        <v>-17895.80029296875</v>
      </c>
      <c r="DV115" s="56">
        <f t="shared" ca="1" si="163"/>
        <v>-17895.80029296875</v>
      </c>
      <c r="DW115" s="57"/>
      <c r="DX115" s="58">
        <f>[5]OtherPosn!$D106</f>
        <v>37148</v>
      </c>
      <c r="DY115" s="56">
        <f>[5]OtherPosn!$N106</f>
        <v>-15133.908203125</v>
      </c>
      <c r="DZ115" s="56">
        <f>SUM([5]OtherPosn!$O106:$P106)</f>
        <v>-398.2607421875</v>
      </c>
    </row>
    <row r="116" spans="1:130" ht="15.75" x14ac:dyDescent="0.25">
      <c r="A116" s="151">
        <f t="shared" si="178"/>
        <v>37653</v>
      </c>
      <c r="B116" s="152">
        <f t="shared" ca="1" si="168"/>
        <v>-588170.171875</v>
      </c>
      <c r="C116" s="152">
        <f t="shared" ref="C116:L116" ca="1" si="197">C28+C72</f>
        <v>-1947.8031486393447</v>
      </c>
      <c r="D116" s="152">
        <f t="shared" si="197"/>
        <v>0</v>
      </c>
      <c r="E116" s="152">
        <f t="shared" ca="1" si="197"/>
        <v>-588170.171875</v>
      </c>
      <c r="F116" s="415">
        <f t="shared" ca="1" si="197"/>
        <v>-1947.8031486393447</v>
      </c>
      <c r="G116" s="152" t="s">
        <v>423</v>
      </c>
      <c r="H116" s="152" t="s">
        <v>423</v>
      </c>
      <c r="I116" s="152" t="s">
        <v>423</v>
      </c>
      <c r="J116" s="152">
        <f t="shared" ca="1" si="197"/>
        <v>-0.10684243544210231</v>
      </c>
      <c r="K116" s="152">
        <f t="shared" si="197"/>
        <v>0</v>
      </c>
      <c r="L116" s="152">
        <f t="shared" ca="1" si="197"/>
        <v>-0.10684243544210231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74"/>
        <v>37653</v>
      </c>
      <c r="X116" s="235">
        <f t="shared" si="175"/>
        <v>-0.85001564025878906</v>
      </c>
      <c r="Y116" s="180">
        <f t="shared" ca="1" si="176"/>
        <v>449.49303430138718</v>
      </c>
      <c r="Z116" s="180">
        <f t="shared" ca="1" si="177"/>
        <v>135731.578125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40330</v>
      </c>
      <c r="DK116" s="30">
        <f t="shared" si="196"/>
        <v>22</v>
      </c>
      <c r="DL116" s="254">
        <v>38899</v>
      </c>
      <c r="DM116" s="255">
        <v>20</v>
      </c>
      <c r="DP116" s="55">
        <f>[5]Cinergy!$D107</f>
        <v>39387</v>
      </c>
      <c r="DQ116" s="56">
        <f ca="1">[5]OPPD_NPPD!$O107+[5]NSP!$O107</f>
        <v>0</v>
      </c>
      <c r="DR116" s="56">
        <f ca="1">[5]COMED!$O107</f>
        <v>-55317.96875</v>
      </c>
      <c r="DS116" s="56">
        <f t="shared" ca="1" si="162"/>
        <v>-55317.96875</v>
      </c>
      <c r="DT116" s="56">
        <f ca="1">SUM([5]OPPD_NPPD!$P107:$R107)+SUM([5]NSP!$P107:$R107)</f>
        <v>0</v>
      </c>
      <c r="DU116" s="56">
        <f ca="1">SUM([5]COMED!$P107:$R107)</f>
        <v>-20349.3466796875</v>
      </c>
      <c r="DV116" s="56">
        <f t="shared" ca="1" si="163"/>
        <v>-20349.3466796875</v>
      </c>
      <c r="DW116" s="57"/>
      <c r="DX116" s="58">
        <f>[5]OtherPosn!$D107</f>
        <v>37149</v>
      </c>
      <c r="DY116" s="56">
        <f>[5]OtherPosn!$N107</f>
        <v>0</v>
      </c>
      <c r="DZ116" s="56">
        <f>SUM([5]OtherPosn!$O107:$P107)</f>
        <v>-1194.7822265625</v>
      </c>
    </row>
    <row r="117" spans="1:130" ht="15.75" x14ac:dyDescent="0.25">
      <c r="A117" s="151">
        <f t="shared" si="178"/>
        <v>37681</v>
      </c>
      <c r="B117" s="152">
        <f t="shared" ca="1" si="168"/>
        <v>-599322.609375</v>
      </c>
      <c r="C117" s="152">
        <f t="shared" ref="C117:L117" ca="1" si="198">C29+C73</f>
        <v>-1897.6591904830166</v>
      </c>
      <c r="D117" s="152">
        <f t="shared" si="198"/>
        <v>0</v>
      </c>
      <c r="E117" s="152">
        <f t="shared" ca="1" si="198"/>
        <v>-599322.609375</v>
      </c>
      <c r="F117" s="415">
        <f t="shared" ca="1" si="198"/>
        <v>-1897.6591904830166</v>
      </c>
      <c r="G117" s="152" t="s">
        <v>423</v>
      </c>
      <c r="H117" s="152" t="s">
        <v>423</v>
      </c>
      <c r="I117" s="152" t="s">
        <v>423</v>
      </c>
      <c r="J117" s="152">
        <f t="shared" ca="1" si="198"/>
        <v>149830.91818494891</v>
      </c>
      <c r="K117" s="152">
        <f t="shared" si="198"/>
        <v>0</v>
      </c>
      <c r="L117" s="152">
        <f t="shared" ca="1" si="198"/>
        <v>149830.91818494891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74"/>
        <v>37681</v>
      </c>
      <c r="X117" s="233">
        <f t="shared" si="175"/>
        <v>-0.79998970031738281</v>
      </c>
      <c r="Y117" s="234">
        <f t="shared" ca="1" si="176"/>
        <v>699.13763294831597</v>
      </c>
      <c r="Z117" s="234">
        <f t="shared" ca="1" si="177"/>
        <v>220803.078125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40360</v>
      </c>
      <c r="DK117" s="30">
        <f t="shared" si="196"/>
        <v>22</v>
      </c>
      <c r="DL117" s="254">
        <v>38930</v>
      </c>
      <c r="DM117" s="255">
        <v>23</v>
      </c>
      <c r="DP117" s="55">
        <f>[5]Cinergy!$D108</f>
        <v>39417</v>
      </c>
      <c r="DQ117" s="56">
        <f ca="1">[5]OPPD_NPPD!$O108+[5]NSP!$O108</f>
        <v>0</v>
      </c>
      <c r="DR117" s="56">
        <f ca="1">[5]COMED!$O108</f>
        <v>-52173.40234375</v>
      </c>
      <c r="DS117" s="56">
        <f t="shared" ca="1" si="162"/>
        <v>-52173.40234375</v>
      </c>
      <c r="DT117" s="56">
        <f ca="1">SUM([5]OPPD_NPPD!$P108:$R108)+SUM([5]NSP!$P108:$R108)</f>
        <v>0</v>
      </c>
      <c r="DU117" s="56">
        <f ca="1">SUM([5]COMED!$P108:$R108)</f>
        <v>-22045.61181640625</v>
      </c>
      <c r="DV117" s="56">
        <f t="shared" ca="1" si="163"/>
        <v>-22045.61181640625</v>
      </c>
      <c r="DW117" s="57"/>
      <c r="DX117" s="58">
        <f>[5]OtherPosn!$D108</f>
        <v>37150</v>
      </c>
      <c r="DY117" s="56">
        <f>[5]OtherPosn!$N108</f>
        <v>0</v>
      </c>
      <c r="DZ117" s="56">
        <f>SUM([5]OtherPosn!$O108:$P108)</f>
        <v>-1194.7822265625</v>
      </c>
    </row>
    <row r="118" spans="1:130" ht="15.75" x14ac:dyDescent="0.25">
      <c r="A118" s="151">
        <f t="shared" si="178"/>
        <v>37712</v>
      </c>
      <c r="B118" s="152">
        <f t="shared" ca="1" si="168"/>
        <v>-625377.28125</v>
      </c>
      <c r="C118" s="152">
        <f t="shared" ref="C118:L118" ca="1" si="199">C30+C74</f>
        <v>-1897.6471101500522</v>
      </c>
      <c r="D118" s="152">
        <f t="shared" si="199"/>
        <v>0</v>
      </c>
      <c r="E118" s="152">
        <f t="shared" ca="1" si="199"/>
        <v>-625377.28125</v>
      </c>
      <c r="F118" s="415">
        <f t="shared" ca="1" si="199"/>
        <v>-1897.6471101500522</v>
      </c>
      <c r="G118" s="152" t="s">
        <v>423</v>
      </c>
      <c r="H118" s="152" t="s">
        <v>423</v>
      </c>
      <c r="I118" s="152" t="s">
        <v>423</v>
      </c>
      <c r="J118" s="152">
        <f t="shared" ca="1" si="199"/>
        <v>156344.59771075533</v>
      </c>
      <c r="K118" s="152">
        <f t="shared" si="199"/>
        <v>0</v>
      </c>
      <c r="L118" s="152">
        <f t="shared" ca="1" si="199"/>
        <v>156344.59771075533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74"/>
        <v>37712</v>
      </c>
      <c r="X118" s="235">
        <f t="shared" si="175"/>
        <v>-0.79998970031738281</v>
      </c>
      <c r="Y118" s="180">
        <f t="shared" ca="1" si="176"/>
        <v>699.13314584475597</v>
      </c>
      <c r="Z118" s="180">
        <f t="shared" ca="1" si="177"/>
        <v>230402.15625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40391</v>
      </c>
      <c r="DK118" s="30">
        <f t="shared" si="196"/>
        <v>22</v>
      </c>
      <c r="DL118" s="254">
        <v>38961</v>
      </c>
      <c r="DM118" s="255">
        <v>20</v>
      </c>
      <c r="DP118" s="55">
        <f>[5]Cinergy!$D109</f>
        <v>39448</v>
      </c>
      <c r="DQ118" s="56">
        <f ca="1">[5]OPPD_NPPD!$O109+[5]NSP!$O109</f>
        <v>0</v>
      </c>
      <c r="DR118" s="56">
        <f ca="1">[5]COMED!$O109</f>
        <v>-32913.3046875</v>
      </c>
      <c r="DS118" s="56">
        <f t="shared" ca="1" si="162"/>
        <v>-32913.3046875</v>
      </c>
      <c r="DT118" s="56">
        <f ca="1">SUM([5]OPPD_NPPD!$P109:$R109)+SUM([5]NSP!$P109:$R109)</f>
        <v>0</v>
      </c>
      <c r="DU118" s="56">
        <f ca="1">SUM([5]COMED!$P109:$R109)</f>
        <v>-20830.0966796875</v>
      </c>
      <c r="DV118" s="56">
        <f t="shared" ca="1" si="163"/>
        <v>-20830.0966796875</v>
      </c>
      <c r="DW118" s="57"/>
      <c r="DX118" s="58">
        <f>[5]OtherPosn!$D109</f>
        <v>37151</v>
      </c>
      <c r="DY118" s="56">
        <f>[5]OtherPosn!$N109</f>
        <v>-15133.908203125</v>
      </c>
      <c r="DZ118" s="56">
        <f>SUM([5]OtherPosn!$O109:$P109)</f>
        <v>-398.2607421875</v>
      </c>
    </row>
    <row r="119" spans="1:130" ht="15.75" x14ac:dyDescent="0.25">
      <c r="A119" s="151">
        <f t="shared" si="178"/>
        <v>37742</v>
      </c>
      <c r="B119" s="152">
        <f t="shared" ca="1" si="168"/>
        <v>-512334.921875</v>
      </c>
      <c r="C119" s="152">
        <f t="shared" ref="C119:L119" ca="1" si="200">C31+C75</f>
        <v>-1635.3290475804952</v>
      </c>
      <c r="D119" s="152">
        <f t="shared" si="200"/>
        <v>0</v>
      </c>
      <c r="E119" s="152">
        <f t="shared" ca="1" si="200"/>
        <v>-512334.921875</v>
      </c>
      <c r="F119" s="415">
        <f t="shared" ca="1" si="200"/>
        <v>-1635.3290475804952</v>
      </c>
      <c r="G119" s="152" t="s">
        <v>423</v>
      </c>
      <c r="H119" s="152" t="s">
        <v>423</v>
      </c>
      <c r="I119" s="152" t="s">
        <v>423</v>
      </c>
      <c r="J119" s="152">
        <f t="shared" ca="1" si="200"/>
        <v>0</v>
      </c>
      <c r="K119" s="152">
        <f t="shared" si="200"/>
        <v>0</v>
      </c>
      <c r="L119" s="152">
        <f t="shared" ca="1" si="200"/>
        <v>0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74"/>
        <v>37742</v>
      </c>
      <c r="X119" s="233">
        <f t="shared" si="175"/>
        <v>-0.75000381469726563</v>
      </c>
      <c r="Y119" s="234">
        <f t="shared" ca="1" si="176"/>
        <v>436.92002099163017</v>
      </c>
      <c r="Z119" s="234">
        <f t="shared" ca="1" si="177"/>
        <v>136883.390625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40422</v>
      </c>
      <c r="DK119" s="30">
        <f t="shared" si="196"/>
        <v>21</v>
      </c>
      <c r="DL119" s="254">
        <v>38991</v>
      </c>
      <c r="DM119" s="255">
        <v>22</v>
      </c>
      <c r="DP119" s="55">
        <f>[5]Cinergy!$D110</f>
        <v>39479</v>
      </c>
      <c r="DQ119" s="56">
        <f ca="1">[5]OPPD_NPPD!$O110+[5]NSP!$O110</f>
        <v>0</v>
      </c>
      <c r="DR119" s="56">
        <f ca="1">[5]COMED!$O110</f>
        <v>-31259.24609375</v>
      </c>
      <c r="DS119" s="56">
        <f t="shared" ca="1" si="162"/>
        <v>-31259.24609375</v>
      </c>
      <c r="DT119" s="56">
        <f ca="1">SUM([5]OPPD_NPPD!$P110:$R110)+SUM([5]NSP!$P110:$R110)</f>
        <v>0</v>
      </c>
      <c r="DU119" s="56">
        <f ca="1">SUM([5]COMED!$P110:$R110)</f>
        <v>-18525.1650390625</v>
      </c>
      <c r="DV119" s="56">
        <f t="shared" ca="1" si="163"/>
        <v>-18525.1650390625</v>
      </c>
      <c r="DW119" s="57"/>
      <c r="DX119" s="58">
        <f>[5]OtherPosn!$D110</f>
        <v>37152</v>
      </c>
      <c r="DY119" s="56">
        <f>[5]OtherPosn!$N110</f>
        <v>-15133.908203125</v>
      </c>
      <c r="DZ119" s="56">
        <f>SUM([5]OtherPosn!$O110:$P110)</f>
        <v>-398.2607421875</v>
      </c>
    </row>
    <row r="120" spans="1:130" ht="15.75" x14ac:dyDescent="0.25">
      <c r="A120" s="151">
        <f t="shared" si="178"/>
        <v>37773</v>
      </c>
      <c r="B120" s="152">
        <f t="shared" ca="1" si="168"/>
        <v>-249273.98046875</v>
      </c>
      <c r="C120" s="152">
        <f t="shared" ref="C120:L120" ca="1" si="201">C32+C76</f>
        <v>-798.91454152503206</v>
      </c>
      <c r="D120" s="152">
        <f t="shared" si="201"/>
        <v>0</v>
      </c>
      <c r="E120" s="152">
        <f t="shared" ca="1" si="201"/>
        <v>-249273.98046875</v>
      </c>
      <c r="F120" s="415">
        <f t="shared" ca="1" si="201"/>
        <v>-798.91454152503206</v>
      </c>
      <c r="G120" s="152" t="s">
        <v>423</v>
      </c>
      <c r="H120" s="152" t="s">
        <v>423</v>
      </c>
      <c r="I120" s="152" t="s">
        <v>423</v>
      </c>
      <c r="J120" s="152">
        <f t="shared" ca="1" si="201"/>
        <v>124636.990234375</v>
      </c>
      <c r="K120" s="152">
        <f t="shared" si="201"/>
        <v>0</v>
      </c>
      <c r="L120" s="152">
        <f t="shared" ca="1" si="201"/>
        <v>124636.990234375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74"/>
        <v>37773</v>
      </c>
      <c r="X120" s="235">
        <f t="shared" si="175"/>
        <v>-1</v>
      </c>
      <c r="Y120" s="180">
        <f t="shared" ca="1" si="176"/>
        <v>-399.45726450281745</v>
      </c>
      <c r="Z120" s="180">
        <f t="shared" ca="1" si="177"/>
        <v>-124636.98828125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40452</v>
      </c>
      <c r="DK120" s="30">
        <f t="shared" si="196"/>
        <v>21</v>
      </c>
      <c r="DL120" s="254">
        <v>39022</v>
      </c>
      <c r="DM120" s="255">
        <v>21</v>
      </c>
      <c r="DP120" s="55">
        <f>[5]Cinergy!$D111</f>
        <v>39508</v>
      </c>
      <c r="DQ120" s="56">
        <f ca="1">[5]OPPD_NPPD!$O111+[5]NSP!$O111</f>
        <v>0</v>
      </c>
      <c r="DR120" s="56">
        <f ca="1">[5]COMED!$O111</f>
        <v>-32034.330078125</v>
      </c>
      <c r="DS120" s="56">
        <f t="shared" ca="1" si="162"/>
        <v>-32034.330078125</v>
      </c>
      <c r="DT120" s="56">
        <f ca="1">SUM([5]OPPD_NPPD!$P111:$R111)+SUM([5]NSP!$P111:$R111)</f>
        <v>0</v>
      </c>
      <c r="DU120" s="56">
        <f ca="1">SUM([5]COMED!$P111:$R111)</f>
        <v>-21454.9072265625</v>
      </c>
      <c r="DV120" s="56">
        <f t="shared" ca="1" si="163"/>
        <v>-21454.9072265625</v>
      </c>
      <c r="DW120" s="57"/>
      <c r="DX120" s="58">
        <f>[5]OtherPosn!$D111</f>
        <v>37153</v>
      </c>
      <c r="DY120" s="56">
        <f>[5]OtherPosn!$N111</f>
        <v>-15133.908203125</v>
      </c>
      <c r="DZ120" s="56">
        <f>SUM([5]OtherPosn!$O111:$P111)</f>
        <v>-398.2607421875</v>
      </c>
    </row>
    <row r="121" spans="1:130" ht="16.5" thickBot="1" x14ac:dyDescent="0.3">
      <c r="A121" s="151">
        <f t="shared" si="178"/>
        <v>37803</v>
      </c>
      <c r="B121" s="152">
        <f t="shared" ca="1" si="168"/>
        <v>-295234.9296875</v>
      </c>
      <c r="C121" s="152">
        <f t="shared" ref="C121:L121" ca="1" si="202">C33+C77</f>
        <v>-907.04193586331496</v>
      </c>
      <c r="D121" s="152">
        <f t="shared" si="202"/>
        <v>0</v>
      </c>
      <c r="E121" s="152">
        <f t="shared" ca="1" si="202"/>
        <v>-295234.9296875</v>
      </c>
      <c r="F121" s="415">
        <f t="shared" ca="1" si="202"/>
        <v>-907.04193586331496</v>
      </c>
      <c r="G121" s="152" t="s">
        <v>423</v>
      </c>
      <c r="H121" s="152" t="s">
        <v>423</v>
      </c>
      <c r="I121" s="152" t="s">
        <v>423</v>
      </c>
      <c r="J121" s="152">
        <f t="shared" ca="1" si="202"/>
        <v>147617.46484375</v>
      </c>
      <c r="K121" s="152">
        <f t="shared" si="202"/>
        <v>0</v>
      </c>
      <c r="L121" s="152">
        <f t="shared" ca="1" si="202"/>
        <v>147617.46484375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74"/>
        <v>37803</v>
      </c>
      <c r="X121" s="236">
        <f t="shared" si="175"/>
        <v>-0.75</v>
      </c>
      <c r="Y121" s="237">
        <f t="shared" ca="1" si="176"/>
        <v>-890.3558999097753</v>
      </c>
      <c r="Z121" s="237">
        <f t="shared" ca="1" si="177"/>
        <v>-289803.7578125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40483</v>
      </c>
      <c r="DK121" s="30">
        <f t="shared" si="196"/>
        <v>21</v>
      </c>
      <c r="DL121" s="254">
        <v>39052</v>
      </c>
      <c r="DM121" s="255">
        <v>20</v>
      </c>
      <c r="DP121" s="55">
        <f>[5]Cinergy!$D112</f>
        <v>39539</v>
      </c>
      <c r="DQ121" s="56">
        <f ca="1">[5]OPPD_NPPD!$O112+[5]NSP!$O112</f>
        <v>0</v>
      </c>
      <c r="DR121" s="56">
        <f ca="1">[5]COMED!$O112</f>
        <v>-33137.9296875</v>
      </c>
      <c r="DS121" s="56">
        <f t="shared" ca="1" si="162"/>
        <v>-33137.9296875</v>
      </c>
      <c r="DT121" s="56">
        <f ca="1">SUM([5]OPPD_NPPD!$P112:$R112)+SUM([5]NSP!$P112:$R112)</f>
        <v>0</v>
      </c>
      <c r="DU121" s="56">
        <f ca="1">SUM([5]COMED!$P112:$R112)</f>
        <v>-18958.1279296875</v>
      </c>
      <c r="DV121" s="56">
        <f t="shared" ca="1" si="163"/>
        <v>-18958.1279296875</v>
      </c>
      <c r="DW121" s="57"/>
      <c r="DX121" s="58">
        <f>[5]OtherPosn!$D112</f>
        <v>37154</v>
      </c>
      <c r="DY121" s="56">
        <f>[5]OtherPosn!$N112</f>
        <v>-15133.908203125</v>
      </c>
      <c r="DZ121" s="56">
        <f>SUM([5]OtherPosn!$O112:$P112)</f>
        <v>-398.2607421875</v>
      </c>
    </row>
    <row r="122" spans="1:130" ht="15.75" x14ac:dyDescent="0.25">
      <c r="A122" s="151">
        <f t="shared" si="178"/>
        <v>37834</v>
      </c>
      <c r="B122" s="152">
        <f t="shared" ca="1" si="168"/>
        <v>-288535.107421875</v>
      </c>
      <c r="C122" s="152">
        <f t="shared" ref="C122:L122" ca="1" si="203">C34+C78</f>
        <v>-932.70978552613417</v>
      </c>
      <c r="D122" s="152">
        <f t="shared" si="203"/>
        <v>0</v>
      </c>
      <c r="E122" s="152">
        <f t="shared" ca="1" si="203"/>
        <v>-288535.107421875</v>
      </c>
      <c r="F122" s="415">
        <f t="shared" ca="1" si="203"/>
        <v>-932.70978552613417</v>
      </c>
      <c r="G122" s="152" t="s">
        <v>423</v>
      </c>
      <c r="H122" s="152" t="s">
        <v>423</v>
      </c>
      <c r="I122" s="152" t="s">
        <v>423</v>
      </c>
      <c r="J122" s="152">
        <f t="shared" ca="1" si="203"/>
        <v>144267.5537109375</v>
      </c>
      <c r="K122" s="152">
        <f t="shared" si="203"/>
        <v>0</v>
      </c>
      <c r="L122" s="152">
        <f t="shared" ca="1" si="203"/>
        <v>144267.5537109375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40513</v>
      </c>
      <c r="DK122" s="30">
        <f t="shared" si="196"/>
        <v>23</v>
      </c>
      <c r="DL122" s="254">
        <v>39083</v>
      </c>
      <c r="DM122" s="255">
        <v>22</v>
      </c>
      <c r="DP122" s="55">
        <f>[5]Cinergy!$D113</f>
        <v>39569</v>
      </c>
      <c r="DQ122" s="56">
        <f ca="1">[5]OPPD_NPPD!$O113+[5]NSP!$O113</f>
        <v>0</v>
      </c>
      <c r="DR122" s="56">
        <f ca="1">[5]COMED!$O113</f>
        <v>-29359.8125</v>
      </c>
      <c r="DS122" s="56">
        <f t="shared" ca="1" si="162"/>
        <v>-29359.8125</v>
      </c>
      <c r="DT122" s="56">
        <f ca="1">SUM([5]OPPD_NPPD!$P113:$R113)+SUM([5]NSP!$P113:$R113)</f>
        <v>0</v>
      </c>
      <c r="DU122" s="56">
        <f ca="1">SUM([5]COMED!$P113:$R113)</f>
        <v>-18392.60107421875</v>
      </c>
      <c r="DV122" s="56">
        <f t="shared" ca="1" si="163"/>
        <v>-18392.60107421875</v>
      </c>
      <c r="DW122" s="57"/>
      <c r="DX122" s="58">
        <f>[5]OtherPosn!$D113</f>
        <v>37155</v>
      </c>
      <c r="DY122" s="56">
        <f>[5]OtherPosn!$N113</f>
        <v>-15133.908203125</v>
      </c>
      <c r="DZ122" s="56">
        <f>SUM([5]OtherPosn!$O113:$P113)</f>
        <v>-398.2607421875</v>
      </c>
    </row>
    <row r="123" spans="1:130" ht="15.75" x14ac:dyDescent="0.25">
      <c r="A123" s="151">
        <f t="shared" si="178"/>
        <v>37865</v>
      </c>
      <c r="B123" s="152">
        <f t="shared" ca="1" si="168"/>
        <v>-276807.1796875</v>
      </c>
      <c r="C123" s="152">
        <f t="shared" ref="C123:L123" ca="1" si="204">C35+C79</f>
        <v>-898.65929659120593</v>
      </c>
      <c r="D123" s="152">
        <f t="shared" si="204"/>
        <v>0</v>
      </c>
      <c r="E123" s="152">
        <f t="shared" ca="1" si="204"/>
        <v>-276807.1796875</v>
      </c>
      <c r="F123" s="415">
        <f t="shared" ca="1" si="204"/>
        <v>-898.65929659120593</v>
      </c>
      <c r="G123" s="152" t="s">
        <v>423</v>
      </c>
      <c r="H123" s="152" t="s">
        <v>423</v>
      </c>
      <c r="I123" s="152" t="s">
        <v>423</v>
      </c>
      <c r="J123" s="152">
        <f t="shared" ca="1" si="204"/>
        <v>0</v>
      </c>
      <c r="K123" s="152">
        <f t="shared" si="204"/>
        <v>0</v>
      </c>
      <c r="L123" s="152">
        <f t="shared" ca="1" si="204"/>
        <v>0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40544</v>
      </c>
      <c r="DK123" s="30">
        <f t="shared" si="196"/>
        <v>21</v>
      </c>
      <c r="DL123" s="254">
        <v>39114</v>
      </c>
      <c r="DM123" s="255">
        <v>20</v>
      </c>
      <c r="DP123" s="55">
        <f>[5]Cinergy!$D114</f>
        <v>39600</v>
      </c>
      <c r="DQ123" s="56">
        <f ca="1">[5]OPPD_NPPD!$O114+[5]NSP!$O114</f>
        <v>0</v>
      </c>
      <c r="DR123" s="56">
        <f ca="1">[5]COMED!$O114</f>
        <v>-28041.716796875</v>
      </c>
      <c r="DS123" s="56">
        <f t="shared" ca="1" si="162"/>
        <v>-28041.716796875</v>
      </c>
      <c r="DT123" s="56">
        <f ca="1">SUM([5]OPPD_NPPD!$P114:$R114)+SUM([5]NSP!$P114:$R114)</f>
        <v>0</v>
      </c>
      <c r="DU123" s="56">
        <f ca="1">SUM([5]COMED!$P114:$R114)</f>
        <v>-16421.821533203125</v>
      </c>
      <c r="DV123" s="56">
        <f t="shared" ca="1" si="163"/>
        <v>-16421.821533203125</v>
      </c>
      <c r="DW123" s="57"/>
      <c r="DX123" s="58">
        <f>[5]OtherPosn!$D114</f>
        <v>37156</v>
      </c>
      <c r="DY123" s="56">
        <f>[5]OtherPosn!$N114</f>
        <v>0</v>
      </c>
      <c r="DZ123" s="56">
        <f>SUM([5]OtherPosn!$O114:$P114)</f>
        <v>-1194.7822265625</v>
      </c>
    </row>
    <row r="124" spans="1:130" ht="15.75" x14ac:dyDescent="0.25">
      <c r="A124" s="151">
        <f t="shared" si="178"/>
        <v>37895</v>
      </c>
      <c r="B124" s="152">
        <f t="shared" ca="1" si="168"/>
        <v>-486243.953125</v>
      </c>
      <c r="C124" s="152">
        <f t="shared" ref="C124:L124" ca="1" si="205">C36+C80</f>
        <v>-1447.745140823843</v>
      </c>
      <c r="D124" s="152">
        <f t="shared" si="205"/>
        <v>0</v>
      </c>
      <c r="E124" s="152">
        <f t="shared" ca="1" si="205"/>
        <v>-486243.953125</v>
      </c>
      <c r="F124" s="415">
        <f t="shared" ca="1" si="205"/>
        <v>-1447.745140823843</v>
      </c>
      <c r="G124" s="152" t="s">
        <v>423</v>
      </c>
      <c r="H124" s="152" t="s">
        <v>423</v>
      </c>
      <c r="I124" s="152" t="s">
        <v>423</v>
      </c>
      <c r="J124" s="152">
        <f t="shared" ca="1" si="205"/>
        <v>177479.6851405669</v>
      </c>
      <c r="K124" s="152">
        <f t="shared" si="205"/>
        <v>0</v>
      </c>
      <c r="L124" s="152">
        <f t="shared" ca="1" si="205"/>
        <v>177479.6851405669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40575</v>
      </c>
      <c r="DK124" s="30">
        <f t="shared" si="196"/>
        <v>20</v>
      </c>
      <c r="DL124" s="254">
        <v>39142</v>
      </c>
      <c r="DM124" s="255">
        <v>22</v>
      </c>
      <c r="DP124" s="55">
        <f>[5]Cinergy!$D115</f>
        <v>39630</v>
      </c>
      <c r="DQ124" s="56">
        <f ca="1">[5]OPPD_NPPD!$O115+[5]NSP!$O115</f>
        <v>0</v>
      </c>
      <c r="DR124" s="56">
        <f ca="1">[5]COMED!$O115</f>
        <v>-27281.4765625</v>
      </c>
      <c r="DS124" s="56">
        <f t="shared" ca="1" si="162"/>
        <v>-27281.4765625</v>
      </c>
      <c r="DT124" s="56">
        <f ca="1">SUM([5]OPPD_NPPD!$P115:$R115)+SUM([5]NSP!$P115:$R115)</f>
        <v>0</v>
      </c>
      <c r="DU124" s="56">
        <f ca="1">SUM([5]COMED!$P115:$R115)</f>
        <v>-15864.355712890625</v>
      </c>
      <c r="DV124" s="56">
        <f t="shared" ca="1" si="163"/>
        <v>-15864.355712890625</v>
      </c>
      <c r="DW124" s="57"/>
      <c r="DX124" s="58">
        <f>[5]OtherPosn!$D115</f>
        <v>37157</v>
      </c>
      <c r="DY124" s="56">
        <f>[5]OtherPosn!$N115</f>
        <v>0</v>
      </c>
      <c r="DZ124" s="56">
        <f>SUM([5]OtherPosn!$O115:$P115)</f>
        <v>-1194.7822265625</v>
      </c>
    </row>
    <row r="125" spans="1:130" ht="15.75" x14ac:dyDescent="0.25">
      <c r="A125" s="151">
        <f t="shared" si="178"/>
        <v>37926</v>
      </c>
      <c r="B125" s="152">
        <f t="shared" ca="1" si="168"/>
        <v>-399907.3125</v>
      </c>
      <c r="C125" s="152">
        <f t="shared" ref="C125:L125" ca="1" si="206">C37+C81</f>
        <v>-1447.7218970599563</v>
      </c>
      <c r="D125" s="152">
        <f t="shared" si="206"/>
        <v>0</v>
      </c>
      <c r="E125" s="152">
        <f t="shared" ca="1" si="206"/>
        <v>-399907.3125</v>
      </c>
      <c r="F125" s="415">
        <f t="shared" ca="1" si="206"/>
        <v>-1447.7218970599563</v>
      </c>
      <c r="G125" s="152" t="s">
        <v>423</v>
      </c>
      <c r="H125" s="152" t="s">
        <v>423</v>
      </c>
      <c r="I125" s="152" t="s">
        <v>423</v>
      </c>
      <c r="J125" s="152">
        <f t="shared" ca="1" si="206"/>
        <v>145966.69727564603</v>
      </c>
      <c r="K125" s="152">
        <f t="shared" si="206"/>
        <v>0</v>
      </c>
      <c r="L125" s="152">
        <f t="shared" ca="1" si="206"/>
        <v>145966.69727564603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40603</v>
      </c>
      <c r="DK125" s="30">
        <f t="shared" si="196"/>
        <v>23</v>
      </c>
      <c r="DL125" s="254">
        <v>39173</v>
      </c>
      <c r="DM125" s="255">
        <v>21</v>
      </c>
      <c r="DP125" s="55">
        <f>[5]Cinergy!$D116</f>
        <v>39661</v>
      </c>
      <c r="DQ125" s="56">
        <f ca="1">[5]OPPD_NPPD!$O116+[5]NSP!$O116</f>
        <v>0</v>
      </c>
      <c r="DR125" s="56">
        <f ca="1">[5]COMED!$O116</f>
        <v>-25671.9765625</v>
      </c>
      <c r="DS125" s="56">
        <f t="shared" ca="1" si="162"/>
        <v>-25671.9765625</v>
      </c>
      <c r="DT125" s="56">
        <f ca="1">SUM([5]OPPD_NPPD!$P116:$R116)+SUM([5]NSP!$P116:$R116)</f>
        <v>0</v>
      </c>
      <c r="DU125" s="56">
        <f ca="1">SUM([5]COMED!$P116:$R116)</f>
        <v>-16423.06787109375</v>
      </c>
      <c r="DV125" s="56">
        <f t="shared" ca="1" si="163"/>
        <v>-16423.06787109375</v>
      </c>
      <c r="DW125" s="57"/>
      <c r="DX125" s="58">
        <f>[5]OtherPosn!$D116</f>
        <v>37158</v>
      </c>
      <c r="DY125" s="56">
        <f>[5]OtherPosn!$N116</f>
        <v>-15133.908203125</v>
      </c>
      <c r="DZ125" s="56">
        <f>SUM([5]OtherPosn!$O116:$P116)</f>
        <v>-398.2607421875</v>
      </c>
    </row>
    <row r="126" spans="1:130" ht="15.75" x14ac:dyDescent="0.25">
      <c r="A126" s="151">
        <f t="shared" si="178"/>
        <v>37956</v>
      </c>
      <c r="B126" s="152">
        <f t="shared" ca="1" si="168"/>
        <v>-460913.40625</v>
      </c>
      <c r="C126" s="152">
        <f t="shared" ref="C126:L126" ca="1" si="207">C38+C82</f>
        <v>-1447.6269415604315</v>
      </c>
      <c r="D126" s="152">
        <f t="shared" si="207"/>
        <v>0</v>
      </c>
      <c r="E126" s="152">
        <f t="shared" ca="1" si="207"/>
        <v>-460913.40625</v>
      </c>
      <c r="F126" s="415">
        <f t="shared" ca="1" si="207"/>
        <v>-1447.6269415604315</v>
      </c>
      <c r="G126" s="152" t="s">
        <v>423</v>
      </c>
      <c r="H126" s="152" t="s">
        <v>423</v>
      </c>
      <c r="I126" s="152" t="s">
        <v>423</v>
      </c>
      <c r="J126" s="152">
        <f t="shared" ca="1" si="207"/>
        <v>168234.00207361951</v>
      </c>
      <c r="K126" s="152">
        <f t="shared" si="207"/>
        <v>0</v>
      </c>
      <c r="L126" s="152">
        <f t="shared" ca="1" si="207"/>
        <v>168234.00207361951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40634</v>
      </c>
      <c r="DK126" s="30">
        <f t="shared" si="196"/>
        <v>21</v>
      </c>
      <c r="DL126" s="254">
        <v>39203</v>
      </c>
      <c r="DM126" s="255">
        <v>22</v>
      </c>
      <c r="DP126" s="55">
        <f>[5]Cinergy!$D117</f>
        <v>39692</v>
      </c>
      <c r="DQ126" s="56">
        <f ca="1">[5]OPPD_NPPD!$O117+[5]NSP!$O117</f>
        <v>0</v>
      </c>
      <c r="DR126" s="56">
        <f ca="1">[5]COMED!$O117</f>
        <v>-22801.759765625</v>
      </c>
      <c r="DS126" s="56">
        <f t="shared" ca="1" si="162"/>
        <v>-22801.759765625</v>
      </c>
      <c r="DT126" s="56">
        <f ca="1">SUM([5]OPPD_NPPD!$P117:$R117)+SUM([5]NSP!$P117:$R117)</f>
        <v>0</v>
      </c>
      <c r="DU126" s="56">
        <f ca="1">SUM([5]COMED!$P117:$R117)</f>
        <v>-13029.577392578125</v>
      </c>
      <c r="DV126" s="56">
        <f t="shared" ca="1" si="163"/>
        <v>-13029.577392578125</v>
      </c>
      <c r="DW126" s="57"/>
      <c r="DX126" s="58">
        <f>[5]OtherPosn!$D117</f>
        <v>37159</v>
      </c>
      <c r="DY126" s="56">
        <f>[5]OtherPosn!$N117</f>
        <v>-15133.908203125</v>
      </c>
      <c r="DZ126" s="56">
        <f>SUM([5]OtherPosn!$O117:$P117)</f>
        <v>-398.2607421875</v>
      </c>
    </row>
    <row r="127" spans="1:130" ht="15.75" x14ac:dyDescent="0.25">
      <c r="A127" s="151">
        <f t="shared" si="178"/>
        <v>37987</v>
      </c>
      <c r="B127" s="152">
        <f t="shared" ca="1" si="168"/>
        <v>-45300.3671875</v>
      </c>
      <c r="C127" s="152">
        <f t="shared" ref="C127:L127" ca="1" si="208">C39+C83</f>
        <v>-149.74838623291825</v>
      </c>
      <c r="D127" s="152">
        <f t="shared" si="208"/>
        <v>0</v>
      </c>
      <c r="E127" s="152">
        <f t="shared" ca="1" si="208"/>
        <v>-45300.3671875</v>
      </c>
      <c r="F127" s="415">
        <f t="shared" ca="1" si="208"/>
        <v>-149.74838623291825</v>
      </c>
      <c r="G127" s="152" t="s">
        <v>423</v>
      </c>
      <c r="H127" s="152" t="s">
        <v>423</v>
      </c>
      <c r="I127" s="152" t="s">
        <v>423</v>
      </c>
      <c r="J127" s="152">
        <f t="shared" ca="1" si="208"/>
        <v>-8.2289136514774042E-3</v>
      </c>
      <c r="K127" s="152">
        <f t="shared" si="208"/>
        <v>0</v>
      </c>
      <c r="L127" s="152">
        <f t="shared" ca="1" si="208"/>
        <v>-8.2289136514774042E-3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40664</v>
      </c>
      <c r="DK127" s="30">
        <f t="shared" si="196"/>
        <v>21</v>
      </c>
      <c r="DL127" s="254">
        <v>39234</v>
      </c>
      <c r="DM127" s="255">
        <v>21</v>
      </c>
      <c r="DP127" s="55">
        <f>[5]Cinergy!$D118</f>
        <v>39722</v>
      </c>
      <c r="DQ127" s="56">
        <f ca="1">[5]OPPD_NPPD!$O118+[5]NSP!$O118</f>
        <v>0</v>
      </c>
      <c r="DR127" s="56">
        <f ca="1">[5]COMED!$O118</f>
        <v>-24845.04296875</v>
      </c>
      <c r="DS127" s="56">
        <f t="shared" ca="1" si="162"/>
        <v>-24845.04296875</v>
      </c>
      <c r="DT127" s="56">
        <f ca="1">SUM([5]OPPD_NPPD!$P118:$R118)+SUM([5]NSP!$P118:$R118)</f>
        <v>0</v>
      </c>
      <c r="DU127" s="56">
        <f ca="1">SUM([5]COMED!$P118:$R118)</f>
        <v>-12726.3330078125</v>
      </c>
      <c r="DV127" s="56">
        <f t="shared" ca="1" si="163"/>
        <v>-12726.3330078125</v>
      </c>
      <c r="DW127" s="57"/>
      <c r="DX127" s="58">
        <f>[5]OtherPosn!$D118</f>
        <v>37160</v>
      </c>
      <c r="DY127" s="56">
        <f>[5]OtherPosn!$N118</f>
        <v>-15133.908203125</v>
      </c>
      <c r="DZ127" s="56">
        <f>SUM([5]OtherPosn!$O118:$P118)</f>
        <v>-398.2607421875</v>
      </c>
    </row>
    <row r="128" spans="1:130" ht="15.75" x14ac:dyDescent="0.25">
      <c r="A128" s="151">
        <f t="shared" si="178"/>
        <v>38018</v>
      </c>
      <c r="B128" s="152">
        <f t="shared" ca="1" si="168"/>
        <v>-42953.421875</v>
      </c>
      <c r="C128" s="152">
        <f t="shared" ref="C128:L128" ca="1" si="209">C40+C84</f>
        <v>-149.75744525229183</v>
      </c>
      <c r="D128" s="152">
        <f t="shared" si="209"/>
        <v>0</v>
      </c>
      <c r="E128" s="152">
        <f t="shared" ca="1" si="209"/>
        <v>-42953.421875</v>
      </c>
      <c r="F128" s="415">
        <f t="shared" ca="1" si="209"/>
        <v>-149.75744525229183</v>
      </c>
      <c r="G128" s="152" t="s">
        <v>423</v>
      </c>
      <c r="H128" s="152" t="s">
        <v>423</v>
      </c>
      <c r="I128" s="152" t="s">
        <v>423</v>
      </c>
      <c r="J128" s="152">
        <f t="shared" ca="1" si="209"/>
        <v>-7.8025857534856358E-3</v>
      </c>
      <c r="K128" s="152">
        <f t="shared" si="209"/>
        <v>0</v>
      </c>
      <c r="L128" s="152">
        <f t="shared" ca="1" si="209"/>
        <v>-7.8025857534856358E-3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39753</v>
      </c>
      <c r="DQ128" s="56">
        <f ca="1">[5]OPPD_NPPD!$O119+[5]NSP!$O119</f>
        <v>0</v>
      </c>
      <c r="DR128" s="56">
        <f ca="1">[5]COMED!$O119</f>
        <v>-20421.861328125</v>
      </c>
      <c r="DS128" s="56">
        <f t="shared" ca="1" si="162"/>
        <v>-20421.861328125</v>
      </c>
      <c r="DT128" s="56">
        <f ca="1">SUM([5]OPPD_NPPD!$P119:$R119)+SUM([5]NSP!$P119:$R119)</f>
        <v>0</v>
      </c>
      <c r="DU128" s="56">
        <f ca="1">SUM([5]COMED!$P119:$R119)</f>
        <v>-13972.85205078125</v>
      </c>
      <c r="DV128" s="56">
        <f t="shared" ca="1" si="163"/>
        <v>-13972.85205078125</v>
      </c>
      <c r="DW128" s="57"/>
      <c r="DX128" s="58">
        <f>[5]OtherPosn!$D119</f>
        <v>37161</v>
      </c>
      <c r="DY128" s="56">
        <f>[5]OtherPosn!$N119</f>
        <v>-15133.908203125</v>
      </c>
      <c r="DZ128" s="56">
        <f>SUM([5]OtherPosn!$O119:$P119)</f>
        <v>-398.2607421875</v>
      </c>
    </row>
    <row r="129" spans="1:130" ht="15.75" x14ac:dyDescent="0.25">
      <c r="A129" s="151">
        <f t="shared" si="178"/>
        <v>38047</v>
      </c>
      <c r="B129" s="152">
        <f t="shared" ca="1" si="168"/>
        <v>-49164.66015625</v>
      </c>
      <c r="C129" s="152">
        <f t="shared" ref="C129:L129" ca="1" si="210">C41+C85</f>
        <v>-149.75746949740127</v>
      </c>
      <c r="D129" s="152">
        <f t="shared" si="210"/>
        <v>0</v>
      </c>
      <c r="E129" s="152">
        <f t="shared" ca="1" si="210"/>
        <v>-49164.66015625</v>
      </c>
      <c r="F129" s="415">
        <f t="shared" ca="1" si="210"/>
        <v>-149.75746949740127</v>
      </c>
      <c r="G129" s="152" t="s">
        <v>423</v>
      </c>
      <c r="H129" s="152" t="s">
        <v>423</v>
      </c>
      <c r="I129" s="152" t="s">
        <v>423</v>
      </c>
      <c r="J129" s="152">
        <f t="shared" ca="1" si="210"/>
        <v>12291.186847003659</v>
      </c>
      <c r="K129" s="152">
        <f t="shared" si="210"/>
        <v>0</v>
      </c>
      <c r="L129" s="152">
        <f t="shared" ca="1" si="210"/>
        <v>12291.186847003659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39783</v>
      </c>
      <c r="DQ129" s="56">
        <f ca="1">[5]OPPD_NPPD!$O120+[5]NSP!$O120</f>
        <v>0</v>
      </c>
      <c r="DR129" s="56">
        <f ca="1">[5]COMED!$O120</f>
        <v>-23524.291015625</v>
      </c>
      <c r="DS129" s="56">
        <f t="shared" ca="1" si="162"/>
        <v>-23524.291015625</v>
      </c>
      <c r="DT129" s="56">
        <f ca="1">SUM([5]OPPD_NPPD!$P120:$R120)+SUM([5]NSP!$P120:$R120)</f>
        <v>0</v>
      </c>
      <c r="DU129" s="56">
        <f ca="1">SUM([5]COMED!$P120:$R120)</f>
        <v>-13098.752685546875</v>
      </c>
      <c r="DV129" s="56">
        <f t="shared" ca="1" si="163"/>
        <v>-13098.752685546875</v>
      </c>
      <c r="DW129" s="57"/>
      <c r="DX129" s="58">
        <f>[5]OtherPosn!$D120</f>
        <v>37162</v>
      </c>
      <c r="DY129" s="56">
        <f>[5]OtherPosn!$N120</f>
        <v>-15133.908203125</v>
      </c>
      <c r="DZ129" s="56">
        <f>SUM([5]OtherPosn!$O120:$P120)</f>
        <v>-398.2607421875</v>
      </c>
    </row>
    <row r="130" spans="1:130" ht="15.75" x14ac:dyDescent="0.25">
      <c r="A130" s="151">
        <f t="shared" si="178"/>
        <v>38078</v>
      </c>
      <c r="B130" s="152">
        <f t="shared" ca="1" si="168"/>
        <v>-46812.14453125</v>
      </c>
      <c r="C130" s="152">
        <f t="shared" ref="C130:L130" ca="1" si="211">C42+C86</f>
        <v>-149.7671858557384</v>
      </c>
      <c r="D130" s="152">
        <f t="shared" si="211"/>
        <v>0</v>
      </c>
      <c r="E130" s="152">
        <f t="shared" ca="1" si="211"/>
        <v>-46812.14453125</v>
      </c>
      <c r="F130" s="415">
        <f t="shared" ca="1" si="211"/>
        <v>-149.7671858557384</v>
      </c>
      <c r="G130" s="152" t="s">
        <v>423</v>
      </c>
      <c r="H130" s="152" t="s">
        <v>423</v>
      </c>
      <c r="I130" s="152" t="s">
        <v>423</v>
      </c>
      <c r="J130" s="152">
        <f t="shared" ca="1" si="211"/>
        <v>11703.056897249602</v>
      </c>
      <c r="K130" s="152">
        <f t="shared" si="211"/>
        <v>0</v>
      </c>
      <c r="L130" s="152">
        <f t="shared" ca="1" si="211"/>
        <v>11703.056897249602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39814</v>
      </c>
      <c r="DQ130" s="56">
        <f ca="1">[5]OPPD_NPPD!$O121+[5]NSP!$O121</f>
        <v>0</v>
      </c>
      <c r="DR130" s="56">
        <f ca="1">[5]COMED!$O121</f>
        <v>-33508.203125</v>
      </c>
      <c r="DS130" s="56">
        <f t="shared" ca="1" si="162"/>
        <v>-33508.203125</v>
      </c>
      <c r="DT130" s="56">
        <f ca="1">SUM([5]OPPD_NPPD!$P121:$R121)+SUM([5]NSP!$P121:$R121)</f>
        <v>0</v>
      </c>
      <c r="DU130" s="56">
        <f ca="1">SUM([5]COMED!$P121:$R121)</f>
        <v>-13562.8447265625</v>
      </c>
      <c r="DV130" s="56">
        <f t="shared" ca="1" si="163"/>
        <v>-13562.8447265625</v>
      </c>
      <c r="DW130" s="57"/>
      <c r="DX130" s="58">
        <f>[5]OtherPosn!$D121</f>
        <v>37163</v>
      </c>
      <c r="DY130" s="56">
        <f>[5]OtherPosn!$N121</f>
        <v>0</v>
      </c>
      <c r="DZ130" s="56">
        <f>SUM([5]OtherPosn!$O121:$P121)</f>
        <v>-1194.7822265625</v>
      </c>
    </row>
    <row r="131" spans="1:130" ht="15.75" x14ac:dyDescent="0.25">
      <c r="A131" s="151">
        <f t="shared" si="178"/>
        <v>38108</v>
      </c>
      <c r="B131" s="152">
        <f t="shared" ca="1" si="168"/>
        <v>-42353.9609375</v>
      </c>
      <c r="C131" s="152">
        <f t="shared" ref="C131:L131" ca="1" si="212">C43+C87</f>
        <v>-149.75852302654746</v>
      </c>
      <c r="D131" s="152">
        <f t="shared" si="212"/>
        <v>0</v>
      </c>
      <c r="E131" s="152">
        <f t="shared" ca="1" si="212"/>
        <v>-42353.9609375</v>
      </c>
      <c r="F131" s="415">
        <f t="shared" ca="1" si="212"/>
        <v>-149.75852302654746</v>
      </c>
      <c r="G131" s="152" t="s">
        <v>423</v>
      </c>
      <c r="H131" s="152" t="s">
        <v>423</v>
      </c>
      <c r="I131" s="152" t="s">
        <v>423</v>
      </c>
      <c r="J131" s="152">
        <f t="shared" ca="1" si="212"/>
        <v>0</v>
      </c>
      <c r="K131" s="152">
        <f t="shared" si="212"/>
        <v>0</v>
      </c>
      <c r="L131" s="152">
        <f t="shared" ca="1" si="212"/>
        <v>0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39845</v>
      </c>
      <c r="DQ131" s="56">
        <f ca="1">[5]OPPD_NPPD!$O122+[5]NSP!$O122</f>
        <v>0</v>
      </c>
      <c r="DR131" s="56">
        <f ca="1">[5]COMED!$O122</f>
        <v>-31763.03515625</v>
      </c>
      <c r="DS131" s="56">
        <f t="shared" ca="1" si="162"/>
        <v>-31763.03515625</v>
      </c>
      <c r="DT131" s="56">
        <f ca="1">SUM([5]OPPD_NPPD!$P122:$R122)+SUM([5]NSP!$P122:$R122)</f>
        <v>0</v>
      </c>
      <c r="DU131" s="56">
        <f ca="1">SUM([5]COMED!$P122:$R122)</f>
        <v>-11646.44580078125</v>
      </c>
      <c r="DV131" s="56">
        <f t="shared" ca="1" si="163"/>
        <v>-11646.44580078125</v>
      </c>
      <c r="DW131" s="57"/>
      <c r="DX131" s="58">
        <f>[5]OtherPosn!$D122</f>
        <v>37164</v>
      </c>
      <c r="DY131" s="56">
        <f>[5]OtherPosn!$N122</f>
        <v>0</v>
      </c>
      <c r="DZ131" s="56">
        <f>SUM([5]OtherPosn!$O122:$P122)</f>
        <v>-1194.7822265625</v>
      </c>
    </row>
    <row r="132" spans="1:130" ht="15.75" x14ac:dyDescent="0.25">
      <c r="A132" s="151">
        <f t="shared" si="178"/>
        <v>38139</v>
      </c>
      <c r="B132" s="152">
        <f t="shared" ca="1" si="168"/>
        <v>-216411.84375</v>
      </c>
      <c r="C132" s="152">
        <f t="shared" ref="C132:L132" ca="1" si="213">C44+C88</f>
        <v>-698.90785445147446</v>
      </c>
      <c r="D132" s="152">
        <f t="shared" si="213"/>
        <v>0</v>
      </c>
      <c r="E132" s="152">
        <f t="shared" ca="1" si="213"/>
        <v>-216411.84375</v>
      </c>
      <c r="F132" s="415">
        <f t="shared" ca="1" si="213"/>
        <v>-698.90785445147446</v>
      </c>
      <c r="G132" s="152" t="s">
        <v>423</v>
      </c>
      <c r="H132" s="152" t="s">
        <v>423</v>
      </c>
      <c r="I132" s="152" t="s">
        <v>423</v>
      </c>
      <c r="J132" s="152">
        <f t="shared" ca="1" si="213"/>
        <v>108205.921875</v>
      </c>
      <c r="K132" s="152">
        <f t="shared" si="213"/>
        <v>0</v>
      </c>
      <c r="L132" s="152">
        <f t="shared" ca="1" si="213"/>
        <v>108205.921875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39873</v>
      </c>
      <c r="DQ132" s="56">
        <f ca="1">[5]OPPD_NPPD!$O123+[5]NSP!$O123</f>
        <v>0</v>
      </c>
      <c r="DR132" s="56">
        <f ca="1">[5]COMED!$O123</f>
        <v>-34757.703125</v>
      </c>
      <c r="DS132" s="56">
        <f t="shared" ca="1" si="162"/>
        <v>-34757.703125</v>
      </c>
      <c r="DT132" s="56">
        <f ca="1">SUM([5]OPPD_NPPD!$P123:$R123)+SUM([5]NSP!$P123:$R123)</f>
        <v>0</v>
      </c>
      <c r="DU132" s="56">
        <f ca="1">SUM([5]COMED!$P123:$R123)</f>
        <v>-12902.48095703125</v>
      </c>
      <c r="DV132" s="56">
        <f t="shared" ca="1" si="163"/>
        <v>-12902.48095703125</v>
      </c>
      <c r="DW132" s="57"/>
      <c r="DX132" s="58">
        <f>[5]OtherPosn!$D123</f>
        <v>37165</v>
      </c>
      <c r="DY132" s="56">
        <f>[5]OtherPosn!$N123</f>
        <v>7941.37255859375</v>
      </c>
      <c r="DZ132" s="56">
        <f>SUM([5]OtherPosn!$O123:$P123)</f>
        <v>0</v>
      </c>
    </row>
    <row r="133" spans="1:130" ht="15.75" x14ac:dyDescent="0.25">
      <c r="A133" s="151">
        <f t="shared" si="178"/>
        <v>38169</v>
      </c>
      <c r="B133" s="152">
        <f t="shared" ca="1" si="168"/>
        <v>-14684.265625</v>
      </c>
      <c r="C133" s="152">
        <f t="shared" ref="C133:L133" ca="1" si="214">C45+C89</f>
        <v>-47.651068476734281</v>
      </c>
      <c r="D133" s="152">
        <f t="shared" si="214"/>
        <v>0</v>
      </c>
      <c r="E133" s="152">
        <f t="shared" ca="1" si="214"/>
        <v>-14684.265625</v>
      </c>
      <c r="F133" s="415">
        <f t="shared" ca="1" si="214"/>
        <v>-47.651068476734281</v>
      </c>
      <c r="G133" s="152" t="s">
        <v>423</v>
      </c>
      <c r="H133" s="152" t="s">
        <v>423</v>
      </c>
      <c r="I133" s="152" t="s">
        <v>423</v>
      </c>
      <c r="J133" s="152">
        <f t="shared" ca="1" si="214"/>
        <v>7342.1328125</v>
      </c>
      <c r="K133" s="152">
        <f t="shared" si="214"/>
        <v>0</v>
      </c>
      <c r="L133" s="152">
        <f t="shared" ca="1" si="214"/>
        <v>7342.1328125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39904</v>
      </c>
      <c r="DQ133" s="56">
        <f ca="1">[5]OPPD_NPPD!$O124+[5]NSP!$O124</f>
        <v>0</v>
      </c>
      <c r="DR133" s="56">
        <f ca="1">[5]COMED!$O124</f>
        <v>-34582.41796875</v>
      </c>
      <c r="DS133" s="56">
        <f t="shared" ca="1" si="162"/>
        <v>-34582.41796875</v>
      </c>
      <c r="DT133" s="56">
        <f ca="1">SUM([5]OPPD_NPPD!$P124:$R124)+SUM([5]NSP!$P124:$R124)</f>
        <v>0</v>
      </c>
      <c r="DU133" s="56">
        <f ca="1">SUM([5]COMED!$P124:$R124)</f>
        <v>-12018.69970703125</v>
      </c>
      <c r="DV133" s="56">
        <f t="shared" ca="1" si="163"/>
        <v>-12018.69970703125</v>
      </c>
      <c r="DW133" s="57"/>
      <c r="DX133" s="58">
        <f>[5]OtherPosn!$D124</f>
        <v>37166</v>
      </c>
      <c r="DY133" s="56">
        <f>[5]OtherPosn!$N124</f>
        <v>7941.37255859375</v>
      </c>
      <c r="DZ133" s="56">
        <f>SUM([5]OtherPosn!$O124:$P124)</f>
        <v>0</v>
      </c>
    </row>
    <row r="134" spans="1:130" ht="15.75" x14ac:dyDescent="0.25">
      <c r="A134" s="151">
        <f t="shared" si="178"/>
        <v>38200</v>
      </c>
      <c r="B134" s="152">
        <f t="shared" ref="B134:L134" ca="1" si="215">B46+B90</f>
        <v>-15308.9306640625</v>
      </c>
      <c r="C134" s="152">
        <f t="shared" ca="1" si="215"/>
        <v>-49.919181846540155</v>
      </c>
      <c r="D134" s="152">
        <f t="shared" si="215"/>
        <v>0</v>
      </c>
      <c r="E134" s="152">
        <f t="shared" ca="1" si="215"/>
        <v>-15308.9306640625</v>
      </c>
      <c r="F134" s="415">
        <f t="shared" ca="1" si="215"/>
        <v>-49.919181846540155</v>
      </c>
      <c r="G134" s="152" t="s">
        <v>423</v>
      </c>
      <c r="H134" s="152" t="s">
        <v>423</v>
      </c>
      <c r="I134" s="152" t="s">
        <v>423</v>
      </c>
      <c r="J134" s="152">
        <f t="shared" ca="1" si="215"/>
        <v>7654.46533203125</v>
      </c>
      <c r="K134" s="152">
        <f t="shared" si="215"/>
        <v>0</v>
      </c>
      <c r="L134" s="152">
        <f t="shared" ca="1" si="215"/>
        <v>7654.46533203125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39934</v>
      </c>
      <c r="DQ134" s="56">
        <f ca="1">[5]OPPD_NPPD!$O125+[5]NSP!$O125</f>
        <v>0</v>
      </c>
      <c r="DR134" s="56">
        <f ca="1">[5]COMED!$O125</f>
        <v>-31274.359375</v>
      </c>
      <c r="DS134" s="56">
        <f t="shared" ca="1" si="162"/>
        <v>-31274.359375</v>
      </c>
      <c r="DT134" s="56">
        <f ca="1">SUM([5]OPPD_NPPD!$P125:$R125)+SUM([5]NSP!$P125:$R125)</f>
        <v>0</v>
      </c>
      <c r="DU134" s="56">
        <f ca="1">SUM([5]COMED!$P125:$R125)</f>
        <v>-13812.842529296875</v>
      </c>
      <c r="DV134" s="56">
        <f t="shared" ca="1" si="163"/>
        <v>-13812.842529296875</v>
      </c>
      <c r="DW134" s="57"/>
      <c r="DX134" s="58">
        <f>[5]OtherPosn!$D125</f>
        <v>37167</v>
      </c>
      <c r="DY134" s="56">
        <f>[5]OtherPosn!$N125</f>
        <v>7941.37255859375</v>
      </c>
      <c r="DZ134" s="56">
        <f>SUM([5]OtherPosn!$O125:$P125)</f>
        <v>0</v>
      </c>
    </row>
    <row r="135" spans="1:130" ht="15.75" x14ac:dyDescent="0.25">
      <c r="A135" s="151">
        <f t="shared" si="178"/>
        <v>38231</v>
      </c>
      <c r="B135" s="152">
        <f t="shared" ref="B135:L136" ca="1" si="216">B47+B91</f>
        <v>-43632.984375</v>
      </c>
      <c r="C135" s="152">
        <f t="shared" ca="1" si="216"/>
        <v>-149.76606365084962</v>
      </c>
      <c r="D135" s="152">
        <f t="shared" si="216"/>
        <v>0</v>
      </c>
      <c r="E135" s="152">
        <f t="shared" ca="1" si="216"/>
        <v>-43632.984375</v>
      </c>
      <c r="F135" s="415">
        <f t="shared" ca="1" si="216"/>
        <v>-149.76606365084962</v>
      </c>
      <c r="G135" s="152" t="s">
        <v>423</v>
      </c>
      <c r="H135" s="152" t="s">
        <v>423</v>
      </c>
      <c r="I135" s="152" t="s">
        <v>423</v>
      </c>
      <c r="J135" s="152">
        <f t="shared" ca="1" si="216"/>
        <v>0</v>
      </c>
      <c r="K135" s="152">
        <f t="shared" si="216"/>
        <v>0</v>
      </c>
      <c r="L135" s="152">
        <f t="shared" ca="1" si="216"/>
        <v>0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39965</v>
      </c>
      <c r="DQ135" s="56">
        <f ca="1">[5]OPPD_NPPD!$O126+[5]NSP!$O126</f>
        <v>0</v>
      </c>
      <c r="DR135" s="56">
        <f ca="1">[5]COMED!$O126</f>
        <v>-34227.4921875</v>
      </c>
      <c r="DS135" s="56">
        <f t="shared" ca="1" si="162"/>
        <v>-34227.4921875</v>
      </c>
      <c r="DT135" s="56">
        <f ca="1">SUM([5]OPPD_NPPD!$P126:$R126)+SUM([5]NSP!$P126:$R126)</f>
        <v>0</v>
      </c>
      <c r="DU135" s="56">
        <f ca="1">SUM([5]COMED!$P126:$R126)</f>
        <v>-11927.76123046875</v>
      </c>
      <c r="DV135" s="56">
        <f t="shared" ca="1" si="163"/>
        <v>-11927.76123046875</v>
      </c>
      <c r="DW135" s="57"/>
      <c r="DX135" s="58">
        <f>[5]OtherPosn!$D126</f>
        <v>37168</v>
      </c>
      <c r="DY135" s="56">
        <f>[5]OtherPosn!$N126</f>
        <v>7941.37255859375</v>
      </c>
      <c r="DZ135" s="56">
        <f>SUM([5]OtherPosn!$O126:$P126)</f>
        <v>0</v>
      </c>
    </row>
    <row r="136" spans="1:130" ht="15.75" x14ac:dyDescent="0.25">
      <c r="A136" s="151">
        <f t="shared" si="178"/>
        <v>38261</v>
      </c>
      <c r="B136" s="152">
        <f t="shared" ca="1" si="216"/>
        <v>-43419.30078125</v>
      </c>
      <c r="C136" s="152">
        <f t="shared" ca="1" si="216"/>
        <v>-12.33325631140368</v>
      </c>
      <c r="D136" s="152">
        <f t="shared" si="216"/>
        <v>0</v>
      </c>
      <c r="E136" s="152">
        <f t="shared" ca="1" si="216"/>
        <v>-43419.30078125</v>
      </c>
      <c r="F136" s="415">
        <f t="shared" ca="1" si="216"/>
        <v>-12.33325631140368</v>
      </c>
      <c r="G136" s="152" t="s">
        <v>423</v>
      </c>
      <c r="H136" s="152" t="s">
        <v>423</v>
      </c>
      <c r="I136" s="152" t="s">
        <v>423</v>
      </c>
      <c r="J136" s="152">
        <f t="shared" ca="1" si="216"/>
        <v>15848.102135058958</v>
      </c>
      <c r="K136" s="152">
        <f t="shared" si="216"/>
        <v>0</v>
      </c>
      <c r="L136" s="152">
        <f t="shared" ca="1" si="216"/>
        <v>15848.102135058958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39995</v>
      </c>
      <c r="DQ136" s="56">
        <f ca="1">[5]OPPD_NPPD!$O127+[5]NSP!$O127</f>
        <v>0</v>
      </c>
      <c r="DR136" s="56">
        <f ca="1">[5]COMED!$O127</f>
        <v>-35595.515625</v>
      </c>
      <c r="DS136" s="56">
        <f t="shared" ca="1" si="162"/>
        <v>-35595.515625</v>
      </c>
      <c r="DT136" s="56">
        <f ca="1">SUM([5]OPPD_NPPD!$P127:$R127)+SUM([5]NSP!$P127:$R127)</f>
        <v>0</v>
      </c>
      <c r="DU136" s="56">
        <f ca="1">SUM([5]COMED!$P127:$R127)</f>
        <v>-12123.110717773438</v>
      </c>
      <c r="DV136" s="56">
        <f t="shared" ca="1" si="163"/>
        <v>-12123.110717773438</v>
      </c>
      <c r="DW136" s="57"/>
      <c r="DX136" s="58">
        <f>[5]OtherPosn!$D127</f>
        <v>37169</v>
      </c>
      <c r="DY136" s="56">
        <f>[5]OtherPosn!$N127</f>
        <v>7941.37255859375</v>
      </c>
      <c r="DZ136" s="56">
        <f>SUM([5]OtherPosn!$O127:$P127)</f>
        <v>0</v>
      </c>
    </row>
    <row r="137" spans="1:130" x14ac:dyDescent="0.2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40026</v>
      </c>
      <c r="DQ137" s="56">
        <f ca="1">[5]OPPD_NPPD!$O128+[5]NSP!$O128</f>
        <v>0</v>
      </c>
      <c r="DR137" s="56">
        <f ca="1">[5]COMED!$O128</f>
        <v>-32329.310546875</v>
      </c>
      <c r="DS137" s="56">
        <f t="shared" ca="1" si="162"/>
        <v>-32329.310546875</v>
      </c>
      <c r="DT137" s="56">
        <f ca="1">SUM([5]OPPD_NPPD!$P128:$R128)+SUM([5]NSP!$P128:$R128)</f>
        <v>0</v>
      </c>
      <c r="DU137" s="56">
        <f ca="1">SUM([5]COMED!$P128:$R128)</f>
        <v>-13085.673828125</v>
      </c>
      <c r="DV137" s="56">
        <f t="shared" ca="1" si="163"/>
        <v>-13085.673828125</v>
      </c>
      <c r="DW137" s="57"/>
      <c r="DX137" s="58">
        <f>[5]OtherPosn!$D128</f>
        <v>37170</v>
      </c>
      <c r="DY137" s="56">
        <f>[5]OtherPosn!$N128</f>
        <v>0</v>
      </c>
      <c r="DZ137" s="56">
        <f>SUM([5]OtherPosn!$O128:$P128)</f>
        <v>9.999999960041972E-12</v>
      </c>
    </row>
    <row r="138" spans="1:130" s="238" customFormat="1" ht="31.5" customHeight="1" x14ac:dyDescent="0.2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40057</v>
      </c>
      <c r="DQ138" s="56">
        <f ca="1">[5]OPPD_NPPD!$O129+[5]NSP!$O129</f>
        <v>0</v>
      </c>
      <c r="DR138" s="56">
        <f ca="1">[5]COMED!$O129</f>
        <v>-32164.35546875</v>
      </c>
      <c r="DS138" s="56">
        <f t="shared" ca="1" si="162"/>
        <v>-32164.35546875</v>
      </c>
      <c r="DT138" s="56">
        <f ca="1">SUM([5]OPPD_NPPD!$P129:$R129)+SUM([5]NSP!$P129:$R129)</f>
        <v>0</v>
      </c>
      <c r="DU138" s="56">
        <f ca="1">SUM([5]COMED!$P129:$R129)</f>
        <v>-12253.088012695313</v>
      </c>
      <c r="DV138" s="56">
        <f t="shared" ca="1" si="163"/>
        <v>-12253.088012695313</v>
      </c>
      <c r="DW138" s="243"/>
      <c r="DX138" s="58">
        <f>[5]OtherPosn!$D129</f>
        <v>37171</v>
      </c>
      <c r="DY138" s="56">
        <f>[5]OtherPosn!$N129</f>
        <v>0</v>
      </c>
      <c r="DZ138" s="56">
        <f>SUM([5]OtherPosn!$O129:$P129)</f>
        <v>9.999999960041972E-12</v>
      </c>
    </row>
    <row r="139" spans="1:130" ht="20.25" x14ac:dyDescent="0.3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40087</v>
      </c>
      <c r="DQ139" s="56">
        <f ca="1">[5]OPPD_NPPD!$O130+[5]NSP!$O130</f>
        <v>0</v>
      </c>
      <c r="DR139" s="56">
        <f ca="1">[5]COMED!$O130</f>
        <v>-33517.93359375</v>
      </c>
      <c r="DS139" s="56">
        <f t="shared" ca="1" si="162"/>
        <v>-33517.93359375</v>
      </c>
      <c r="DT139" s="56">
        <f ca="1">SUM([5]OPPD_NPPD!$P130:$R130)+SUM([5]NSP!$P130:$R130)</f>
        <v>0</v>
      </c>
      <c r="DU139" s="56">
        <f ca="1">SUM([5]COMED!$P130:$R130)</f>
        <v>-12474.004150390625</v>
      </c>
      <c r="DV139" s="56">
        <f t="shared" ca="1" si="163"/>
        <v>-12474.004150390625</v>
      </c>
      <c r="DW139" s="57"/>
      <c r="DX139" s="58">
        <f>[5]OtherPosn!$D130</f>
        <v>37172</v>
      </c>
      <c r="DY139" s="56">
        <f>[5]OtherPosn!$N130</f>
        <v>7941.37255859375</v>
      </c>
      <c r="DZ139" s="56">
        <f>SUM([5]OtherPosn!$O130:$P130)</f>
        <v>9.999999960041972E-13</v>
      </c>
    </row>
    <row r="140" spans="1:130" ht="13.5" thickBo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40118</v>
      </c>
      <c r="DQ140" s="56">
        <f ca="1">[5]OPPD_NPPD!$O131+[5]NSP!$O131</f>
        <v>0</v>
      </c>
      <c r="DR140" s="56">
        <f ca="1">[5]COMED!$O131</f>
        <v>-30314.65625</v>
      </c>
      <c r="DS140" s="56">
        <f t="shared" ca="1" si="162"/>
        <v>-30314.65625</v>
      </c>
      <c r="DT140" s="56">
        <f ca="1">SUM([5]OPPD_NPPD!$P131:$R131)+SUM([5]NSP!$P131:$R131)</f>
        <v>0</v>
      </c>
      <c r="DU140" s="56">
        <f ca="1">SUM([5]COMED!$P131:$R131)</f>
        <v>-12631.106201171875</v>
      </c>
      <c r="DV140" s="56">
        <f t="shared" ca="1" si="163"/>
        <v>-12631.106201171875</v>
      </c>
      <c r="DW140" s="57"/>
      <c r="DX140" s="58">
        <f>[5]OtherPosn!$D131</f>
        <v>37195</v>
      </c>
      <c r="DY140" s="56">
        <f>[5]OtherPosn!$N131</f>
        <v>135003.328125</v>
      </c>
      <c r="DZ140" s="56">
        <f>SUM([5]OtherPosn!$O131:$P131)</f>
        <v>6.3999998876906883E-11</v>
      </c>
    </row>
    <row r="141" spans="1:130" ht="20.25" x14ac:dyDescent="0.3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40148</v>
      </c>
      <c r="DQ141" s="56">
        <f ca="1">[5]OPPD_NPPD!$O132+[5]NSP!$O132</f>
        <v>0</v>
      </c>
      <c r="DR141" s="56">
        <f ca="1">[5]COMED!$O132</f>
        <v>-33169.09765625</v>
      </c>
      <c r="DS141" s="56">
        <f t="shared" ref="DS141:DS194" ca="1" si="217">DQ141+DR141</f>
        <v>-33169.09765625</v>
      </c>
      <c r="DT141" s="56">
        <f ca="1">SUM([5]OPPD_NPPD!$P132:$R132)+SUM([5]NSP!$P132:$R132)</f>
        <v>0</v>
      </c>
      <c r="DU141" s="56">
        <f ca="1">SUM([5]COMED!$P132:$R132)</f>
        <v>-12312.771362304688</v>
      </c>
      <c r="DV141" s="56">
        <f t="shared" ref="DV141:DV194" ca="1" si="218">DT141+DU141</f>
        <v>-12312.771362304688</v>
      </c>
      <c r="DW141" s="57"/>
      <c r="DX141" s="58">
        <f>[5]OtherPosn!$D132</f>
        <v>37196</v>
      </c>
      <c r="DY141" s="56">
        <f>[5]OtherPosn!$N132</f>
        <v>166302.109375</v>
      </c>
      <c r="DZ141" s="56">
        <f>SUM([5]OtherPosn!$O132:$P132)</f>
        <v>-1.000000013351432E-10</v>
      </c>
    </row>
    <row r="142" spans="1:130" ht="13.5" thickBot="1" x14ac:dyDescent="0.25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40179</v>
      </c>
      <c r="DQ142" s="56">
        <f ca="1">[5]OPPD_NPPD!$O133+[5]NSP!$O133</f>
        <v>0</v>
      </c>
      <c r="DR142" s="56">
        <f ca="1">[5]COMED!$O133</f>
        <v>-19995.51953125</v>
      </c>
      <c r="DS142" s="56">
        <f t="shared" ca="1" si="217"/>
        <v>-19995.51953125</v>
      </c>
      <c r="DT142" s="56">
        <f ca="1">SUM([5]OPPD_NPPD!$P133:$R133)+SUM([5]NSP!$P133:$R133)</f>
        <v>0</v>
      </c>
      <c r="DU142" s="56">
        <f ca="1">SUM([5]COMED!$P133:$R133)</f>
        <v>-13247.031005859375</v>
      </c>
      <c r="DV142" s="56">
        <f t="shared" ca="1" si="218"/>
        <v>-13247.031005859375</v>
      </c>
      <c r="DW142" s="57"/>
      <c r="DX142" s="58">
        <f>[5]OtherPosn!$D133</f>
        <v>37226</v>
      </c>
      <c r="DY142" s="56">
        <f>[5]OtherPosn!$N133</f>
        <v>157924.109375</v>
      </c>
      <c r="DZ142" s="56">
        <f>SUM([5]OtherPosn!$O133:$P133)</f>
        <v>0</v>
      </c>
    </row>
    <row r="143" spans="1:130" ht="15" x14ac:dyDescent="0.2">
      <c r="A143" s="220">
        <v>35796</v>
      </c>
      <c r="B143" s="269">
        <f t="array" aca="1" ref="B143" ca="1">SUM(IF(MONTH($DP$12:$DP$89)&amp;YEAR($DP$12:$DP$89)=MONTH($A143)&amp;$B$141,$DQ$12:$DQ$89))</f>
        <v>0</v>
      </c>
      <c r="C143" s="269">
        <f t="array" aca="1" ref="C143" ca="1">SUM(IF(MONTH($DP$12:$DP$89)&amp;YEAR($DP$12:$DP$89)=MONTH($A143)&amp;$B$141,$DR$12:$DR$89))+SUM(IF(MONTH($CB$56:$CB$91)&amp;YEAR($CB$56:$CB$91)=MONTH($A143)&amp;$B$141,$CF$56:$CF$91))</f>
        <v>-422618.8125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190653.49609375</v>
      </c>
      <c r="F143" s="269">
        <f t="shared" ref="F143:F155" ca="1" si="219">SUM(B143:E143)</f>
        <v>-231965.31640625</v>
      </c>
      <c r="G143" s="269">
        <f t="array" aca="1" ref="G143" ca="1">SUM(IF(MONTH($DP$12:$DP$89)&amp;YEAR($DP$12:$DP$89)=MONTH($A143)&amp;$G$141,$DQ$12:$DQ$89))</f>
        <v>0</v>
      </c>
      <c r="H143" s="269">
        <f t="array" aca="1" ref="H143" ca="1">SUM(IF(MONTH($DP$12:$DP$89)&amp;YEAR($DP$12:$DP$89)=MONTH($A143)&amp;$G$141,$DR$12:$DR$89))+SUM(IF(MONTH($CB$56:$CB$91)&amp;YEAR($CB$56:$CB$91)=MONTH($A143)&amp;$G$141,$CF$56:$CF$91))</f>
        <v>-249736.484375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27.46875</v>
      </c>
      <c r="K143" s="269">
        <f t="shared" ref="K143:K155" ca="1" si="220">SUM(G143:J143)</f>
        <v>-249709.015625</v>
      </c>
      <c r="L143" s="269">
        <f t="array" aca="1" ref="L143" ca="1">SUM(IF(MONTH($DP$12:$DP$89)&amp;YEAR($DP$12:$DP$89)=MONTH($A143)&amp;$L$141,$DQ$12:$DQ$89))</f>
        <v>0</v>
      </c>
      <c r="M143" s="269">
        <f t="array" aca="1" ref="M143" ca="1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0</v>
      </c>
      <c r="P143" s="269">
        <f t="shared" ref="P143:P155" ca="1" si="221">SUM(L143:O143)</f>
        <v>0</v>
      </c>
      <c r="Q143" s="269">
        <f t="array" aca="1" ref="Q143" ca="1">SUM(IF(MONTH($DP$12:$DP$176)=MONTH($A143),$DQ$12:$DQ$176))</f>
        <v>0</v>
      </c>
      <c r="R143" s="269">
        <f t="array" aca="1" ref="R143" ca="1">SUM(IF(MONTH($CB$56:$CB$91)=MONTH($A143),$CF$56:$CF$91))+SUM(IF(MONTH($DP$12:$DP$176)=MONTH($A143),$DR$12:$DR$176))</f>
        <v>-910377.650390625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190680.96484375</v>
      </c>
      <c r="W143" s="290">
        <f ca="1">SUM(Q143:V143)</f>
        <v>-719696.685546875</v>
      </c>
      <c r="X143" s="220">
        <v>35796</v>
      </c>
      <c r="Y143" s="269">
        <f ca="1">V143+S143+R143</f>
        <v>-719696.685546875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40210</v>
      </c>
      <c r="DQ143" s="56">
        <f ca="1">[5]OPPD_NPPD!$O134+[5]NSP!$O134</f>
        <v>0</v>
      </c>
      <c r="DR143" s="56">
        <f ca="1">[5]COMED!$O134</f>
        <v>-19899.1796875</v>
      </c>
      <c r="DS143" s="56">
        <f t="shared" ca="1" si="217"/>
        <v>-19899.1796875</v>
      </c>
      <c r="DT143" s="56">
        <f ca="1">SUM([5]OPPD_NPPD!$P134:$R134)+SUM([5]NSP!$P134:$R134)</f>
        <v>0</v>
      </c>
      <c r="DU143" s="56">
        <f ca="1">SUM([5]COMED!$P134:$R134)</f>
        <v>-10944.549072265625</v>
      </c>
      <c r="DV143" s="56">
        <f t="shared" ca="1" si="218"/>
        <v>-10944.549072265625</v>
      </c>
      <c r="DW143" s="57"/>
      <c r="DX143" s="58">
        <f>[5]OtherPosn!$D134</f>
        <v>37257</v>
      </c>
      <c r="DY143" s="56">
        <f>[5]OtherPosn!$N134</f>
        <v>1.000000013351432E-10</v>
      </c>
      <c r="DZ143" s="56">
        <f>SUM([5]OtherPosn!$O134:$P134)</f>
        <v>-38577.3505859375</v>
      </c>
    </row>
    <row r="144" spans="1:130" ht="15.75" x14ac:dyDescent="0.25">
      <c r="A144" s="221">
        <v>35827</v>
      </c>
      <c r="B144" s="271">
        <f t="array" aca="1" ref="B144" ca="1">SUM(IF(MONTH($DP$12:$DP$89)&amp;YEAR($DP$12:$DP$89)=MONTH($A144)&amp;$B$141,$DQ$12:$DQ$89))</f>
        <v>0</v>
      </c>
      <c r="C144" s="271">
        <f t="array" aca="1" ref="C144" ca="1">SUM(IF(MONTH($DP$12:$DP$89)&amp;YEAR($DP$12:$DP$89)=MONTH($A144)&amp;$B$141,$DR$12:$DR$89))+SUM(IF(MONTH($CB$56:$CB$91)&amp;YEAR($CB$56:$CB$91)=MONTH($A144)&amp;$B$141,$CF$56:$CF$91))</f>
        <v>-383171.78125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172858.884765625</v>
      </c>
      <c r="F144" s="271">
        <f t="shared" ca="1" si="219"/>
        <v>-210312.896484375</v>
      </c>
      <c r="G144" s="271">
        <f t="array" aca="1" ref="G144" ca="1">SUM(IF(MONTH($DP$12:$DP$89)&amp;YEAR($DP$12:$DP$89)=MONTH($A144)&amp;$G$141,$DQ$12:$DQ$89))</f>
        <v>0</v>
      </c>
      <c r="H144" s="271">
        <f t="array" aca="1" ref="H144" ca="1">SUM(IF(MONTH($DP$12:$DP$89)&amp;YEAR($DP$12:$DP$89)=MONTH($A144)&amp;$G$141,$DR$12:$DR$89))+SUM(IF(MONTH($CB$56:$CB$91)&amp;YEAR($CB$56:$CB$91)=MONTH($A144)&amp;$G$141,$CF$56:$CF$91))</f>
        <v>-226219.296875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25.263671875</v>
      </c>
      <c r="K144" s="271">
        <f t="shared" ca="1" si="220"/>
        <v>-226194.033203125</v>
      </c>
      <c r="L144" s="271">
        <f t="array" aca="1" ref="L144" ca="1">SUM(IF(MONTH($DP$12:$DP$89)&amp;YEAR($DP$12:$DP$89)=MONTH($A144)&amp;$L$141,$DQ$12:$DQ$89))</f>
        <v>0</v>
      </c>
      <c r="M144" s="271">
        <f t="array" aca="1" ref="M144" ca="1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0</v>
      </c>
      <c r="P144" s="271">
        <f t="shared" ca="1" si="221"/>
        <v>0</v>
      </c>
      <c r="Q144" s="271">
        <f t="array" aca="1" ref="Q144" ca="1">SUM(IF(MONTH($DP$12:$DP$176)=MONTH($A144),$DQ$12:$DQ$176))</f>
        <v>0</v>
      </c>
      <c r="R144" s="271">
        <f t="array" aca="1" ref="R144" ca="1">SUM(IF(MONTH($CB$56:$CB$91)=MONTH($A144),$CF$56:$CF$91))+SUM(IF(MONTH($DP$12:$DP$176)=MONTH($A144),$DR$12:$DR$176))</f>
        <v>-833383.7099609375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172884.1484375</v>
      </c>
      <c r="W144" s="290">
        <f t="shared" ref="W144:W154" ca="1" si="222">SUM(Q144:V144)</f>
        <v>-660499.5615234375</v>
      </c>
      <c r="X144" s="221">
        <v>35827</v>
      </c>
      <c r="Y144" s="271">
        <f t="shared" ref="Y144:Y154" ca="1" si="223">V144+S144+R144</f>
        <v>-660499.5615234375</v>
      </c>
      <c r="Z144" s="246" t="s">
        <v>95</v>
      </c>
      <c r="AA144" s="293">
        <f ca="1">SUM(W143:W145)</f>
        <v>-1793415.853515625</v>
      </c>
      <c r="AB144" s="293">
        <f ca="1">R143+R144+R145+S143+S144+S145</f>
        <v>-2239325.6474609375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40238</v>
      </c>
      <c r="DQ144" s="56">
        <f ca="1">[5]OPPD_NPPD!$O135+[5]NSP!$O135</f>
        <v>0</v>
      </c>
      <c r="DR144" s="56">
        <f ca="1">[5]COMED!$O135</f>
        <v>-22761.75</v>
      </c>
      <c r="DS144" s="56">
        <f t="shared" ca="1" si="217"/>
        <v>-22761.75</v>
      </c>
      <c r="DT144" s="56">
        <f ca="1">SUM([5]OPPD_NPPD!$P135:$R135)+SUM([5]NSP!$P135:$R135)</f>
        <v>0</v>
      </c>
      <c r="DU144" s="56">
        <f ca="1">SUM([5]COMED!$P135:$R135)</f>
        <v>-11628.28564453125</v>
      </c>
      <c r="DV144" s="56">
        <f t="shared" ca="1" si="218"/>
        <v>-11628.28564453125</v>
      </c>
      <c r="DW144" s="57"/>
      <c r="DX144" s="58">
        <f>[5]OtherPosn!$D135</f>
        <v>37288</v>
      </c>
      <c r="DY144" s="56">
        <f>[5]OtherPosn!$N135</f>
        <v>-1.000000013351432E-10</v>
      </c>
      <c r="DZ144" s="56">
        <f>SUM([5]OtherPosn!$O135:$P135)</f>
        <v>-34548.27392578125</v>
      </c>
    </row>
    <row r="145" spans="1:130" ht="16.5" thickBot="1" x14ac:dyDescent="0.3">
      <c r="A145" s="221">
        <v>36586</v>
      </c>
      <c r="B145" s="271">
        <f t="array" aca="1" ref="B145" ca="1">SUM(IF(MONTH($DP$12:$DP$89)&amp;YEAR($DP$12:$DP$89)=MONTH($A145)&amp;$B$141,$DQ$12:$DQ$89))</f>
        <v>0</v>
      </c>
      <c r="C145" s="271">
        <f t="array" aca="1" ref="C145" ca="1">SUM(IF(MONTH($DP$12:$DP$89)&amp;YEAR($DP$12:$DP$89)=MONTH($A145)&amp;$B$141,$DR$12:$DR$89))+SUM(IF(MONTH($CB$56:$CB$91)&amp;YEAR($CB$56:$CB$91)=MONTH($A145)&amp;$B$141,$CF$56:$CF$91))</f>
        <v>-55894.4921875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82317.91796875</v>
      </c>
      <c r="F145" s="271">
        <f t="shared" ca="1" si="219"/>
        <v>26423.42578125</v>
      </c>
      <c r="G145" s="271">
        <f t="array" aca="1" ref="G145" ca="1">SUM(IF(MONTH($DP$12:$DP$89)&amp;YEAR($DP$12:$DP$89)=MONTH($A145)&amp;$G$141,$DQ$12:$DQ$89))</f>
        <v>0</v>
      </c>
      <c r="H145" s="271">
        <f t="array" aca="1" ref="H145" ca="1">SUM(IF(MONTH($DP$12:$DP$89)&amp;YEAR($DP$12:$DP$89)=MONTH($A145)&amp;$G$141,$DR$12:$DR$89))+SUM(IF(MONTH($CB$56:$CB$91)&amp;YEAR($CB$56:$CB$91)=MONTH($A145)&amp;$G$141,$CF$56:$CF$91))</f>
        <v>-189259.765625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26.7626953125</v>
      </c>
      <c r="K145" s="271">
        <f t="shared" ca="1" si="220"/>
        <v>-189233.0029296875</v>
      </c>
      <c r="L145" s="271">
        <f t="array" aca="1" ref="L145" ca="1">SUM(IF(MONTH($DP$12:$DP$89)&amp;YEAR($DP$12:$DP$89)=MONTH($A145)&amp;$L$141,$DQ$12:$DQ$89))</f>
        <v>0</v>
      </c>
      <c r="M145" s="271">
        <f t="array" aca="1" ref="M145" ca="1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0</v>
      </c>
      <c r="P145" s="271">
        <f t="shared" ca="1" si="221"/>
        <v>0</v>
      </c>
      <c r="Q145" s="271">
        <f t="array" aca="1" ref="Q145" ca="1">SUM(IF(MONTH($DP$12:$DP$176)=MONTH($A145),$DQ$12:$DQ$176))</f>
        <v>0</v>
      </c>
      <c r="R145" s="271">
        <f t="array" aca="1" ref="R145" ca="1">SUM(IF(MONTH($CB$56:$CB$91)=MONTH($A145),$CF$56:$CF$91))+SUM(IF(MONTH($DP$12:$DP$176)=MONTH($A145),$DR$12:$DR$176))</f>
        <v>-495564.287109375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82344.6806640625</v>
      </c>
      <c r="W145" s="290">
        <f t="shared" ca="1" si="222"/>
        <v>-413219.6064453125</v>
      </c>
      <c r="X145" s="221">
        <v>36586</v>
      </c>
      <c r="Y145" s="271">
        <f t="shared" ca="1" si="223"/>
        <v>-413219.6064453125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40269</v>
      </c>
      <c r="DQ145" s="56">
        <f ca="1">[5]OPPD_NPPD!$O136+[5]NSP!$O136</f>
        <v>0</v>
      </c>
      <c r="DR145" s="56">
        <f ca="1">[5]COMED!$O136</f>
        <v>-21659.232421875</v>
      </c>
      <c r="DS145" s="56">
        <f t="shared" ca="1" si="217"/>
        <v>-21659.232421875</v>
      </c>
      <c r="DT145" s="56">
        <f ca="1">SUM([5]OPPD_NPPD!$P136:$R136)+SUM([5]NSP!$P136:$R136)</f>
        <v>0</v>
      </c>
      <c r="DU145" s="56">
        <f ca="1">SUM([5]COMED!$P136:$R136)</f>
        <v>-11291.105224609375</v>
      </c>
      <c r="DV145" s="56">
        <f t="shared" ca="1" si="218"/>
        <v>-11291.105224609375</v>
      </c>
      <c r="DW145" s="57"/>
      <c r="DX145" s="58">
        <f>[5]OtherPosn!$D136</f>
        <v>37316</v>
      </c>
      <c r="DY145" s="56">
        <f>[5]OtherPosn!$N136</f>
        <v>0</v>
      </c>
      <c r="DZ145" s="56">
        <f>SUM([5]OtherPosn!$O136:$P136)</f>
        <v>-39924.6376953125</v>
      </c>
    </row>
    <row r="146" spans="1:130" ht="15" x14ac:dyDescent="0.2">
      <c r="A146" s="221">
        <v>36617</v>
      </c>
      <c r="B146" s="271">
        <f t="array" aca="1" ref="B146" ca="1">SUM(IF(MONTH($DP$12:$DP$89)&amp;YEAR($DP$12:$DP$89)=MONTH($A146)&amp;$B$141,$DQ$12:$DQ$89))</f>
        <v>0</v>
      </c>
      <c r="C146" s="271">
        <f t="array" aca="1" ref="C146" ca="1">SUM(IF(MONTH($DP$12:$DP$89)&amp;YEAR($DP$12:$DP$89)=MONTH($A146)&amp;$B$141,$DR$12:$DR$89))+SUM(IF(MONTH($CB$56:$CB$91)&amp;YEAR($CB$56:$CB$91)=MONTH($A146)&amp;$B$141,$CF$56:$CF$91))</f>
        <v>-58384.8203125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85969.234375</v>
      </c>
      <c r="F146" s="271">
        <f t="shared" ca="1" si="219"/>
        <v>27584.4140625</v>
      </c>
      <c r="G146" s="271">
        <f t="array" aca="1" ref="G146" ca="1">SUM(IF(MONTH($DP$12:$DP$89)&amp;YEAR($DP$12:$DP$89)=MONTH($A146)&amp;$G$141,$DQ$12:$DQ$89))</f>
        <v>0</v>
      </c>
      <c r="H146" s="271">
        <f t="array" aca="1" ref="H146" ca="1">SUM(IF(MONTH($DP$12:$DP$89)&amp;YEAR($DP$12:$DP$89)=MONTH($A146)&amp;$G$141,$DR$12:$DR$89))+SUM(IF(MONTH($CB$56:$CB$91)&amp;YEAR($CB$56:$CB$91)=MONTH($A146)&amp;$G$141,$CF$56:$CF$91))</f>
        <v>-197487.5625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28.447265625</v>
      </c>
      <c r="K146" s="271">
        <f t="shared" ca="1" si="220"/>
        <v>-197459.115234375</v>
      </c>
      <c r="L146" s="271">
        <f t="array" aca="1" ref="L146" ca="1">SUM(IF(MONTH($DP$12:$DP$89)&amp;YEAR($DP$12:$DP$89)=MONTH($A146)&amp;$L$141,$DQ$12:$DQ$89))</f>
        <v>0</v>
      </c>
      <c r="M146" s="271">
        <f t="array" aca="1" ref="M146" ca="1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0</v>
      </c>
      <c r="P146" s="271">
        <f t="shared" ca="1" si="221"/>
        <v>0</v>
      </c>
      <c r="Q146" s="271">
        <f t="array" aca="1" ref="Q146" ca="1">SUM(IF(MONTH($DP$12:$DP$176)=MONTH($A146),$DQ$12:$DQ$176))</f>
        <v>0</v>
      </c>
      <c r="R146" s="271">
        <f t="array" aca="1" ref="R146" ca="1">SUM(IF(MONTH($CB$56:$CB$91)=MONTH($A146),$CF$56:$CF$91))+SUM(IF(MONTH($DP$12:$DP$176)=MONTH($A146),$DR$12:$DR$176))</f>
        <v>-489840.271484375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85997.681640625</v>
      </c>
      <c r="W146" s="290">
        <f t="shared" ca="1" si="222"/>
        <v>-403842.58984375</v>
      </c>
      <c r="X146" s="221">
        <v>36617</v>
      </c>
      <c r="Y146" s="271">
        <f t="shared" ca="1" si="223"/>
        <v>-403842.58984375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40299</v>
      </c>
      <c r="DQ146" s="56">
        <f ca="1">[5]OPPD_NPPD!$O137+[5]NSP!$O137</f>
        <v>0</v>
      </c>
      <c r="DR146" s="56">
        <f ca="1">[5]COMED!$O137</f>
        <v>-19584.494140625</v>
      </c>
      <c r="DS146" s="56">
        <f t="shared" ca="1" si="217"/>
        <v>-19584.494140625</v>
      </c>
      <c r="DT146" s="56">
        <f ca="1">SUM([5]OPPD_NPPD!$P137:$R137)+SUM([5]NSP!$P137:$R137)</f>
        <v>0</v>
      </c>
      <c r="DU146" s="56">
        <f ca="1">SUM([5]COMED!$P137:$R137)</f>
        <v>-12974.72705078125</v>
      </c>
      <c r="DV146" s="56">
        <f t="shared" ca="1" si="218"/>
        <v>-12974.72705078125</v>
      </c>
      <c r="DW146" s="57"/>
      <c r="DX146" s="58">
        <f>[5]OtherPosn!$D137</f>
        <v>37347</v>
      </c>
      <c r="DY146" s="56">
        <f>[5]OtherPosn!$N137</f>
        <v>0</v>
      </c>
      <c r="DZ146" s="56">
        <f>SUM([5]OtherPosn!$O137:$P137)</f>
        <v>-35807.53369140625</v>
      </c>
    </row>
    <row r="147" spans="1:130" ht="15.75" x14ac:dyDescent="0.25">
      <c r="A147" s="221">
        <v>36647</v>
      </c>
      <c r="B147" s="271">
        <f t="array" aca="1" ref="B147" ca="1">SUM(IF(MONTH($DP$12:$DP$89)&amp;YEAR($DP$12:$DP$89)=MONTH($A147)&amp;$B$141,$DQ$12:$DQ$89))</f>
        <v>0</v>
      </c>
      <c r="C147" s="271">
        <f t="array" aca="1" ref="C147" ca="1">SUM(IF(MONTH($DP$12:$DP$89)&amp;YEAR($DP$12:$DP$89)=MONTH($A147)&amp;$B$141,$DR$12:$DR$89))+SUM(IF(MONTH($CB$56:$CB$91)&amp;YEAR($CB$56:$CB$91)=MONTH($A147)&amp;$B$141,$CF$56:$CF$91))</f>
        <v>-143801.96875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102849.3984375</v>
      </c>
      <c r="F147" s="271">
        <f t="shared" ca="1" si="219"/>
        <v>-40952.5703125</v>
      </c>
      <c r="G147" s="271">
        <f t="array" aca="1" ref="G147" ca="1">SUM(IF(MONTH($DP$12:$DP$89)&amp;YEAR($DP$12:$DP$89)=MONTH($A147)&amp;$G$141,$DQ$12:$DQ$89))</f>
        <v>0</v>
      </c>
      <c r="H147" s="271">
        <f t="array" aca="1" ref="H147" ca="1">SUM(IF(MONTH($DP$12:$DP$89)&amp;YEAR($DP$12:$DP$89)=MONTH($A147)&amp;$G$141,$DR$12:$DR$89))+SUM(IF(MONTH($CB$56:$CB$91)&amp;YEAR($CB$56:$CB$91)=MONTH($A147)&amp;$G$141,$CF$56:$CF$91))</f>
        <v>-187725.765625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29.6611328125</v>
      </c>
      <c r="K147" s="271">
        <f t="shared" ca="1" si="220"/>
        <v>-187696.1044921875</v>
      </c>
      <c r="L147" s="271">
        <f t="array" aca="1" ref="L147" ca="1">SUM(IF(MONTH($DP$12:$DP$89)&amp;YEAR($DP$12:$DP$89)=MONTH($A147)&amp;$L$141,$DQ$12:$DQ$89))</f>
        <v>0</v>
      </c>
      <c r="M147" s="271">
        <f t="array" aca="1" ref="M147" ca="1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0</v>
      </c>
      <c r="P147" s="271">
        <f t="shared" ca="1" si="221"/>
        <v>0</v>
      </c>
      <c r="Q147" s="271">
        <f t="array" aca="1" ref="Q147" ca="1">SUM(IF(MONTH($DP$12:$DP$176)=MONTH($A147),$DQ$12:$DQ$176))</f>
        <v>0</v>
      </c>
      <c r="R147" s="271">
        <f t="array" aca="1" ref="R147" ca="1">SUM(IF(MONTH($CB$56:$CB$91)=MONTH($A147),$CF$56:$CF$91))+SUM(IF(MONTH($DP$12:$DP$176)=MONTH($A147),$DR$12:$DR$176))</f>
        <v>-560682.587890625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102879.0595703125</v>
      </c>
      <c r="W147" s="290">
        <f t="shared" ca="1" si="222"/>
        <v>-457803.5283203125</v>
      </c>
      <c r="X147" s="221">
        <v>36647</v>
      </c>
      <c r="Y147" s="271">
        <f t="shared" ca="1" si="223"/>
        <v>-457803.5283203125</v>
      </c>
      <c r="Z147" s="246" t="s">
        <v>96</v>
      </c>
      <c r="AA147" s="293">
        <f ca="1">SUM(W146:W148)</f>
        <v>-1244705.806640625</v>
      </c>
      <c r="AB147" s="293">
        <f ca="1">R146+R147+R148+S146+S147+S148</f>
        <v>-1526815.5126953125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40330</v>
      </c>
      <c r="DQ147" s="56">
        <f ca="1">[5]OPPD_NPPD!$O138+[5]NSP!$O138</f>
        <v>0</v>
      </c>
      <c r="DR147" s="56">
        <f ca="1">[5]COMED!$O138</f>
        <v>-21430.74609375</v>
      </c>
      <c r="DS147" s="56">
        <f t="shared" ca="1" si="217"/>
        <v>-21430.74609375</v>
      </c>
      <c r="DT147" s="56">
        <f ca="1">SUM([5]OPPD_NPPD!$P138:$R138)+SUM([5]NSP!$P138:$R138)</f>
        <v>0</v>
      </c>
      <c r="DU147" s="56">
        <f ca="1">SUM([5]COMED!$P138:$R138)</f>
        <v>-11202.435302734375</v>
      </c>
      <c r="DV147" s="56">
        <f t="shared" ca="1" si="218"/>
        <v>-11202.435302734375</v>
      </c>
      <c r="DW147" s="57"/>
      <c r="DX147" s="58">
        <f>[5]OtherPosn!$D138</f>
        <v>37377</v>
      </c>
      <c r="DY147" s="56">
        <f>[5]OtherPosn!$N138</f>
        <v>17119.28125</v>
      </c>
      <c r="DZ147" s="56">
        <f>SUM([5]OtherPosn!$O138:$P138)</f>
        <v>-38129.31005859375</v>
      </c>
    </row>
    <row r="148" spans="1:130" ht="16.5" thickBot="1" x14ac:dyDescent="0.3">
      <c r="A148" s="221">
        <v>36678</v>
      </c>
      <c r="B148" s="271">
        <f t="array" aca="1" ref="B148" ca="1">SUM(IF(MONTH($DP$12:$DP$89)&amp;YEAR($DP$12:$DP$89)=MONTH($A148)&amp;$B$141,$DQ$12:$DQ$89))</f>
        <v>0</v>
      </c>
      <c r="C148" s="271">
        <f t="array" aca="1" ref="C148" ca="1">SUM(IF(MONTH($DP$12:$DP$89)&amp;YEAR($DP$12:$DP$89)=MONTH($A148)&amp;$B$141,$DR$12:$DR$89))+SUM(IF(MONTH($CB$56:$CB$91)&amp;YEAR($CB$56:$CB$91)=MONTH($A148)&amp;$B$141,$CF$56:$CF$91))</f>
        <v>-62060.53515625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93207.1875</v>
      </c>
      <c r="F148" s="271">
        <f t="shared" ca="1" si="219"/>
        <v>31146.65234375</v>
      </c>
      <c r="G148" s="271">
        <f t="array" aca="1" ref="G148" ca="1">SUM(IF(MONTH($DP$12:$DP$89)&amp;YEAR($DP$12:$DP$89)=MONTH($A148)&amp;$G$141,$DQ$12:$DQ$89))</f>
        <v>0</v>
      </c>
      <c r="H148" s="271">
        <f t="array" aca="1" ref="H148" ca="1">SUM(IF(MONTH($DP$12:$DP$89)&amp;YEAR($DP$12:$DP$89)=MONTH($A148)&amp;$G$141,$DR$12:$DR$89))+SUM(IF(MONTH($CB$56:$CB$91)&amp;YEAR($CB$56:$CB$91)=MONTH($A148)&amp;$G$141,$CF$56:$CF$91))</f>
        <v>-186955.484375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25.77734375</v>
      </c>
      <c r="K148" s="271">
        <f t="shared" ca="1" si="220"/>
        <v>-186929.70703125</v>
      </c>
      <c r="L148" s="271">
        <f t="array" aca="1" ref="L148" ca="1">SUM(IF(MONTH($DP$12:$DP$89)&amp;YEAR($DP$12:$DP$89)=MONTH($A148)&amp;$L$141,$DQ$12:$DQ$89))</f>
        <v>0</v>
      </c>
      <c r="M148" s="271">
        <f t="array" aca="1" ref="M148" ca="1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0</v>
      </c>
      <c r="P148" s="271">
        <f t="shared" ca="1" si="221"/>
        <v>0</v>
      </c>
      <c r="Q148" s="271">
        <f t="array" aca="1" ref="Q148" ca="1">SUM(IF(MONTH($DP$12:$DP$176)=MONTH($A148),$DQ$12:$DQ$176))</f>
        <v>0</v>
      </c>
      <c r="R148" s="271">
        <f t="array" aca="1" ref="R148" ca="1">SUM(IF(MONTH($CB$56:$CB$91)=MONTH($A148),$CF$56:$CF$91))+SUM(IF(MONTH($DP$12:$DP$176)=MONTH($A148),$DR$12:$DR$176))</f>
        <v>-476292.6533203125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93232.96484375</v>
      </c>
      <c r="W148" s="290">
        <f t="shared" ca="1" si="222"/>
        <v>-383059.6884765625</v>
      </c>
      <c r="X148" s="221">
        <v>36678</v>
      </c>
      <c r="Y148" s="271">
        <f t="shared" ca="1" si="223"/>
        <v>-383059.6884765625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40360</v>
      </c>
      <c r="DQ148" s="56">
        <f ca="1">[5]OPPD_NPPD!$O139+[5]NSP!$O139</f>
        <v>0</v>
      </c>
      <c r="DR148" s="56">
        <f ca="1">[5]COMED!$O139</f>
        <v>-20346.2890625</v>
      </c>
      <c r="DS148" s="56">
        <f t="shared" ca="1" si="217"/>
        <v>-20346.2890625</v>
      </c>
      <c r="DT148" s="56">
        <f ca="1">SUM([5]OPPD_NPPD!$P139:$R139)+SUM([5]NSP!$P139:$R139)</f>
        <v>0</v>
      </c>
      <c r="DU148" s="56">
        <f ca="1">SUM([5]COMED!$P139:$R139)</f>
        <v>-12353.10400390625</v>
      </c>
      <c r="DV148" s="56">
        <f t="shared" ca="1" si="218"/>
        <v>-12353.10400390625</v>
      </c>
      <c r="DW148" s="57"/>
      <c r="DX148" s="58">
        <f>[5]OtherPosn!$D139</f>
        <v>37408</v>
      </c>
      <c r="DY148" s="56">
        <f>[5]OtherPosn!$N139</f>
        <v>93090.8046875</v>
      </c>
      <c r="DZ148" s="56">
        <f>SUM([5]OtherPosn!$O139:$P139)</f>
        <v>-38787.83447265625</v>
      </c>
    </row>
    <row r="149" spans="1:130" ht="15" x14ac:dyDescent="0.2">
      <c r="A149" s="221">
        <v>36708</v>
      </c>
      <c r="B149" s="271">
        <f t="array" aca="1" ref="B149" ca="1">SUM(IF(MONTH($DP$12:$DP$89)&amp;YEAR($DP$12:$DP$89)=MONTH($A149)&amp;$B$141,$DQ$12:$DQ$89))</f>
        <v>-17011.126953125</v>
      </c>
      <c r="C149" s="271">
        <f t="array" aca="1" ref="C149" ca="1">SUM(IF(MONTH($DP$12:$DP$89)&amp;YEAR($DP$12:$DP$89)=MONTH($A149)&amp;$B$141,$DR$12:$DR$89))+SUM(IF(MONTH($CB$56:$CB$91)&amp;YEAR($CB$56:$CB$91)=MONTH($A149)&amp;$B$141,$CF$56:$CF$91))</f>
        <v>-289189.15625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664344.7109375</v>
      </c>
      <c r="F149" s="271">
        <f t="shared" ca="1" si="219"/>
        <v>358144.427734375</v>
      </c>
      <c r="G149" s="271">
        <f t="array" aca="1" ref="G149" ca="1">SUM(IF(MONTH($DP$12:$DP$89)&amp;YEAR($DP$12:$DP$89)=MONTH($A149)&amp;$G$141,$DQ$12:$DQ$89))</f>
        <v>0</v>
      </c>
      <c r="H149" s="271">
        <f t="array" aca="1" ref="H149" ca="1">SUM(IF(MONTH($DP$12:$DP$89)&amp;YEAR($DP$12:$DP$89)=MONTH($A149)&amp;$G$141,$DR$12:$DR$89))+SUM(IF(MONTH($CB$56:$CB$91)&amp;YEAR($CB$56:$CB$91)=MONTH($A149)&amp;$G$141,$CF$56:$CF$91))</f>
        <v>-292519.34375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29.654296875</v>
      </c>
      <c r="K149" s="271">
        <f t="shared" ca="1" si="220"/>
        <v>-292489.689453125</v>
      </c>
      <c r="L149" s="271">
        <f t="array" aca="1" ref="L149" ca="1">SUM(IF(MONTH($DP$12:$DP$89)&amp;YEAR($DP$12:$DP$89)=MONTH($A149)&amp;$L$141,$DQ$12:$DQ$89))</f>
        <v>0</v>
      </c>
      <c r="M149" s="271">
        <f t="array" aca="1" ref="M149" ca="1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0</v>
      </c>
      <c r="P149" s="271">
        <f t="shared" ca="1" si="221"/>
        <v>0</v>
      </c>
      <c r="Q149" s="271">
        <f t="array" aca="1" ref="Q149" ca="1">SUM(IF(MONTH($DP$12:$DP$176)=MONTH($A149),$DQ$12:$DQ$176))</f>
        <v>-17011.126953125</v>
      </c>
      <c r="R149" s="271">
        <f t="array" aca="1" ref="R149" ca="1">SUM(IF(MONTH($CB$56:$CB$91)=MONTH($A149),$CF$56:$CF$91))+SUM(IF(MONTH($DP$12:$DP$176)=MONTH($A149),$DR$12:$DR$176))</f>
        <v>-795753.173828125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664374.365234375</v>
      </c>
      <c r="W149" s="290">
        <f t="shared" ca="1" si="222"/>
        <v>-148389.935546875</v>
      </c>
      <c r="X149" s="221">
        <v>36708</v>
      </c>
      <c r="Y149" s="271">
        <f t="shared" ca="1" si="223"/>
        <v>-131378.80859375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40391</v>
      </c>
      <c r="DQ149" s="56">
        <f ca="1">[5]OPPD_NPPD!$O140+[5]NSP!$O140</f>
        <v>0</v>
      </c>
      <c r="DR149" s="56">
        <f ca="1">[5]COMED!$O140</f>
        <v>-21199.93359375</v>
      </c>
      <c r="DS149" s="56">
        <f t="shared" ca="1" si="217"/>
        <v>-21199.93359375</v>
      </c>
      <c r="DT149" s="56">
        <f ca="1">SUM([5]OPPD_NPPD!$P140:$R140)+SUM([5]NSP!$P140:$R140)</f>
        <v>0</v>
      </c>
      <c r="DU149" s="56">
        <f ca="1">SUM([5]COMED!$P140:$R140)</f>
        <v>-11804.509399414063</v>
      </c>
      <c r="DV149" s="56">
        <f t="shared" ca="1" si="218"/>
        <v>-11804.509399414063</v>
      </c>
      <c r="DW149" s="57"/>
      <c r="DX149" s="58">
        <f>[5]OtherPosn!$D140</f>
        <v>37438</v>
      </c>
      <c r="DY149" s="56">
        <f>[5]OtherPosn!$N140</f>
        <v>425278.15625</v>
      </c>
      <c r="DZ149" s="56">
        <f>SUM([5]OtherPosn!$O140:$P140)</f>
        <v>-37888.41845703125</v>
      </c>
    </row>
    <row r="150" spans="1:130" ht="15.75" x14ac:dyDescent="0.25">
      <c r="A150" s="221">
        <v>36739</v>
      </c>
      <c r="B150" s="271">
        <f t="array" aca="1" ref="B150" ca="1">SUM(IF(MONTH($DP$12:$DP$89)&amp;YEAR($DP$12:$DP$89)=MONTH($A150)&amp;$B$141,$DQ$12:$DQ$89))</f>
        <v>-16954.423828125</v>
      </c>
      <c r="C150" s="271">
        <f t="array" aca="1" ref="C150" ca="1">SUM(IF(MONTH($DP$12:$DP$89)&amp;YEAR($DP$12:$DP$89)=MONTH($A150)&amp;$B$141,$DR$12:$DR$89))+SUM(IF(MONTH($CB$56:$CB$91)&amp;YEAR($CB$56:$CB$91)=MONTH($A150)&amp;$B$141,$CF$56:$CF$91))</f>
        <v>-288225.1875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662015.390625</v>
      </c>
      <c r="F150" s="271">
        <f t="shared" ca="1" si="219"/>
        <v>356835.779296875</v>
      </c>
      <c r="G150" s="271">
        <f t="array" aca="1" ref="G150" ca="1">SUM(IF(MONTH($DP$12:$DP$89)&amp;YEAR($DP$12:$DP$89)=MONTH($A150)&amp;$G$141,$DQ$12:$DQ$89))</f>
        <v>0</v>
      </c>
      <c r="H150" s="271">
        <f t="array" aca="1" ref="H150" ca="1">SUM(IF(MONTH($DP$12:$DP$89)&amp;YEAR($DP$12:$DP$89)=MONTH($A150)&amp;$G$141,$DR$12:$DR$89))+SUM(IF(MONTH($CB$56:$CB$91)&amp;YEAR($CB$56:$CB$91)=MONTH($A150)&amp;$G$141,$CF$56:$CF$91))</f>
        <v>-277999.78125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26.3671875</v>
      </c>
      <c r="K150" s="271">
        <f t="shared" ca="1" si="220"/>
        <v>-277973.4140625</v>
      </c>
      <c r="L150" s="271">
        <f t="array" aca="1" ref="L150" ca="1">SUM(IF(MONTH($DP$12:$DP$89)&amp;YEAR($DP$12:$DP$89)=MONTH($A150)&amp;$L$141,$DQ$12:$DQ$89))</f>
        <v>0</v>
      </c>
      <c r="M150" s="271">
        <f t="array" aca="1" ref="M150" ca="1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0</v>
      </c>
      <c r="P150" s="271">
        <f t="shared" ca="1" si="221"/>
        <v>0</v>
      </c>
      <c r="Q150" s="271">
        <f t="array" aca="1" ref="Q150" ca="1">SUM(IF(MONTH($DP$12:$DP$176)=MONTH($A150),$DQ$12:$DQ$176))</f>
        <v>-16954.423828125</v>
      </c>
      <c r="R150" s="271">
        <f t="array" aca="1" ref="R150" ca="1">SUM(IF(MONTH($CB$56:$CB$91)=MONTH($A150),$CF$56:$CF$91))+SUM(IF(MONTH($DP$12:$DP$176)=MONTH($A150),$DR$12:$DR$176))</f>
        <v>-791687.3564453125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662041.7578125</v>
      </c>
      <c r="W150" s="290">
        <f t="shared" ca="1" si="222"/>
        <v>-146600.0224609375</v>
      </c>
      <c r="X150" s="221">
        <v>36739</v>
      </c>
      <c r="Y150" s="271">
        <f t="shared" ca="1" si="223"/>
        <v>-129645.5986328125</v>
      </c>
      <c r="Z150" s="246" t="s">
        <v>97</v>
      </c>
      <c r="AA150" s="293">
        <f ca="1">SUM(W149:W151)</f>
        <v>-487373.720703125</v>
      </c>
      <c r="AB150" s="293">
        <f ca="1">R149+R150+R151+S149+S150+S151</f>
        <v>-1617419.013671875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40422</v>
      </c>
      <c r="DQ150" s="56">
        <f ca="1">[5]OPPD_NPPD!$O141+[5]NSP!$O141</f>
        <v>0</v>
      </c>
      <c r="DR150" s="56">
        <f ca="1">[5]COMED!$O141</f>
        <v>-20130.1875</v>
      </c>
      <c r="DS150" s="56">
        <f t="shared" ca="1" si="217"/>
        <v>-20130.1875</v>
      </c>
      <c r="DT150" s="56">
        <f ca="1">SUM([5]OPPD_NPPD!$P141:$R141)+SUM([5]NSP!$P141:$R141)</f>
        <v>0</v>
      </c>
      <c r="DU150" s="56">
        <f ca="1">SUM([5]COMED!$P141:$R141)</f>
        <v>-11502.964599609375</v>
      </c>
      <c r="DV150" s="56">
        <f t="shared" ca="1" si="218"/>
        <v>-11502.964599609375</v>
      </c>
      <c r="DW150" s="57"/>
      <c r="DX150" s="58">
        <f>[5]OtherPosn!$D141</f>
        <v>37469</v>
      </c>
      <c r="DY150" s="56">
        <f>[5]OtherPosn!$N141</f>
        <v>423860.59375</v>
      </c>
      <c r="DZ150" s="56">
        <f>SUM([5]OtherPosn!$O141:$P141)</f>
        <v>-37762.12353515625</v>
      </c>
    </row>
    <row r="151" spans="1:130" ht="16.5" thickBot="1" x14ac:dyDescent="0.3">
      <c r="A151" s="221">
        <v>36770</v>
      </c>
      <c r="B151" s="271">
        <f t="array" aca="1" ref="B151" ca="1">SUM(IF(MONTH($DP$12:$DP$89)&amp;YEAR($DP$12:$DP$89)=MONTH($A151)&amp;$B$141,$DQ$12:$DQ$89))</f>
        <v>0</v>
      </c>
      <c r="C151" s="271">
        <f t="array" aca="1" ref="C151" ca="1">SUM(IF(MONTH($DP$12:$DP$89)&amp;YEAR($DP$12:$DP$89)=MONTH($A151)&amp;$B$141,$DR$12:$DR$89))+SUM(IF(MONTH($CB$56:$CB$91)&amp;YEAR($CB$56:$CB$91)=MONTH($A151)&amp;$B$141,$CF$56:$CF$91))</f>
        <v>92168.7890625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76920.67578125</v>
      </c>
      <c r="F151" s="271">
        <f t="shared" ca="1" si="219"/>
        <v>169089.46484375</v>
      </c>
      <c r="G151" s="271">
        <f t="array" aca="1" ref="G151" ca="1">SUM(IF(MONTH($DP$12:$DP$89)&amp;YEAR($DP$12:$DP$89)=MONTH($A151)&amp;$G$141,$DQ$12:$DQ$89))</f>
        <v>0</v>
      </c>
      <c r="H151" s="271">
        <f t="array" aca="1" ref="H151" ca="1">SUM(IF(MONTH($DP$12:$DP$89)&amp;YEAR($DP$12:$DP$89)=MONTH($A151)&amp;$G$141,$DR$12:$DR$89))+SUM(IF(MONTH($CB$56:$CB$91)&amp;YEAR($CB$56:$CB$91)=MONTH($A151)&amp;$G$141,$CF$56:$CF$91))</f>
        <v>-153781.765625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28.7509765625</v>
      </c>
      <c r="K151" s="271">
        <f t="shared" ca="1" si="220"/>
        <v>-153753.0146484375</v>
      </c>
      <c r="L151" s="271">
        <f t="array" aca="1" ref="L151" ca="1">SUM(IF(MONTH($DP$12:$DP$89)&amp;YEAR($DP$12:$DP$89)=MONTH($A151)&amp;$L$141,$DQ$12:$DQ$89))</f>
        <v>0</v>
      </c>
      <c r="M151" s="271">
        <f t="array" aca="1" ref="M151" ca="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0</v>
      </c>
      <c r="P151" s="271">
        <f t="shared" ca="1" si="221"/>
        <v>0</v>
      </c>
      <c r="Q151" s="271">
        <f t="array" aca="1" ref="Q151" ca="1">SUM(IF(MONTH($DP$12:$DP$176)=MONTH($A151),$DQ$12:$DQ$176))</f>
        <v>21904.3408203125</v>
      </c>
      <c r="R151" s="271">
        <f t="array" aca="1" ref="R151" ca="1">SUM(IF(MONTH($CB$56:$CB$91)=MONTH($A151),$CF$56:$CF$91))+SUM(IF(MONTH($DP$12:$DP$176)=MONTH($A151),$DR$12:$DR$176))</f>
        <v>-29978.4833984375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-184309.6201171875</v>
      </c>
      <c r="W151" s="290">
        <f t="shared" ca="1" si="222"/>
        <v>-192383.7626953125</v>
      </c>
      <c r="X151" s="221">
        <v>36770</v>
      </c>
      <c r="Y151" s="271">
        <f t="shared" ca="1" si="223"/>
        <v>-214288.103515625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40452</v>
      </c>
      <c r="DQ151" s="56">
        <f ca="1">[5]OPPD_NPPD!$O142+[5]NSP!$O142</f>
        <v>0</v>
      </c>
      <c r="DR151" s="56">
        <f ca="1">[5]COMED!$O142</f>
        <v>-20020.875</v>
      </c>
      <c r="DS151" s="56">
        <f t="shared" ca="1" si="217"/>
        <v>-20020.875</v>
      </c>
      <c r="DT151" s="56">
        <f ca="1">SUM([5]OPPD_NPPD!$P142:$R142)+SUM([5]NSP!$P142:$R142)</f>
        <v>0</v>
      </c>
      <c r="DU151" s="56">
        <f ca="1">SUM([5]COMED!$P142:$R142)</f>
        <v>-12185.32421875</v>
      </c>
      <c r="DV151" s="56">
        <f t="shared" ca="1" si="218"/>
        <v>-12185.32421875</v>
      </c>
      <c r="DW151" s="57"/>
      <c r="DX151" s="58">
        <f>[5]OtherPosn!$D142</f>
        <v>37500</v>
      </c>
      <c r="DY151" s="56">
        <f>[5]OtherPosn!$N142</f>
        <v>15361.46484375</v>
      </c>
      <c r="DZ151" s="56">
        <f>SUM([5]OtherPosn!$O142:$P142)</f>
        <v>-38403.662109375</v>
      </c>
    </row>
    <row r="152" spans="1:130" ht="15" x14ac:dyDescent="0.2">
      <c r="A152" s="221">
        <v>36800</v>
      </c>
      <c r="B152" s="271">
        <f t="array" aca="1" ref="B152" ca="1">SUM(IF(MONTH($DP$12:$DP$89)&amp;YEAR($DP$12:$DP$89)=MONTH($A152)&amp;$B$141,$DQ$12:$DQ$89))</f>
        <v>0</v>
      </c>
      <c r="C152" s="271">
        <f t="array" aca="1" ref="C152" ca="1">SUM(IF(MONTH($DP$12:$DP$89)&amp;YEAR($DP$12:$DP$89)=MONTH($A152)&amp;$B$141,$DR$12:$DR$89))+SUM(IF(MONTH($CB$56:$CB$91)&amp;YEAR($CB$56:$CB$91)=MONTH($A152)&amp;$B$141,$CF$56:$CF$91))</f>
        <v>-176028.328125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158663.76171875</v>
      </c>
      <c r="F152" s="271">
        <f t="shared" ca="1" si="219"/>
        <v>-17364.56640625</v>
      </c>
      <c r="G152" s="271">
        <f t="array" aca="1" ref="G152" ca="1">SUM(IF(MONTH($DP$12:$DP$89)&amp;YEAR($DP$12:$DP$89)=MONTH($A152)&amp;$G$141,$DQ$12:$DQ$89))</f>
        <v>0</v>
      </c>
      <c r="H152" s="271">
        <f t="array" aca="1" ref="H152" ca="1">SUM(IF(MONTH($DP$12:$DP$89)&amp;YEAR($DP$12:$DP$89)=MONTH($A152)&amp;$G$141,$DR$12:$DR$89))+SUM(IF(MONTH($CB$56:$CB$91)&amp;YEAR($CB$56:$CB$91)=MONTH($A152)&amp;$G$141,$CF$56:$CF$91))</f>
        <v>-167670.328125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31.869140625</v>
      </c>
      <c r="K152" s="271">
        <f t="shared" ca="1" si="220"/>
        <v>-167638.458984375</v>
      </c>
      <c r="L152" s="271">
        <f t="array" aca="1" ref="L152" ca="1">SUM(IF(MONTH($DP$12:$DP$89)&amp;YEAR($DP$12:$DP$89)=MONTH($A152)&amp;$L$141,$DQ$12:$DQ$89))</f>
        <v>0</v>
      </c>
      <c r="M152" s="271">
        <f t="array" aca="1" ref="M152" ca="1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0</v>
      </c>
      <c r="P152" s="271">
        <f t="shared" ca="1" si="221"/>
        <v>0</v>
      </c>
      <c r="Q152" s="271">
        <f t="array" aca="1" ref="Q152" ca="1">SUM(IF(MONTH($DP$12:$DP$176)=MONTH($A152),$DQ$12:$DQ$176))</f>
        <v>36530.3125</v>
      </c>
      <c r="R152" s="271">
        <f t="array" aca="1" ref="R152" ca="1">SUM(IF(MONTH($CB$56:$CB$91)=MONTH($A152),$CF$56:$CF$91))+SUM(IF(MONTH($DP$12:$DP$176)=MONTH($A152),$DR$12:$DR$176))</f>
        <v>-469175.71813229565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213559.65283203125</v>
      </c>
      <c r="W152" s="290">
        <f t="shared" ca="1" si="222"/>
        <v>-219085.7528002644</v>
      </c>
      <c r="X152" s="221">
        <v>36800</v>
      </c>
      <c r="Y152" s="271">
        <f t="shared" ca="1" si="223"/>
        <v>-255616.0653002644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40483</v>
      </c>
      <c r="DQ152" s="56">
        <f ca="1">[5]OPPD_NPPD!$O143+[5]NSP!$O143</f>
        <v>0</v>
      </c>
      <c r="DR152" s="56">
        <f ca="1">[5]COMED!$O143</f>
        <v>-19915.419921875</v>
      </c>
      <c r="DS152" s="56">
        <f t="shared" ca="1" si="217"/>
        <v>-19915.419921875</v>
      </c>
      <c r="DT152" s="56">
        <f ca="1">SUM([5]OPPD_NPPD!$P143:$R143)+SUM([5]NSP!$P143:$R143)</f>
        <v>0</v>
      </c>
      <c r="DU152" s="56">
        <f ca="1">SUM([5]COMED!$P143:$R143)</f>
        <v>-11380.239868164063</v>
      </c>
      <c r="DV152" s="56">
        <f t="shared" ca="1" si="218"/>
        <v>-11380.239868164063</v>
      </c>
      <c r="DW152" s="57"/>
      <c r="DX152" s="58">
        <f>[5]OtherPosn!$D143</f>
        <v>37530</v>
      </c>
      <c r="DY152" s="56">
        <f>[5]OtherPosn!$N143</f>
        <v>17602.833984375</v>
      </c>
      <c r="DZ152" s="56">
        <f>SUM([5]OtherPosn!$O143:$P143)</f>
        <v>-36066.673828125</v>
      </c>
    </row>
    <row r="153" spans="1:130" ht="15.75" x14ac:dyDescent="0.25">
      <c r="A153" s="221">
        <v>36831</v>
      </c>
      <c r="B153" s="271">
        <f t="array" aca="1" ref="B153" ca="1">SUM(IF(MONTH($DP$12:$DP$89)&amp;YEAR($DP$12:$DP$89)=MONTH($A153)&amp;$B$141,$DQ$12:$DQ$89))</f>
        <v>0</v>
      </c>
      <c r="C153" s="271">
        <f t="array" aca="1" ref="C153" ca="1">SUM(IF(MONTH($DP$12:$DP$89)&amp;YEAR($DP$12:$DP$89)=MONTH($A153)&amp;$B$141,$DR$12:$DR$89))+SUM(IF(MONTH($CB$56:$CB$91)&amp;YEAR($CB$56:$CB$91)=MONTH($A153)&amp;$B$141,$CF$56:$CF$91))</f>
        <v>-152526.265625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137503.3359375</v>
      </c>
      <c r="F153" s="271">
        <f t="shared" ca="1" si="219"/>
        <v>-15022.9296875</v>
      </c>
      <c r="G153" s="271">
        <f t="array" aca="1" ref="G153" ca="1">SUM(IF(MONTH($DP$12:$DP$89)&amp;YEAR($DP$12:$DP$89)=MONTH($A153)&amp;$G$141,$DQ$12:$DQ$89))</f>
        <v>0</v>
      </c>
      <c r="H153" s="271">
        <f t="array" aca="1" ref="H153" ca="1">SUM(IF(MONTH($DP$12:$DP$89)&amp;YEAR($DP$12:$DP$89)=MONTH($A153)&amp;$G$141,$DR$12:$DR$89))+SUM(IF(MONTH($CB$56:$CB$91)&amp;YEAR($CB$56:$CB$91)=MONTH($A153)&amp;$G$141,$CF$56:$CF$91))</f>
        <v>-137899.078125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30.6083984375</v>
      </c>
      <c r="K153" s="271">
        <f t="shared" ca="1" si="220"/>
        <v>-137868.4697265625</v>
      </c>
      <c r="L153" s="271">
        <f t="array" aca="1" ref="L153" ca="1">SUM(IF(MONTH($DP$12:$DP$89)&amp;YEAR($DP$12:$DP$89)=MONTH($A153)&amp;$L$141,$DQ$12:$DQ$89))</f>
        <v>0</v>
      </c>
      <c r="M153" s="271">
        <f t="array" aca="1" ref="M153" ca="1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0</v>
      </c>
      <c r="P153" s="271">
        <f t="shared" ca="1" si="221"/>
        <v>0</v>
      </c>
      <c r="Q153" s="271">
        <f t="array" aca="1" ref="Q153" ca="1">SUM(IF(MONTH($DP$12:$DP$176)=MONTH($A153),$DQ$12:$DQ$176))</f>
        <v>0</v>
      </c>
      <c r="R153" s="271">
        <f t="array" aca="1" ref="R153" ca="1">SUM(IF(MONTH($CB$56:$CB$91)=MONTH($A153),$CF$56:$CF$91))+SUM(IF(MONTH($DP$12:$DP$176)=MONTH($A153),$DR$12:$DR$176))</f>
        <v>-358549.5673828125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187484.2333984375</v>
      </c>
      <c r="W153" s="290">
        <f t="shared" ca="1" si="222"/>
        <v>-171065.333984375</v>
      </c>
      <c r="X153" s="221">
        <v>36831</v>
      </c>
      <c r="Y153" s="271">
        <f t="shared" ca="1" si="223"/>
        <v>-171065.333984375</v>
      </c>
      <c r="Z153" s="246" t="s">
        <v>98</v>
      </c>
      <c r="AA153" s="293">
        <f ca="1">SUM(W152:W154)</f>
        <v>-562423.7029955769</v>
      </c>
      <c r="AB153" s="293">
        <f ca="1">R152+R153+R154+S152+S153+S154</f>
        <v>-1191262.9417651081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40513</v>
      </c>
      <c r="DQ153" s="56">
        <f ca="1">[5]OPPD_NPPD!$O144+[5]NSP!$O144</f>
        <v>0</v>
      </c>
      <c r="DR153" s="56">
        <f ca="1">[5]COMED!$O144</f>
        <v>-21693.1484375</v>
      </c>
      <c r="DS153" s="56">
        <f t="shared" ca="1" si="217"/>
        <v>-21693.1484375</v>
      </c>
      <c r="DT153" s="56">
        <f ca="1">SUM([5]OPPD_NPPD!$P144:$R144)+SUM([5]NSP!$P144:$R144)</f>
        <v>0</v>
      </c>
      <c r="DU153" s="56">
        <f ca="1">SUM([5]COMED!$P144:$R144)</f>
        <v>-11082.369995117188</v>
      </c>
      <c r="DV153" s="56">
        <f t="shared" ca="1" si="218"/>
        <v>-11082.369995117188</v>
      </c>
      <c r="DW153" s="57"/>
      <c r="DX153" s="58">
        <f>[5]OtherPosn!$D144</f>
        <v>37561</v>
      </c>
      <c r="DY153" s="56">
        <f>[5]OtherPosn!$N144</f>
        <v>15252.6259765625</v>
      </c>
      <c r="DZ153" s="56">
        <f>SUM([5]OtherPosn!$O144:$P144)</f>
        <v>-38131.56494140625</v>
      </c>
    </row>
    <row r="154" spans="1:130" ht="15.75" thickBot="1" x14ac:dyDescent="0.25">
      <c r="A154" s="221">
        <v>36861</v>
      </c>
      <c r="B154" s="271">
        <f t="array" aca="1" ref="B154" ca="1">SUM(IF(MONTH($DP$12:$DP$89)&amp;YEAR($DP$12:$DP$89)=MONTH($A154)&amp;$B$141,$DQ$12:$DQ$89))</f>
        <v>0</v>
      </c>
      <c r="C154" s="271">
        <f t="array" aca="1" ref="C154" ca="1">SUM(IF(MONTH($DP$12:$DP$89)&amp;YEAR($DP$12:$DP$89)=MONTH($A154)&amp;$B$141,$DR$12:$DR$89))+SUM(IF(MONTH($CB$56:$CB$91)&amp;YEAR($CB$56:$CB$91)=MONTH($A154)&amp;$B$141,$CF$56:$CF$91))</f>
        <v>-159545.34375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143804.93359375</v>
      </c>
      <c r="F154" s="271">
        <f t="shared" ca="1" si="219"/>
        <v>-15740.41015625</v>
      </c>
      <c r="G154" s="271">
        <f t="array" aca="1" ref="G154" ca="1">SUM(IF(MONTH($DP$12:$DP$89)&amp;YEAR($DP$12:$DP$89)=MONTH($A154)&amp;$G$141,$DQ$12:$DQ$89))</f>
        <v>0</v>
      </c>
      <c r="H154" s="271">
        <f t="array" aca="1" ref="H154" ca="1">SUM(IF(MONTH($DP$12:$DP$89)&amp;YEAR($DP$12:$DP$89)=MONTH($A154)&amp;$G$141,$DR$12:$DR$89))+SUM(IF(MONTH($CB$56:$CB$91)&amp;YEAR($CB$56:$CB$91)=MONTH($A154)&amp;$G$141,$CF$56:$CF$91))</f>
        <v>-158935.65625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28.5830078125</v>
      </c>
      <c r="K154" s="271">
        <f t="shared" ca="1" si="220"/>
        <v>-158907.0732421875</v>
      </c>
      <c r="L154" s="271">
        <f t="array" aca="1" ref="L154" ca="1">SUM(IF(MONTH($DP$12:$DP$89)&amp;YEAR($DP$12:$DP$89)=MONTH($A154)&amp;$L$141,$DQ$12:$DQ$89))</f>
        <v>0</v>
      </c>
      <c r="M154" s="271">
        <f t="array" aca="1" ref="M154" ca="1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0</v>
      </c>
      <c r="P154" s="271">
        <f t="shared" ca="1" si="221"/>
        <v>0</v>
      </c>
      <c r="Q154" s="271">
        <f t="array" aca="1" ref="Q154" ca="1">SUM(IF(MONTH($DP$12:$DP$176)=MONTH($A154),$DQ$12:$DQ$176))</f>
        <v>0</v>
      </c>
      <c r="R154" s="271">
        <f t="array" aca="1" ref="R154" ca="1">SUM(IF(MONTH($CB$56:$CB$91)=MONTH($A154),$CF$56:$CF$91))+SUM(IF(MONTH($DP$12:$DP$176)=MONTH($A154),$DR$12:$DR$176))</f>
        <v>-363537.65625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191265.0400390625</v>
      </c>
      <c r="W154" s="290">
        <f t="shared" ca="1" si="222"/>
        <v>-172272.6162109375</v>
      </c>
      <c r="X154" s="225">
        <v>36861</v>
      </c>
      <c r="Y154" s="271">
        <f t="shared" ca="1" si="223"/>
        <v>-172272.6162109375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40544</v>
      </c>
      <c r="DQ154" s="56">
        <f ca="1">[5]OPPD_NPPD!$O145+[5]NSP!$O145</f>
        <v>0</v>
      </c>
      <c r="DR154" s="56">
        <f ca="1">[5]COMED!$O145</f>
        <v>0</v>
      </c>
      <c r="DS154" s="56">
        <f t="shared" ca="1" si="217"/>
        <v>0</v>
      </c>
      <c r="DT154" s="56">
        <f ca="1">SUM([5]OPPD_NPPD!$P145:$R145)+SUM([5]NSP!$P145:$R145)</f>
        <v>0</v>
      </c>
      <c r="DU154" s="56">
        <f ca="1">SUM([5]COMED!$P145:$R145)</f>
        <v>0</v>
      </c>
      <c r="DV154" s="56">
        <f t="shared" ca="1" si="218"/>
        <v>0</v>
      </c>
      <c r="DW154" s="57"/>
      <c r="DX154" s="58">
        <f>[5]OtherPosn!$D145</f>
        <v>37591</v>
      </c>
      <c r="DY154" s="56">
        <f>[5]OtherPosn!$N145</f>
        <v>15954.5341796875</v>
      </c>
      <c r="DZ154" s="56">
        <f>SUM([5]OtherPosn!$O145:$P145)</f>
        <v>-38746.7265625</v>
      </c>
    </row>
    <row r="155" spans="1:130" ht="16.5" thickBot="1" x14ac:dyDescent="0.3">
      <c r="A155" s="222" t="s">
        <v>93</v>
      </c>
      <c r="B155" s="294">
        <f ca="1">SUM(B143:B154)</f>
        <v>-33965.55078125</v>
      </c>
      <c r="C155" s="294">
        <f ca="1">SUM(C143:C154)</f>
        <v>-2099277.90234375</v>
      </c>
      <c r="D155" s="294">
        <v>0</v>
      </c>
      <c r="E155" s="294">
        <f>SUM(E143:E154)</f>
        <v>2571108.927734375</v>
      </c>
      <c r="F155" s="294">
        <f t="shared" ca="1" si="219"/>
        <v>437865.474609375</v>
      </c>
      <c r="G155" s="294">
        <f ca="1">SUM(G143:G154)</f>
        <v>0</v>
      </c>
      <c r="H155" s="294">
        <f ca="1">SUM(H143:H154)</f>
        <v>-2426190.3125</v>
      </c>
      <c r="I155" s="294">
        <v>0</v>
      </c>
      <c r="J155" s="294">
        <f>SUM(J143:J154)</f>
        <v>339.2138671875</v>
      </c>
      <c r="K155" s="294">
        <f t="shared" ca="1" si="220"/>
        <v>-2425851.0986328125</v>
      </c>
      <c r="L155" s="294">
        <f ca="1">SUM(L143:L154)</f>
        <v>0</v>
      </c>
      <c r="M155" s="294">
        <f ca="1">SUM(M143:M154)</f>
        <v>0</v>
      </c>
      <c r="N155" s="294">
        <v>0</v>
      </c>
      <c r="O155" s="294">
        <f>SUM(O143:O154)</f>
        <v>0</v>
      </c>
      <c r="P155" s="294">
        <f t="shared" ca="1" si="221"/>
        <v>0</v>
      </c>
      <c r="Q155" s="294">
        <f ca="1">SUM(Q143:Q154)</f>
        <v>24469.1025390625</v>
      </c>
      <c r="R155" s="294">
        <f ca="1">SUM(R143:R154)</f>
        <v>-6574823.1155932331</v>
      </c>
      <c r="S155" s="294">
        <v>0</v>
      </c>
      <c r="T155" s="295"/>
      <c r="U155" s="295"/>
      <c r="V155" s="294">
        <f>SUM(V143:V154)</f>
        <v>2462434.9291992188</v>
      </c>
      <c r="W155" s="296">
        <f ca="1">SUM(Q155:V155)</f>
        <v>-4087919.0838549519</v>
      </c>
      <c r="X155" s="292"/>
      <c r="Y155" s="294">
        <f ca="1">SUM(Y143:Y154)</f>
        <v>-4112388.1863940144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40575</v>
      </c>
      <c r="DQ155" s="56">
        <f ca="1">[5]OPPD_NPPD!$O146+[5]NSP!$O146</f>
        <v>0</v>
      </c>
      <c r="DR155" s="56">
        <f ca="1">[5]COMED!$O146</f>
        <v>0</v>
      </c>
      <c r="DS155" s="56">
        <f t="shared" ca="1" si="217"/>
        <v>0</v>
      </c>
      <c r="DT155" s="56">
        <f ca="1">SUM([5]OPPD_NPPD!$P146:$R146)+SUM([5]NSP!$P146:$R146)</f>
        <v>0</v>
      </c>
      <c r="DU155" s="56">
        <f ca="1">SUM([5]COMED!$P146:$R146)</f>
        <v>0</v>
      </c>
      <c r="DV155" s="56">
        <f t="shared" ca="1" si="218"/>
        <v>0</v>
      </c>
      <c r="DW155" s="57"/>
      <c r="DX155" s="58">
        <f>[5]OtherPosn!$D146</f>
        <v>37622</v>
      </c>
      <c r="DY155" s="56">
        <f>[5]OtherPosn!$N146</f>
        <v>149841.890625</v>
      </c>
      <c r="DZ155" s="56">
        <f>SUM([5]OtherPosn!$O146:$P146)</f>
        <v>0</v>
      </c>
    </row>
    <row r="156" spans="1:130" ht="13.5" thickBo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40603</v>
      </c>
      <c r="DQ156" s="56">
        <f ca="1">[5]OPPD_NPPD!$O147+[5]NSP!$O147</f>
        <v>0</v>
      </c>
      <c r="DR156" s="56">
        <f ca="1">[5]COMED!$O147</f>
        <v>0</v>
      </c>
      <c r="DS156" s="56">
        <f t="shared" ca="1" si="217"/>
        <v>0</v>
      </c>
      <c r="DT156" s="56">
        <f ca="1">SUM([5]OPPD_NPPD!$P147:$R147)+SUM([5]NSP!$P147:$R147)</f>
        <v>0</v>
      </c>
      <c r="DU156" s="56">
        <f ca="1">SUM([5]COMED!$P147:$R147)</f>
        <v>0</v>
      </c>
      <c r="DV156" s="56">
        <f t="shared" ca="1" si="218"/>
        <v>0</v>
      </c>
      <c r="DW156" s="57"/>
      <c r="DX156" s="58">
        <f>[5]OtherPosn!$D147</f>
        <v>37653</v>
      </c>
      <c r="DY156" s="56">
        <f>[5]OtherPosn!$N147</f>
        <v>135731.578125</v>
      </c>
      <c r="DZ156" s="56">
        <f>SUM([5]OtherPosn!$O147:$P147)</f>
        <v>0</v>
      </c>
    </row>
    <row r="157" spans="1:130" ht="16.5" thickBot="1" x14ac:dyDescent="0.3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aca="1" ref="Y157" ca="1">SUM(IF(MONTH($X$143:$X$154)=7,$Y$143:$Y$154))+SUM(IF(MONTH($X$143:$X$154)=8,$Y$143:$Y$154))</f>
        <v>-261024.4072265625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40634</v>
      </c>
      <c r="DQ157" s="56">
        <f ca="1">[5]OPPD_NPPD!$O148+[5]NSP!$O148</f>
        <v>0</v>
      </c>
      <c r="DR157" s="56">
        <f ca="1">[5]COMED!$O148</f>
        <v>0</v>
      </c>
      <c r="DS157" s="56">
        <f t="shared" ca="1" si="217"/>
        <v>0</v>
      </c>
      <c r="DT157" s="56">
        <f ca="1">SUM([5]OPPD_NPPD!$P148:$R148)+SUM([5]NSP!$P148:$R148)</f>
        <v>0</v>
      </c>
      <c r="DU157" s="56">
        <f ca="1">SUM([5]COMED!$P148:$R148)</f>
        <v>0</v>
      </c>
      <c r="DV157" s="56">
        <f t="shared" ca="1" si="218"/>
        <v>0</v>
      </c>
      <c r="DW157" s="57"/>
      <c r="DX157" s="58">
        <f>[5]OtherPosn!$D148</f>
        <v>37681</v>
      </c>
      <c r="DY157" s="56">
        <f>[5]OtherPosn!$N148</f>
        <v>141944.828125</v>
      </c>
      <c r="DZ157" s="56">
        <f>SUM([5]OtherPosn!$O148:$P148)</f>
        <v>0</v>
      </c>
    </row>
    <row r="158" spans="1:130" x14ac:dyDescent="0.2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40664</v>
      </c>
      <c r="DQ158" s="56">
        <f ca="1">[5]OPPD_NPPD!$O149+[5]NSP!$O149</f>
        <v>0</v>
      </c>
      <c r="DR158" s="56">
        <f ca="1">[5]COMED!$O149</f>
        <v>0</v>
      </c>
      <c r="DS158" s="56">
        <f t="shared" ca="1" si="217"/>
        <v>0</v>
      </c>
      <c r="DT158" s="56">
        <f ca="1">SUM([5]OPPD_NPPD!$P149:$R149)+SUM([5]NSP!$P149:$R149)</f>
        <v>0</v>
      </c>
      <c r="DU158" s="56">
        <f ca="1">SUM([5]COMED!$P149:$R149)</f>
        <v>0</v>
      </c>
      <c r="DV158" s="56">
        <f t="shared" ca="1" si="218"/>
        <v>0</v>
      </c>
      <c r="DW158" s="57"/>
      <c r="DX158" s="58">
        <f>[5]OtherPosn!$D149</f>
        <v>37712</v>
      </c>
      <c r="DY158" s="56">
        <f>[5]OtherPosn!$N149</f>
        <v>148115.671875</v>
      </c>
      <c r="DZ158" s="56">
        <f>SUM([5]OtherPosn!$O149:$P149)</f>
        <v>0</v>
      </c>
    </row>
    <row r="159" spans="1:130" ht="20.25" x14ac:dyDescent="0.3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40695</v>
      </c>
      <c r="DQ159" s="56">
        <f ca="1">[5]OPPD_NPPD!$O150+[5]NSP!$O150</f>
        <v>0</v>
      </c>
      <c r="DR159" s="56">
        <f ca="1">[5]COMED!$O150</f>
        <v>0</v>
      </c>
      <c r="DS159" s="56">
        <f t="shared" ca="1" si="217"/>
        <v>0</v>
      </c>
      <c r="DT159" s="56">
        <f ca="1">SUM([5]OPPD_NPPD!$P150:$R150)+SUM([5]NSP!$P150:$R150)</f>
        <v>0</v>
      </c>
      <c r="DU159" s="56">
        <f ca="1">SUM([5]COMED!$P150:$R150)</f>
        <v>0</v>
      </c>
      <c r="DV159" s="56">
        <f t="shared" ca="1" si="218"/>
        <v>0</v>
      </c>
      <c r="DW159" s="57"/>
      <c r="DX159" s="58">
        <f>[5]OtherPosn!$D150</f>
        <v>37742</v>
      </c>
      <c r="DY159" s="56">
        <f>[5]OtherPosn!$N150</f>
        <v>219013.40625</v>
      </c>
      <c r="DZ159" s="56">
        <f>SUM([5]OtherPosn!$O150:$P150)</f>
        <v>0</v>
      </c>
    </row>
    <row r="160" spans="1:130" ht="13.5" thickBo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40725</v>
      </c>
      <c r="DQ160" s="56">
        <f ca="1">[5]OPPD_NPPD!$O151+[5]NSP!$O151</f>
        <v>0</v>
      </c>
      <c r="DR160" s="56">
        <f ca="1">[5]COMED!$O151</f>
        <v>0</v>
      </c>
      <c r="DS160" s="56">
        <f t="shared" ca="1" si="217"/>
        <v>0</v>
      </c>
      <c r="DT160" s="56">
        <f ca="1">SUM([5]OPPD_NPPD!$P151:$R151)+SUM([5]NSP!$P151:$R151)</f>
        <v>0</v>
      </c>
      <c r="DU160" s="56">
        <f ca="1">SUM([5]COMED!$P151:$R151)</f>
        <v>0</v>
      </c>
      <c r="DV160" s="56">
        <f t="shared" ca="1" si="218"/>
        <v>0</v>
      </c>
      <c r="DW160" s="57"/>
    </row>
    <row r="161" spans="1:127" ht="20.25" x14ac:dyDescent="0.3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40756</v>
      </c>
      <c r="DQ161" s="56">
        <f ca="1">[5]OPPD_NPPD!$O152+[5]NSP!$O152</f>
        <v>0</v>
      </c>
      <c r="DR161" s="56">
        <f ca="1">[5]COMED!$O152</f>
        <v>0</v>
      </c>
      <c r="DS161" s="56">
        <f t="shared" ca="1" si="217"/>
        <v>0</v>
      </c>
      <c r="DT161" s="56">
        <f ca="1">SUM([5]OPPD_NPPD!$P152:$R152)+SUM([5]NSP!$P152:$R152)</f>
        <v>0</v>
      </c>
      <c r="DU161" s="56">
        <f ca="1">SUM([5]COMED!$P152:$R152)</f>
        <v>0</v>
      </c>
      <c r="DV161" s="56">
        <f t="shared" ca="1" si="218"/>
        <v>0</v>
      </c>
      <c r="DW161" s="57"/>
    </row>
    <row r="162" spans="1:127" ht="13.5" thickBot="1" x14ac:dyDescent="0.25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40787</v>
      </c>
      <c r="DQ162" s="56">
        <f ca="1">[5]OPPD_NPPD!$O153+[5]NSP!$O153</f>
        <v>0</v>
      </c>
      <c r="DR162" s="56">
        <f ca="1">[5]COMED!$O153</f>
        <v>0</v>
      </c>
      <c r="DS162" s="56">
        <f t="shared" ca="1" si="217"/>
        <v>0</v>
      </c>
      <c r="DT162" s="56">
        <f ca="1">SUM([5]OPPD_NPPD!$P153:$R153)+SUM([5]NSP!$P153:$R153)</f>
        <v>0</v>
      </c>
      <c r="DU162" s="56">
        <f ca="1">SUM([5]COMED!$P153:$R153)</f>
        <v>0</v>
      </c>
      <c r="DV162" s="56">
        <f t="shared" ca="1" si="218"/>
        <v>0</v>
      </c>
      <c r="DW162" s="57"/>
    </row>
    <row r="163" spans="1:127" ht="15" x14ac:dyDescent="0.2">
      <c r="A163" s="220">
        <f t="shared" ref="A163:A174" si="224">A143</f>
        <v>35796</v>
      </c>
      <c r="B163" s="269">
        <f t="array" aca="1" ref="B163" ca="1">SUM(IF(MONTH($DP$12:$DP$89)&amp;YEAR($DP$12:$DP$89)=MONTH($A163)&amp;$B$141,$DT$12:$DT$89))</f>
        <v>0</v>
      </c>
      <c r="C163" s="269">
        <f t="array" aca="1" ref="C163" ca="1">SUM(IF(MONTH($DP$12:$DP$89)&amp;YEAR($DP$12:$DP$89)=MONTH($A163)&amp;$B$141,$DU$12:$DU$89))</f>
        <v>18895.0283203125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0</v>
      </c>
      <c r="F163" s="269" t="e">
        <f ca="1">SUM(B163:E163)</f>
        <v>#REF!</v>
      </c>
      <c r="G163" s="269">
        <f t="array" aca="1" ref="G163" ca="1">SUM(IF(MONTH($DP$12:$DP$89)&amp;YEAR($DP$12:$DP$89)=MONTH($A163)&amp;$G$141,$DT$12:$DT$89))</f>
        <v>0</v>
      </c>
      <c r="H163" s="269">
        <f t="array" aca="1" ref="H163" ca="1">SUM(IF(MONTH($DP$12:$DP$89)&amp;YEAR($DP$12:$DP$89)=MONTH($A163)&amp;$G$141,$DU$12:$DU$89))</f>
        <v>-378.38861083984375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ca="1" si="225">SUM(G163:J163)</f>
        <v>-378.38861083984375</v>
      </c>
      <c r="L163" s="269">
        <f t="array" aca="1" ref="L163" ca="1">SUM(IF(MONTH($DP$12:$DP$89)&amp;YEAR($DP$12:$DP$89)=MONTH($A163)&amp;$L$141,$DT$12:$DT$89))</f>
        <v>0</v>
      </c>
      <c r="M163" s="269">
        <f t="array" aca="1" ref="M163" ca="1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ca="1" si="226">SUM(L163:O163)</f>
        <v>0</v>
      </c>
      <c r="Q163" s="269">
        <f t="array" aca="1" ref="Q163" ca="1">SUM(IF(MONTH($DP$12:$DP$176)=MONTH($A163),$DT$12:$DT$176))</f>
        <v>0</v>
      </c>
      <c r="R163" s="269">
        <f t="array" aca="1" ref="R163" ca="1">SUM(IF(MONTH($DP$12:$DP$176)=MONTH($A163),$DU$12:$DU$176))</f>
        <v>-75779.601501464844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0</v>
      </c>
      <c r="W163" s="269">
        <f t="shared" ref="W163:W174" si="227">SUM(S163:V163)</f>
        <v>0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40817</v>
      </c>
      <c r="DQ163" s="56">
        <f ca="1">[5]OPPD_NPPD!$O154+[5]NSP!$O154</f>
        <v>0</v>
      </c>
      <c r="DR163" s="56">
        <f ca="1">[5]COMED!$O154</f>
        <v>0</v>
      </c>
      <c r="DS163" s="56">
        <f t="shared" ca="1" si="217"/>
        <v>0</v>
      </c>
      <c r="DT163" s="56">
        <f ca="1">SUM([5]OPPD_NPPD!$P154:$R154)+SUM([5]NSP!$P154:$R154)</f>
        <v>0</v>
      </c>
      <c r="DU163" s="56">
        <f ca="1">SUM([5]COMED!$P154:$R154)</f>
        <v>0</v>
      </c>
      <c r="DV163" s="56">
        <f t="shared" ca="1" si="218"/>
        <v>0</v>
      </c>
      <c r="DW163" s="57"/>
    </row>
    <row r="164" spans="1:127" ht="15.75" x14ac:dyDescent="0.25">
      <c r="A164" s="221">
        <v>35827</v>
      </c>
      <c r="B164" s="271">
        <f t="array" aca="1" ref="B164" ca="1">SUM(IF(MONTH($DP$12:$DP$89)&amp;YEAR($DP$12:$DP$89)=MONTH($A164)&amp;$B$141,$DT$12:$DT$89))</f>
        <v>0</v>
      </c>
      <c r="C164" s="271">
        <f t="array" aca="1" ref="C164" ca="1">SUM(IF(MONTH($DP$12:$DP$89)&amp;YEAR($DP$12:$DP$89)=MONTH($A164)&amp;$B$141,$DU$12:$DU$89))</f>
        <v>17274.13720703125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0</v>
      </c>
      <c r="F164" s="271" t="e">
        <f ca="1">SUM(B164:E164)</f>
        <v>#REF!</v>
      </c>
      <c r="G164" s="271">
        <f t="array" aca="1" ref="G164" ca="1">SUM(IF(MONTH($DP$12:$DP$89)&amp;YEAR($DP$12:$DP$89)=MONTH($A164)&amp;$G$141,$DT$12:$DT$89))</f>
        <v>0</v>
      </c>
      <c r="H164" s="271">
        <f t="array" aca="1" ref="H164" ca="1">SUM(IF(MONTH($DP$12:$DP$89)&amp;YEAR($DP$12:$DP$89)=MONTH($A164)&amp;$G$141,$DU$12:$DU$89))</f>
        <v>0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ca="1" si="225"/>
        <v>0</v>
      </c>
      <c r="L164" s="271">
        <f t="array" aca="1" ref="L164" ca="1">SUM(IF(MONTH($DP$12:$DP$89)&amp;YEAR($DP$12:$DP$89)=MONTH($A164)&amp;$L$141,$DT$12:$DT$89))</f>
        <v>0</v>
      </c>
      <c r="M164" s="271">
        <f t="array" aca="1" ref="M164" ca="1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ca="1" si="226"/>
        <v>0</v>
      </c>
      <c r="Q164" s="271">
        <f t="array" aca="1" ref="Q164" ca="1">SUM(IF(MONTH($DP$12:$DP$176)=MONTH($A164),$DT$12:$DT$176))</f>
        <v>0</v>
      </c>
      <c r="R164" s="271">
        <f t="array" aca="1" ref="R164" ca="1">SUM(IF(MONTH($DP$12:$DP$176)=MONTH($A164),$DU$12:$DU$176))</f>
        <v>-63595.115478515625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0</v>
      </c>
      <c r="W164" s="271">
        <f t="shared" si="227"/>
        <v>0</v>
      </c>
      <c r="X164" s="221">
        <v>35827</v>
      </c>
      <c r="Y164" s="104"/>
      <c r="Z164" s="246" t="s">
        <v>95</v>
      </c>
      <c r="AA164" s="293">
        <f>SUM(W163:W165)</f>
        <v>0</v>
      </c>
      <c r="AB164" s="293">
        <f ca="1">R163+R164+R165+S163+S164+S165</f>
        <v>-209700.06561279297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40848</v>
      </c>
      <c r="DQ164" s="56">
        <f ca="1">[5]OPPD_NPPD!$O155+[5]NSP!$O155</f>
        <v>0</v>
      </c>
      <c r="DR164" s="56">
        <f ca="1">[5]COMED!$O155</f>
        <v>0</v>
      </c>
      <c r="DS164" s="56">
        <f t="shared" ca="1" si="217"/>
        <v>0</v>
      </c>
      <c r="DT164" s="56">
        <f ca="1">SUM([5]OPPD_NPPD!$P155:$R155)+SUM([5]NSP!$P155:$R155)</f>
        <v>0</v>
      </c>
      <c r="DU164" s="56">
        <f ca="1">SUM([5]COMED!$P155:$R155)</f>
        <v>0</v>
      </c>
      <c r="DV164" s="56">
        <f t="shared" ca="1" si="218"/>
        <v>0</v>
      </c>
      <c r="DW164" s="57"/>
    </row>
    <row r="165" spans="1:127" ht="16.5" thickBot="1" x14ac:dyDescent="0.3">
      <c r="A165" s="221">
        <f t="shared" si="224"/>
        <v>36586</v>
      </c>
      <c r="B165" s="271">
        <f t="array" aca="1" ref="B165" ca="1">SUM(IF(MONTH($DP$12:$DP$89)&amp;YEAR($DP$12:$DP$89)=MONTH($A165)&amp;$B$141,$DT$12:$DT$89))</f>
        <v>0</v>
      </c>
      <c r="C165" s="271">
        <f t="array" aca="1" ref="C165" ca="1">SUM(IF(MONTH($DP$12:$DP$89)&amp;YEAR($DP$12:$DP$89)=MONTH($A165)&amp;$B$141,$DU$12:$DU$89))</f>
        <v>19962.3193359375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0</v>
      </c>
      <c r="F165" s="271" t="e">
        <f ca="1">SUM(B165:E165)</f>
        <v>#REF!</v>
      </c>
      <c r="G165" s="271">
        <f t="array" aca="1" ref="G165" ca="1">SUM(IF(MONTH($DP$12:$DP$89)&amp;YEAR($DP$12:$DP$89)=MONTH($A165)&amp;$G$141,$DT$12:$DT$89))</f>
        <v>0</v>
      </c>
      <c r="H165" s="271">
        <f t="array" aca="1" ref="H165" ca="1">SUM(IF(MONTH($DP$12:$DP$89)&amp;YEAR($DP$12:$DP$89)=MONTH($A165)&amp;$G$141,$DU$12:$DU$89))</f>
        <v>0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ca="1" si="225"/>
        <v>0</v>
      </c>
      <c r="L165" s="271">
        <f t="array" aca="1" ref="L165" ca="1">SUM(IF(MONTH($DP$12:$DP$89)&amp;YEAR($DP$12:$DP$89)=MONTH($A165)&amp;$L$141,$DT$12:$DT$89))</f>
        <v>0</v>
      </c>
      <c r="M165" s="271">
        <f t="array" aca="1" ref="M165" ca="1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ca="1" si="226"/>
        <v>0</v>
      </c>
      <c r="Q165" s="271">
        <f t="array" aca="1" ref="Q165" ca="1">SUM(IF(MONTH($DP$12:$DP$176)=MONTH($A165),$DT$12:$DT$176))</f>
        <v>0</v>
      </c>
      <c r="R165" s="271">
        <f t="array" aca="1" ref="R165" ca="1">SUM(IF(MONTH($DP$12:$DP$176)=MONTH($A165),$DU$12:$DU$176))</f>
        <v>-70325.3486328125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0</v>
      </c>
      <c r="W165" s="271">
        <f t="shared" si="227"/>
        <v>0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40878</v>
      </c>
      <c r="DQ165" s="56">
        <f ca="1">[5]OPPD_NPPD!$O156+[5]NSP!$O156</f>
        <v>0</v>
      </c>
      <c r="DR165" s="56">
        <f ca="1">[5]COMED!$O156</f>
        <v>0</v>
      </c>
      <c r="DS165" s="56">
        <f t="shared" ca="1" si="217"/>
        <v>0</v>
      </c>
      <c r="DT165" s="56">
        <f ca="1">SUM([5]OPPD_NPPD!$P156:$R156)+SUM([5]NSP!$P156:$R156)</f>
        <v>0</v>
      </c>
      <c r="DU165" s="56">
        <f ca="1">SUM([5]COMED!$P156:$R156)</f>
        <v>0</v>
      </c>
      <c r="DV165" s="56">
        <f t="shared" ca="1" si="218"/>
        <v>0</v>
      </c>
      <c r="DW165" s="57"/>
    </row>
    <row r="166" spans="1:127" ht="15" x14ac:dyDescent="0.2">
      <c r="A166" s="221">
        <f t="shared" si="224"/>
        <v>36617</v>
      </c>
      <c r="B166" s="271">
        <f t="array" aca="1" ref="B166" ca="1">SUM(IF(MONTH($DP$12:$DP$89)&amp;YEAR($DP$12:$DP$89)=MONTH($A166)&amp;$B$141,$DT$12:$DT$89))</f>
        <v>0</v>
      </c>
      <c r="C166" s="271">
        <f t="array" aca="1" ref="C166" ca="1">SUM(IF(MONTH($DP$12:$DP$89)&amp;YEAR($DP$12:$DP$89)=MONTH($A166)&amp;$B$141,$DU$12:$DU$89))</f>
        <v>17903.76708984375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0</v>
      </c>
      <c r="F166" s="271" t="e">
        <f ca="1">SUM(B166:E166)</f>
        <v>#REF!</v>
      </c>
      <c r="G166" s="271">
        <f t="array" aca="1" ref="G166" ca="1">SUM(IF(MONTH($DP$12:$DP$89)&amp;YEAR($DP$12:$DP$89)=MONTH($A166)&amp;$G$141,$DT$12:$DT$89))</f>
        <v>0</v>
      </c>
      <c r="H166" s="271">
        <f t="array" aca="1" ref="H166" ca="1">SUM(IF(MONTH($DP$12:$DP$89)&amp;YEAR($DP$12:$DP$89)=MONTH($A166)&amp;$G$141,$DU$12:$DU$89))</f>
        <v>0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ca="1" si="225"/>
        <v>0</v>
      </c>
      <c r="L166" s="271">
        <f t="array" aca="1" ref="L166" ca="1">SUM(IF(MONTH($DP$12:$DP$89)&amp;YEAR($DP$12:$DP$89)=MONTH($A166)&amp;$L$141,$DT$12:$DT$89))</f>
        <v>0</v>
      </c>
      <c r="M166" s="271">
        <f t="array" aca="1" ref="M166" ca="1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ca="1" si="226"/>
        <v>0</v>
      </c>
      <c r="Q166" s="271">
        <f t="array" aca="1" ref="Q166" ca="1">SUM(IF(MONTH($DP$12:$DP$176)=MONTH($A166),$DT$12:$DT$176))</f>
        <v>0</v>
      </c>
      <c r="R166" s="271">
        <f t="array" aca="1" ref="R166" ca="1">SUM(IF(MONTH($DP$12:$DP$176)=MONTH($A166),$DU$12:$DU$176))</f>
        <v>-68743.09130859375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0</v>
      </c>
      <c r="W166" s="271">
        <f t="shared" si="227"/>
        <v>0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40909</v>
      </c>
      <c r="DQ166" s="56">
        <f ca="1">[5]OPPD_NPPD!$O157+[5]NSP!$O157</f>
        <v>0</v>
      </c>
      <c r="DR166" s="56">
        <f ca="1">[5]COMED!$O157</f>
        <v>0</v>
      </c>
      <c r="DS166" s="56">
        <f t="shared" ca="1" si="217"/>
        <v>0</v>
      </c>
      <c r="DT166" s="56">
        <f ca="1">SUM([5]OPPD_NPPD!$P157:$R157)+SUM([5]NSP!$P157:$R157)</f>
        <v>0</v>
      </c>
      <c r="DU166" s="56">
        <f ca="1">SUM([5]COMED!$P157:$R157)</f>
        <v>0</v>
      </c>
      <c r="DV166" s="56">
        <f t="shared" ca="1" si="218"/>
        <v>0</v>
      </c>
      <c r="DW166" s="57"/>
    </row>
    <row r="167" spans="1:127" ht="15.75" x14ac:dyDescent="0.25">
      <c r="A167" s="221">
        <f t="shared" si="224"/>
        <v>36647</v>
      </c>
      <c r="B167" s="271">
        <f t="array" aca="1" ref="B167" ca="1">SUM(IF(MONTH($DP$12:$DP$89)&amp;YEAR($DP$12:$DP$89)=MONTH($A167)&amp;$B$141,$DT$12:$DT$89))</f>
        <v>0</v>
      </c>
      <c r="C167" s="271">
        <f t="array" aca="1" ref="C167" ca="1">SUM(IF(MONTH($DP$12:$DP$89)&amp;YEAR($DP$12:$DP$89)=MONTH($A167)&amp;$B$141,$DU$12:$DU$89))</f>
        <v>18675.580810546875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0</v>
      </c>
      <c r="F167" s="271" t="e">
        <f ca="1">SUM(B167:E167)</f>
        <v>#REF!</v>
      </c>
      <c r="G167" s="271">
        <f t="array" aca="1" ref="G167" ca="1">SUM(IF(MONTH($DP$12:$DP$89)&amp;YEAR($DP$12:$DP$89)=MONTH($A167)&amp;$G$141,$DT$12:$DT$89))</f>
        <v>0</v>
      </c>
      <c r="H167" s="271">
        <f t="array" aca="1" ref="H167" ca="1">SUM(IF(MONTH($DP$12:$DP$89)&amp;YEAR($DP$12:$DP$89)=MONTH($A167)&amp;$G$141,$DU$12:$DU$89))</f>
        <v>-372.47177124023438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ca="1" si="225"/>
        <v>-372.47177124023438</v>
      </c>
      <c r="L167" s="271">
        <f t="array" aca="1" ref="L167" ca="1">SUM(IF(MONTH($DP$12:$DP$89)&amp;YEAR($DP$12:$DP$89)=MONTH($A167)&amp;$L$141,$DT$12:$DT$89))</f>
        <v>0</v>
      </c>
      <c r="M167" s="271">
        <f t="array" aca="1" ref="M167" ca="1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ca="1" si="226"/>
        <v>0</v>
      </c>
      <c r="Q167" s="271">
        <f t="array" aca="1" ref="Q167" ca="1">SUM(IF(MONTH($DP$12:$DP$176)=MONTH($A167),$DT$12:$DT$176))</f>
        <v>0</v>
      </c>
      <c r="R167" s="271">
        <f t="array" aca="1" ref="R167" ca="1">SUM(IF(MONTH($DP$12:$DP$176)=MONTH($A167),$DU$12:$DU$176))</f>
        <v>-65689.620208740234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0</v>
      </c>
      <c r="W167" s="271">
        <f t="shared" si="227"/>
        <v>0</v>
      </c>
      <c r="X167" s="221">
        <v>36647</v>
      </c>
      <c r="Y167" s="104"/>
      <c r="Z167" s="246" t="s">
        <v>96</v>
      </c>
      <c r="AA167" s="293">
        <f>SUM(W166:W168)</f>
        <v>0</v>
      </c>
      <c r="AB167" s="293">
        <f ca="1">R166+R167+R168+S166+S167+S168</f>
        <v>-189893.66708374023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40940</v>
      </c>
      <c r="DQ167" s="56">
        <f ca="1">[5]OPPD_NPPD!$O158+[5]NSP!$O158</f>
        <v>0</v>
      </c>
      <c r="DR167" s="56">
        <f ca="1">[5]COMED!$O158</f>
        <v>0</v>
      </c>
      <c r="DS167" s="56">
        <f t="shared" ca="1" si="217"/>
        <v>0</v>
      </c>
      <c r="DT167" s="56">
        <f ca="1">SUM([5]OPPD_NPPD!$P158:$R158)+SUM([5]NSP!$P158:$R158)</f>
        <v>0</v>
      </c>
      <c r="DU167" s="56">
        <f ca="1">SUM([5]COMED!$P158:$R158)</f>
        <v>0</v>
      </c>
      <c r="DV167" s="56">
        <f t="shared" ca="1" si="218"/>
        <v>0</v>
      </c>
      <c r="DW167" s="57"/>
    </row>
    <row r="168" spans="1:127" ht="16.5" thickBot="1" x14ac:dyDescent="0.3">
      <c r="A168" s="221">
        <f t="shared" si="224"/>
        <v>36678</v>
      </c>
      <c r="B168" s="271">
        <f t="array" aca="1" ref="B168" ca="1">SUM(IF(MONTH($DP$12:$DP$89)&amp;YEAR($DP$12:$DP$89)=MONTH($A168)&amp;$B$141,$DT$12:$DT$89))</f>
        <v>0</v>
      </c>
      <c r="C168" s="271">
        <f t="array" aca="1" ref="C168" ca="1">SUM(IF(MONTH($DP$12:$DP$89)&amp;YEAR($DP$12:$DP$89)=MONTH($A168)&amp;$B$141,$DU$12:$DU$89))</f>
        <v>19393.91748046875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0</v>
      </c>
      <c r="F168" s="271">
        <v>0</v>
      </c>
      <c r="G168" s="271">
        <f t="array" aca="1" ref="G168" ca="1">SUM(IF(MONTH($DP$12:$DP$89)&amp;YEAR($DP$12:$DP$89)=MONTH($A168)&amp;$G$141,$DT$12:$DT$89))</f>
        <v>0</v>
      </c>
      <c r="H168" s="271">
        <f t="array" aca="1" ref="H168" ca="1">SUM(IF(MONTH($DP$12:$DP$89)&amp;YEAR($DP$12:$DP$89)=MONTH($A168)&amp;$G$141,$DU$12:$DU$89))</f>
        <v>0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ca="1" si="225"/>
        <v>0</v>
      </c>
      <c r="L168" s="271">
        <f t="array" aca="1" ref="L168" ca="1">SUM(IF(MONTH($DP$12:$DP$89)&amp;YEAR($DP$12:$DP$89)=MONTH($A168)&amp;$L$141,$DT$12:$DT$89))</f>
        <v>0</v>
      </c>
      <c r="M168" s="271">
        <f t="array" aca="1" ref="M168" ca="1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ca="1" si="226"/>
        <v>0</v>
      </c>
      <c r="Q168" s="271">
        <f t="array" aca="1" ref="Q168" ca="1">SUM(IF(MONTH($DP$12:$DP$176)=MONTH($A168),$DT$12:$DT$176))</f>
        <v>0</v>
      </c>
      <c r="R168" s="271">
        <f t="array" aca="1" ref="R168" ca="1">SUM(IF(MONTH($DP$12:$DP$176)=MONTH($A168),$DU$12:$DU$176))</f>
        <v>-55460.95556640625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0</v>
      </c>
      <c r="W168" s="271">
        <f t="shared" si="227"/>
        <v>0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40969</v>
      </c>
      <c r="DQ168" s="56">
        <f ca="1">[5]OPPD_NPPD!$O159+[5]NSP!$O159</f>
        <v>0</v>
      </c>
      <c r="DR168" s="56">
        <f ca="1">[5]COMED!$O159</f>
        <v>0</v>
      </c>
      <c r="DS168" s="56">
        <f t="shared" ca="1" si="217"/>
        <v>0</v>
      </c>
      <c r="DT168" s="56">
        <f ca="1">SUM([5]OPPD_NPPD!$P159:$R159)+SUM([5]NSP!$P159:$R159)</f>
        <v>0</v>
      </c>
      <c r="DU168" s="56">
        <f ca="1">SUM([5]COMED!$P159:$R159)</f>
        <v>0</v>
      </c>
      <c r="DV168" s="56">
        <f t="shared" ca="1" si="218"/>
        <v>0</v>
      </c>
      <c r="DW168" s="57"/>
    </row>
    <row r="169" spans="1:127" ht="15" x14ac:dyDescent="0.2">
      <c r="A169" s="221">
        <f t="shared" si="224"/>
        <v>36708</v>
      </c>
      <c r="B169" s="271">
        <f t="array" aca="1" ref="B169" ca="1">SUM(IF(MONTH($DP$12:$DP$89)&amp;YEAR($DP$12:$DP$89)=MONTH($A169)&amp;$B$141,$DT$12:$DT$89))</f>
        <v>0</v>
      </c>
      <c r="C169" s="271">
        <f t="array" aca="1" ref="C169" ca="1">SUM(IF(MONTH($DP$12:$DP$89)&amp;YEAR($DP$12:$DP$89)=MONTH($A169)&amp;$B$141,$DU$12:$DU$89))</f>
        <v>18557.593505859375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0</v>
      </c>
      <c r="F169" s="271">
        <v>0</v>
      </c>
      <c r="G169" s="271">
        <f t="array" aca="1" ref="G169" ca="1">SUM(IF(MONTH($DP$12:$DP$89)&amp;YEAR($DP$12:$DP$89)=MONTH($A169)&amp;$G$141,$DT$12:$DT$89))</f>
        <v>0</v>
      </c>
      <c r="H169" s="271">
        <f t="array" aca="1" ref="H169" ca="1">SUM(IF(MONTH($DP$12:$DP$89)&amp;YEAR($DP$12:$DP$89)=MONTH($A169)&amp;$G$141,$DU$12:$DU$89))</f>
        <v>-369.34262084960938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ca="1" si="225"/>
        <v>-369.34262084960938</v>
      </c>
      <c r="L169" s="271">
        <f t="array" aca="1" ref="L169" ca="1">SUM(IF(MONTH($DP$12:$DP$89)&amp;YEAR($DP$12:$DP$89)=MONTH($A169)&amp;$L$141,$DT$12:$DT$89))</f>
        <v>0</v>
      </c>
      <c r="M169" s="271">
        <f t="array" aca="1" ref="M169" ca="1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ca="1" si="226"/>
        <v>0</v>
      </c>
      <c r="Q169" s="271">
        <f t="array" aca="1" ref="Q169" ca="1">SUM(IF(MONTH($DP$12:$DP$176)=MONTH($A169),$DT$12:$DT$176))</f>
        <v>0</v>
      </c>
      <c r="R169" s="271">
        <f t="array" aca="1" ref="R169" ca="1">SUM(IF(MONTH($DP$12:$DP$176)=MONTH($A169),$DU$12:$DU$176))</f>
        <v>-59171.516082763672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0</v>
      </c>
      <c r="W169" s="271">
        <f t="shared" si="227"/>
        <v>0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41000</v>
      </c>
      <c r="DQ169" s="56">
        <f ca="1">[5]OPPD_NPPD!$O160+[5]NSP!$O160</f>
        <v>0</v>
      </c>
      <c r="DR169" s="56">
        <f ca="1">[5]COMED!$O160</f>
        <v>0</v>
      </c>
      <c r="DS169" s="56">
        <f t="shared" ca="1" si="217"/>
        <v>0</v>
      </c>
      <c r="DT169" s="56">
        <f ca="1">SUM([5]OPPD_NPPD!$P160:$R160)+SUM([5]NSP!$P160:$R160)</f>
        <v>0</v>
      </c>
      <c r="DU169" s="56">
        <f ca="1">SUM([5]COMED!$P160:$R160)</f>
        <v>0</v>
      </c>
      <c r="DV169" s="56">
        <f t="shared" ca="1" si="218"/>
        <v>0</v>
      </c>
      <c r="DW169" s="57"/>
    </row>
    <row r="170" spans="1:127" ht="15.75" x14ac:dyDescent="0.25">
      <c r="A170" s="221">
        <f t="shared" si="224"/>
        <v>36739</v>
      </c>
      <c r="B170" s="271">
        <f t="array" aca="1" ref="B170" ca="1">SUM(IF(MONTH($DP$12:$DP$89)&amp;YEAR($DP$12:$DP$89)=MONTH($A170)&amp;$B$141,$DT$12:$DT$89))</f>
        <v>0</v>
      </c>
      <c r="C170" s="271">
        <f t="array" aca="1" ref="C170" ca="1">SUM(IF(MONTH($DP$12:$DP$89)&amp;YEAR($DP$12:$DP$89)=MONTH($A170)&amp;$B$141,$DU$12:$DU$89))</f>
        <v>18881.0615234375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0</v>
      </c>
      <c r="F170" s="271">
        <v>0</v>
      </c>
      <c r="G170" s="271">
        <f t="array" aca="1" ref="G170" ca="1">SUM(IF(MONTH($DP$12:$DP$89)&amp;YEAR($DP$12:$DP$89)=MONTH($A170)&amp;$G$141,$DT$12:$DT$89))</f>
        <v>0</v>
      </c>
      <c r="H170" s="271">
        <f t="array" aca="1" ref="H170" ca="1">SUM(IF(MONTH($DP$12:$DP$89)&amp;YEAR($DP$12:$DP$89)=MONTH($A170)&amp;$G$141,$DU$12:$DU$89))</f>
        <v>0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ca="1" si="225"/>
        <v>0</v>
      </c>
      <c r="L170" s="271">
        <f t="array" aca="1" ref="L170" ca="1">SUM(IF(MONTH($DP$12:$DP$89)&amp;YEAR($DP$12:$DP$89)=MONTH($A170)&amp;$L$141,$DT$12:$DT$89))</f>
        <v>0</v>
      </c>
      <c r="M170" s="271">
        <f t="array" aca="1" ref="M170" ca="1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ca="1" si="226"/>
        <v>0</v>
      </c>
      <c r="Q170" s="271">
        <f t="array" aca="1" ref="Q170" ca="1">SUM(IF(MONTH($DP$12:$DP$176)=MONTH($A170),$DT$12:$DT$176))</f>
        <v>0</v>
      </c>
      <c r="R170" s="271">
        <f t="array" aca="1" ref="R170" ca="1">SUM(IF(MONTH($DP$12:$DP$176)=MONTH($A170),$DU$12:$DU$176))</f>
        <v>-55696.725708007813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0</v>
      </c>
      <c r="W170" s="271">
        <f t="shared" si="227"/>
        <v>0</v>
      </c>
      <c r="X170" s="221">
        <v>36739</v>
      </c>
      <c r="Y170" s="104"/>
      <c r="Z170" s="246" t="s">
        <v>97</v>
      </c>
      <c r="AA170" s="293">
        <f>SUM(W169:W171)</f>
        <v>-7965.21484375</v>
      </c>
      <c r="AB170" s="293">
        <f ca="1">R169+R170+R171+S169+S170+S171</f>
        <v>-205414.90313720703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41030</v>
      </c>
      <c r="DQ170" s="56">
        <f ca="1">[5]OPPD_NPPD!$O161+[5]NSP!$O161</f>
        <v>0</v>
      </c>
      <c r="DR170" s="56">
        <f ca="1">[5]COMED!$O161</f>
        <v>0</v>
      </c>
      <c r="DS170" s="56">
        <f t="shared" ca="1" si="217"/>
        <v>0</v>
      </c>
      <c r="DT170" s="56">
        <f ca="1">SUM([5]OPPD_NPPD!$P161:$R161)+SUM([5]NSP!$P161:$R161)</f>
        <v>0</v>
      </c>
      <c r="DU170" s="56">
        <f ca="1">SUM([5]COMED!$P161:$R161)</f>
        <v>0</v>
      </c>
      <c r="DV170" s="56">
        <f t="shared" ca="1" si="218"/>
        <v>0</v>
      </c>
      <c r="DW170" s="57"/>
    </row>
    <row r="171" spans="1:127" ht="16.5" thickBot="1" x14ac:dyDescent="0.3">
      <c r="A171" s="221">
        <f t="shared" si="224"/>
        <v>36770</v>
      </c>
      <c r="B171" s="271">
        <f t="array" aca="1" ref="B171" ca="1">SUM(IF(MONTH($DP$12:$DP$89)&amp;YEAR($DP$12:$DP$89)=MONTH($A171)&amp;$B$141,$DT$12:$DT$89))</f>
        <v>0</v>
      </c>
      <c r="C171" s="271">
        <f t="array" aca="1" ref="C171" ca="1">SUM(IF(MONTH($DP$12:$DP$89)&amp;YEAR($DP$12:$DP$89)=MONTH($A171)&amp;$B$141,$DU$12:$DU$89))</f>
        <v>18817.794921875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0</v>
      </c>
      <c r="F171" s="271">
        <v>0</v>
      </c>
      <c r="G171" s="271">
        <f t="array" aca="1" ref="G171" ca="1">SUM(IF(MONTH($DP$12:$DP$89)&amp;YEAR($DP$12:$DP$89)=MONTH($A171)&amp;$G$141,$DT$12:$DT$89))</f>
        <v>0</v>
      </c>
      <c r="H171" s="271">
        <f t="array" aca="1" ref="H171" ca="1">SUM(IF(MONTH($DP$12:$DP$89)&amp;YEAR($DP$12:$DP$89)=MONTH($A171)&amp;$G$141,$DU$12:$DU$89))</f>
        <v>-366.14706420898438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ca="1" si="225"/>
        <v>-366.14706420898438</v>
      </c>
      <c r="L171" s="271">
        <f t="array" aca="1" ref="L171" ca="1">SUM(IF(MONTH($DP$12:$DP$89)&amp;YEAR($DP$12:$DP$89)=MONTH($A171)&amp;$L$141,$DT$12:$DT$89))</f>
        <v>0</v>
      </c>
      <c r="M171" s="271">
        <f t="array" aca="1" ref="M171" ca="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ca="1" si="226"/>
        <v>0</v>
      </c>
      <c r="Q171" s="271">
        <f t="array" aca="1" ref="Q171" ca="1">SUM(IF(MONTH($DP$12:$DP$176)=MONTH($A171),$DT$12:$DT$176))</f>
        <v>0</v>
      </c>
      <c r="R171" s="271">
        <f t="array" aca="1" ref="R171" ca="1">SUM(IF(MONTH($DP$12:$DP$176)=MONTH($A171),$DU$12:$DU$176))</f>
        <v>-90546.661346435532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-7965.21484375</v>
      </c>
      <c r="W171" s="271">
        <f t="shared" si="227"/>
        <v>-7965.21484375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41061</v>
      </c>
      <c r="DQ171" s="56">
        <f ca="1">[5]OPPD_NPPD!$O162+[5]NSP!$O162</f>
        <v>0</v>
      </c>
      <c r="DR171" s="56">
        <f ca="1">[5]COMED!$O162</f>
        <v>0</v>
      </c>
      <c r="DS171" s="56">
        <f t="shared" ca="1" si="217"/>
        <v>0</v>
      </c>
      <c r="DT171" s="56">
        <f ca="1">SUM([5]OPPD_NPPD!$P162:$R162)+SUM([5]NSP!$P162:$R162)</f>
        <v>0</v>
      </c>
      <c r="DU171" s="56">
        <f ca="1">SUM([5]COMED!$P162:$R162)</f>
        <v>0</v>
      </c>
      <c r="DV171" s="56">
        <f t="shared" ca="1" si="218"/>
        <v>0</v>
      </c>
      <c r="DW171" s="57"/>
    </row>
    <row r="172" spans="1:127" ht="15" x14ac:dyDescent="0.2">
      <c r="A172" s="221">
        <f t="shared" si="224"/>
        <v>36800</v>
      </c>
      <c r="B172" s="271">
        <f t="array" aca="1" ref="B172" ca="1">SUM(IF(MONTH($DP$12:$DP$89)&amp;YEAR($DP$12:$DP$89)=MONTH($A172)&amp;$B$141,$DT$12:$DT$89))</f>
        <v>0</v>
      </c>
      <c r="C172" s="271">
        <f t="array" aca="1" ref="C172" ca="1">SUM(IF(MONTH($DP$12:$DP$89)&amp;YEAR($DP$12:$DP$89)=MONTH($A172)&amp;$B$141,$DU$12:$DU$89))</f>
        <v>18033.3369140625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0</v>
      </c>
      <c r="F172" s="271">
        <v>0</v>
      </c>
      <c r="G172" s="271">
        <f t="array" aca="1" ref="G172" ca="1">SUM(IF(MONTH($DP$12:$DP$89)&amp;YEAR($DP$12:$DP$89)=MONTH($A172)&amp;$G$141,$DT$12:$DT$89))</f>
        <v>0</v>
      </c>
      <c r="H172" s="271">
        <f t="array" aca="1" ref="H172" ca="1">SUM(IF(MONTH($DP$12:$DP$89)&amp;YEAR($DP$12:$DP$89)=MONTH($A172)&amp;$G$141,$DU$12:$DU$89))</f>
        <v>0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ca="1" si="225"/>
        <v>0</v>
      </c>
      <c r="L172" s="271">
        <f t="array" aca="1" ref="L172" ca="1">SUM(IF(MONTH($DP$12:$DP$89)&amp;YEAR($DP$12:$DP$89)=MONTH($A172)&amp;$L$141,$DT$12:$DT$89))</f>
        <v>0</v>
      </c>
      <c r="M172" s="271">
        <f t="array" aca="1" ref="M172" ca="1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ca="1" si="226"/>
        <v>0</v>
      </c>
      <c r="Q172" s="271">
        <f t="array" aca="1" ref="Q172" ca="1">SUM(IF(MONTH($DP$12:$DP$176)=MONTH($A172),$DT$12:$DT$176))</f>
        <v>0</v>
      </c>
      <c r="R172" s="271">
        <f t="array" aca="1" ref="R172" ca="1">SUM(IF(MONTH($DP$12:$DP$176)=MONTH($A172),$DU$12:$DU$176))</f>
        <v>-94501.71923828125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0</v>
      </c>
      <c r="W172" s="271">
        <f t="shared" si="227"/>
        <v>0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41091</v>
      </c>
      <c r="DQ172" s="56">
        <f ca="1">[5]OPPD_NPPD!$O163+[5]NSP!$O163</f>
        <v>0</v>
      </c>
      <c r="DR172" s="56">
        <f ca="1">[5]COMED!$O163</f>
        <v>0</v>
      </c>
      <c r="DS172" s="56">
        <f t="shared" ca="1" si="217"/>
        <v>0</v>
      </c>
      <c r="DT172" s="56">
        <f ca="1">SUM([5]OPPD_NPPD!$P163:$R163)+SUM([5]NSP!$P163:$R163)</f>
        <v>0</v>
      </c>
      <c r="DU172" s="56">
        <f ca="1">SUM([5]COMED!$P163:$R163)</f>
        <v>0</v>
      </c>
      <c r="DV172" s="56">
        <f t="shared" ca="1" si="218"/>
        <v>0</v>
      </c>
      <c r="DW172" s="57"/>
    </row>
    <row r="173" spans="1:127" ht="15.75" x14ac:dyDescent="0.25">
      <c r="A173" s="221">
        <f t="shared" si="224"/>
        <v>36831</v>
      </c>
      <c r="B173" s="271">
        <f t="array" aca="1" ref="B173" ca="1">SUM(IF(MONTH($DP$12:$DP$89)&amp;YEAR($DP$12:$DP$89)=MONTH($A173)&amp;$B$141,$DT$12:$DT$89))</f>
        <v>0</v>
      </c>
      <c r="C173" s="271">
        <f t="array" aca="1" ref="C173" ca="1">SUM(IF(MONTH($DP$12:$DP$89)&amp;YEAR($DP$12:$DP$89)=MONTH($A173)&amp;$B$141,$DU$12:$DU$89))</f>
        <v>18684.46728515625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0</v>
      </c>
      <c r="F173" s="271">
        <v>0</v>
      </c>
      <c r="G173" s="271">
        <f t="array" aca="1" ref="G173" ca="1">SUM(IF(MONTH($DP$12:$DP$89)&amp;YEAR($DP$12:$DP$89)=MONTH($A173)&amp;$G$141,$DT$12:$DT$89))</f>
        <v>0</v>
      </c>
      <c r="H173" s="271">
        <f t="array" aca="1" ref="H173" ca="1">SUM(IF(MONTH($DP$12:$DP$89)&amp;YEAR($DP$12:$DP$89)=MONTH($A173)&amp;$G$141,$DU$12:$DU$89))</f>
        <v>-362.89230346679688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ca="1" si="225"/>
        <v>-362.89230346679688</v>
      </c>
      <c r="L173" s="271">
        <f t="array" aca="1" ref="L173" ca="1">SUM(IF(MONTH($DP$12:$DP$89)&amp;YEAR($DP$12:$DP$89)=MONTH($A173)&amp;$L$141,$DT$12:$DT$89))</f>
        <v>0</v>
      </c>
      <c r="M173" s="271">
        <f t="array" aca="1" ref="M173" ca="1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ca="1" si="226"/>
        <v>0</v>
      </c>
      <c r="Q173" s="271">
        <f t="array" aca="1" ref="Q173" ca="1">SUM(IF(MONTH($DP$12:$DP$176)=MONTH($A173),$DT$12:$DT$176))</f>
        <v>0</v>
      </c>
      <c r="R173" s="271">
        <f t="array" aca="1" ref="R173" ca="1">SUM(IF(MONTH($DP$12:$DP$176)=MONTH($A173),$DU$12:$DU$176))</f>
        <v>-100055.10238647461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0</v>
      </c>
      <c r="W173" s="271">
        <f t="shared" si="227"/>
        <v>0</v>
      </c>
      <c r="X173" s="221">
        <v>36831</v>
      </c>
      <c r="Y173" s="104"/>
      <c r="Z173" s="246" t="s">
        <v>98</v>
      </c>
      <c r="AA173" s="293">
        <f>SUM(W172:W174)</f>
        <v>0</v>
      </c>
      <c r="AB173" s="293">
        <f ca="1">R172+R173+R174+S172+S173+S174</f>
        <v>-300153.6501159668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41122</v>
      </c>
      <c r="DQ173" s="56">
        <f ca="1">[5]OPPD_NPPD!$O164+[5]NSP!$O164</f>
        <v>0</v>
      </c>
      <c r="DR173" s="56">
        <f ca="1">[5]COMED!$O164</f>
        <v>0</v>
      </c>
      <c r="DS173" s="56">
        <f t="shared" ca="1" si="217"/>
        <v>0</v>
      </c>
      <c r="DT173" s="56">
        <f ca="1">SUM([5]OPPD_NPPD!$P164:$R164)+SUM([5]NSP!$P164:$R164)</f>
        <v>0</v>
      </c>
      <c r="DU173" s="56">
        <f ca="1">SUM([5]COMED!$P164:$R164)</f>
        <v>0</v>
      </c>
      <c r="DV173" s="56">
        <f t="shared" ca="1" si="218"/>
        <v>0</v>
      </c>
      <c r="DW173" s="57"/>
    </row>
    <row r="174" spans="1:127" ht="15.75" thickBot="1" x14ac:dyDescent="0.25">
      <c r="A174" s="221">
        <f t="shared" si="224"/>
        <v>36861</v>
      </c>
      <c r="B174" s="271">
        <f t="array" aca="1" ref="B174" ca="1">SUM(IF(MONTH($DP$12:$DP$89)&amp;YEAR($DP$12:$DP$89)=MONTH($A174)&amp;$B$141,$DT$12:$DT$89))</f>
        <v>0</v>
      </c>
      <c r="C174" s="271">
        <f t="array" aca="1" ref="C174" ca="1">SUM(IF(MONTH($DP$12:$DP$89)&amp;YEAR($DP$12:$DP$89)=MONTH($A174)&amp;$B$141,$DU$12:$DU$89))</f>
        <v>18993.492919921875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0</v>
      </c>
      <c r="F174" s="271">
        <v>0</v>
      </c>
      <c r="G174" s="271">
        <f t="array" aca="1" ref="G174" ca="1">SUM(IF(MONTH($DP$12:$DP$89)&amp;YEAR($DP$12:$DP$89)=MONTH($A174)&amp;$G$141,$DT$12:$DT$89))</f>
        <v>0</v>
      </c>
      <c r="H174" s="271">
        <f t="array" aca="1" ref="H174" ca="1">SUM(IF(MONTH($DP$12:$DP$89)&amp;YEAR($DP$12:$DP$89)=MONTH($A174)&amp;$G$141,$DU$12:$DU$89))</f>
        <v>-361.2174072265625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ca="1" si="225"/>
        <v>-361.2174072265625</v>
      </c>
      <c r="L174" s="271">
        <f t="array" aca="1" ref="L174" ca="1">SUM(IF(MONTH($DP$12:$DP$89)&amp;YEAR($DP$12:$DP$89)=MONTH($A174)&amp;$L$141,$DT$12:$DT$89))</f>
        <v>0</v>
      </c>
      <c r="M174" s="271">
        <f t="array" aca="1" ref="M174" ca="1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ca="1" si="226"/>
        <v>0</v>
      </c>
      <c r="Q174" s="271">
        <f t="array" aca="1" ref="Q174" ca="1">SUM(IF(MONTH($DP$12:$DP$176)=MONTH($A174),$DT$12:$DT$176))</f>
        <v>0</v>
      </c>
      <c r="R174" s="271">
        <f t="array" aca="1" ref="R174" ca="1">SUM(IF(MONTH($DP$12:$DP$176)=MONTH($A174),$DU$12:$DU$176))</f>
        <v>-105596.82849121094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0</v>
      </c>
      <c r="W174" s="271">
        <f t="shared" si="227"/>
        <v>0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41153</v>
      </c>
      <c r="DQ174" s="56">
        <f ca="1">[5]OPPD_NPPD!$O165+[5]NSP!$O165</f>
        <v>0</v>
      </c>
      <c r="DR174" s="56">
        <f ca="1">[5]COMED!$O165</f>
        <v>0</v>
      </c>
      <c r="DS174" s="56">
        <f t="shared" ca="1" si="217"/>
        <v>0</v>
      </c>
      <c r="DT174" s="56">
        <f ca="1">SUM([5]OPPD_NPPD!$P165:$R165)+SUM([5]NSP!$P165:$R165)</f>
        <v>0</v>
      </c>
      <c r="DU174" s="56">
        <f ca="1">SUM([5]COMED!$P165:$R165)</f>
        <v>0</v>
      </c>
      <c r="DV174" s="56">
        <f t="shared" ca="1" si="218"/>
        <v>0</v>
      </c>
      <c r="DW174" s="57"/>
    </row>
    <row r="175" spans="1:127" ht="16.5" thickBot="1" x14ac:dyDescent="0.3">
      <c r="A175" s="222" t="s">
        <v>93</v>
      </c>
      <c r="B175" s="294">
        <f ca="1">SUM(B163:B174)</f>
        <v>0</v>
      </c>
      <c r="C175" s="294">
        <f ca="1">SUM(C163:C174)</f>
        <v>224072.49731445313</v>
      </c>
      <c r="D175" s="294">
        <v>0</v>
      </c>
      <c r="E175" s="294">
        <f>SUM(E163:E174)</f>
        <v>0</v>
      </c>
      <c r="F175" s="294">
        <v>0</v>
      </c>
      <c r="G175" s="294">
        <f ca="1">SUM(G163:G174)</f>
        <v>0</v>
      </c>
      <c r="H175" s="294">
        <f ca="1">SUM(H163:H174)</f>
        <v>-2210.4597778320313</v>
      </c>
      <c r="I175" s="294">
        <v>0</v>
      </c>
      <c r="J175" s="294">
        <f>SUM(J163:J174)</f>
        <v>0</v>
      </c>
      <c r="K175" s="294">
        <f t="shared" ca="1" si="225"/>
        <v>-2210.4597778320313</v>
      </c>
      <c r="L175" s="294">
        <f ca="1">SUM(L163:L174)</f>
        <v>0</v>
      </c>
      <c r="M175" s="294">
        <f ca="1">SUM(M163:M174)</f>
        <v>0</v>
      </c>
      <c r="N175" s="294">
        <v>0</v>
      </c>
      <c r="O175" s="294">
        <f>SUM(O163:O174)</f>
        <v>0</v>
      </c>
      <c r="P175" s="294">
        <f t="shared" ca="1" si="226"/>
        <v>0</v>
      </c>
      <c r="Q175" s="294">
        <f ca="1">SUM(Q163:Q174)</f>
        <v>0</v>
      </c>
      <c r="R175" s="294">
        <f ca="1">SUM(R163:R174)</f>
        <v>-905162.28594970703</v>
      </c>
      <c r="S175" s="294">
        <v>0</v>
      </c>
      <c r="T175" s="295">
        <f>SUM(T163:T174)</f>
        <v>0</v>
      </c>
      <c r="U175" s="295"/>
      <c r="V175" s="294">
        <f>SUM(V163:V174)</f>
        <v>-7965.21484375</v>
      </c>
      <c r="W175" s="296">
        <f ca="1">SUM(Q175:V175)</f>
        <v>-913127.50079345703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41183</v>
      </c>
      <c r="DQ175" s="56">
        <f ca="1">[5]OPPD_NPPD!$O166+[5]NSP!$O166</f>
        <v>0</v>
      </c>
      <c r="DR175" s="56">
        <f ca="1">[5]COMED!$O166</f>
        <v>0</v>
      </c>
      <c r="DS175" s="56">
        <f t="shared" ca="1" si="217"/>
        <v>0</v>
      </c>
      <c r="DT175" s="56">
        <f ca="1">SUM([5]OPPD_NPPD!$P166:$R166)+SUM([5]NSP!$P166:$R166)</f>
        <v>0</v>
      </c>
      <c r="DU175" s="56">
        <f ca="1">SUM([5]COMED!$P166:$R166)</f>
        <v>0</v>
      </c>
      <c r="DV175" s="56">
        <f t="shared" ca="1" si="218"/>
        <v>0</v>
      </c>
      <c r="DW175" s="57"/>
    </row>
    <row r="176" spans="1:127" x14ac:dyDescent="0.2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41214</v>
      </c>
      <c r="DQ176" s="56">
        <f ca="1">[5]OPPD_NPPD!$O167+[5]NSP!$O167</f>
        <v>0</v>
      </c>
      <c r="DR176" s="56">
        <f ca="1">[5]COMED!$O167</f>
        <v>0</v>
      </c>
      <c r="DS176" s="56">
        <f t="shared" ca="1" si="217"/>
        <v>0</v>
      </c>
      <c r="DT176" s="56">
        <f ca="1">SUM([5]OPPD_NPPD!$P167:$R167)+SUM([5]NSP!$P167:$R167)</f>
        <v>0</v>
      </c>
      <c r="DU176" s="56">
        <f ca="1">SUM([5]COMED!$P167:$R167)</f>
        <v>0</v>
      </c>
      <c r="DV176" s="56">
        <f t="shared" ca="1" si="218"/>
        <v>0</v>
      </c>
      <c r="DW176" s="57"/>
    </row>
    <row r="177" spans="1:126" x14ac:dyDescent="0.2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 ca="1">[5]OPPD_NPPD!$O168+[5]NSP!$O168</f>
        <v>0</v>
      </c>
      <c r="DR177" s="56">
        <f ca="1">[5]COMED!$O168</f>
        <v>0</v>
      </c>
      <c r="DS177" s="56">
        <f t="shared" ca="1" si="217"/>
        <v>0</v>
      </c>
      <c r="DT177" s="56">
        <f ca="1">SUM([5]OPPD_NPPD!$P168:$R168)+SUM([5]NSP!$P168:$R168)</f>
        <v>0</v>
      </c>
      <c r="DU177" s="56">
        <f ca="1">SUM([5]COMED!$P168:$R168)</f>
        <v>0</v>
      </c>
      <c r="DV177" s="56">
        <f t="shared" ca="1" si="218"/>
        <v>0</v>
      </c>
    </row>
    <row r="178" spans="1:126" x14ac:dyDescent="0.2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 ca="1">[5]OPPD_NPPD!$O169+[5]NSP!$O169</f>
        <v>0</v>
      </c>
      <c r="DR178" s="56">
        <f ca="1">[5]COMED!$O169</f>
        <v>0</v>
      </c>
      <c r="DS178" s="56">
        <f t="shared" ca="1" si="217"/>
        <v>0</v>
      </c>
      <c r="DT178" s="56">
        <f ca="1">SUM([5]OPPD_NPPD!$P169:$R169)+SUM([5]NSP!$P169:$R169)</f>
        <v>0</v>
      </c>
      <c r="DU178" s="56">
        <f ca="1">SUM([5]COMED!$P169:$R169)</f>
        <v>0</v>
      </c>
      <c r="DV178" s="56">
        <f t="shared" ca="1" si="218"/>
        <v>0</v>
      </c>
    </row>
    <row r="179" spans="1:126" ht="20.25" x14ac:dyDescent="0.3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 ca="1">[5]OPPD_NPPD!$O170+[5]NSP!$O170</f>
        <v>0</v>
      </c>
      <c r="DR179" s="56">
        <f ca="1">[5]COMED!$O170</f>
        <v>0</v>
      </c>
      <c r="DS179" s="56">
        <f t="shared" ca="1" si="217"/>
        <v>0</v>
      </c>
      <c r="DT179" s="56">
        <f ca="1">SUM([5]OPPD_NPPD!$P170:$R170)+SUM([5]NSP!$P170:$R170)</f>
        <v>0</v>
      </c>
      <c r="DU179" s="56">
        <f ca="1">SUM([5]COMED!$P170:$R170)</f>
        <v>0</v>
      </c>
      <c r="DV179" s="56">
        <f t="shared" ca="1" si="218"/>
        <v>0</v>
      </c>
    </row>
    <row r="180" spans="1:126" ht="13.5" thickBo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 ca="1">[5]OPPD_NPPD!$O171+[5]NSP!$O171</f>
        <v>0</v>
      </c>
      <c r="DR180" s="56">
        <f ca="1">[5]COMED!$O171</f>
        <v>0</v>
      </c>
      <c r="DS180" s="56">
        <f t="shared" ca="1" si="217"/>
        <v>0</v>
      </c>
      <c r="DT180" s="56">
        <f ca="1">SUM([5]OPPD_NPPD!$P171:$R171)+SUM([5]NSP!$P171:$R171)</f>
        <v>0</v>
      </c>
      <c r="DU180" s="56">
        <f ca="1">SUM([5]COMED!$P171:$R171)</f>
        <v>0</v>
      </c>
      <c r="DV180" s="56">
        <f t="shared" ca="1" si="218"/>
        <v>0</v>
      </c>
    </row>
    <row r="181" spans="1:126" ht="20.25" x14ac:dyDescent="0.3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 ca="1">[5]OPPD_NPPD!$O172+[5]NSP!$O172</f>
        <v>0</v>
      </c>
      <c r="DR181" s="56">
        <f ca="1">[5]COMED!$O172</f>
        <v>0</v>
      </c>
      <c r="DS181" s="56">
        <f t="shared" ca="1" si="217"/>
        <v>0</v>
      </c>
      <c r="DT181" s="56">
        <f ca="1">SUM([5]OPPD_NPPD!$P172:$R172)+SUM([5]NSP!$P172:$R172)</f>
        <v>0</v>
      </c>
      <c r="DU181" s="56">
        <f ca="1">SUM([5]COMED!$P172:$R172)</f>
        <v>0</v>
      </c>
      <c r="DV181" s="56">
        <f t="shared" ca="1" si="218"/>
        <v>0</v>
      </c>
    </row>
    <row r="182" spans="1:126" ht="13.5" thickBot="1" x14ac:dyDescent="0.25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 ca="1">[5]OPPD_NPPD!$O173+[5]NSP!$O173</f>
        <v>0</v>
      </c>
      <c r="DR182" s="56">
        <f ca="1">[5]COMED!$O173</f>
        <v>0</v>
      </c>
      <c r="DS182" s="56">
        <f t="shared" ca="1" si="217"/>
        <v>0</v>
      </c>
      <c r="DT182" s="56">
        <f ca="1">SUM([5]OPPD_NPPD!$P173:$R173)+SUM([5]NSP!$P173:$R173)</f>
        <v>0</v>
      </c>
      <c r="DU182" s="56">
        <f ca="1">SUM([5]COMED!$P173:$R173)</f>
        <v>0</v>
      </c>
      <c r="DV182" s="56">
        <f t="shared" ca="1" si="218"/>
        <v>0</v>
      </c>
    </row>
    <row r="183" spans="1:126" ht="15" x14ac:dyDescent="0.2">
      <c r="A183" s="220">
        <f t="shared" ref="A183:A194" si="228">A163</f>
        <v>35796</v>
      </c>
      <c r="B183" s="269">
        <f t="shared" ref="B183:R183" ca="1" si="229">B143+B163</f>
        <v>0</v>
      </c>
      <c r="C183" s="269">
        <f t="shared" ca="1" si="229"/>
        <v>-403723.7841796875</v>
      </c>
      <c r="D183" s="269" t="e">
        <f t="shared" si="229"/>
        <v>#REF!</v>
      </c>
      <c r="E183" s="269">
        <f t="shared" si="229"/>
        <v>190653.49609375</v>
      </c>
      <c r="F183" s="269" t="e">
        <f t="shared" ca="1" si="229"/>
        <v>#REF!</v>
      </c>
      <c r="G183" s="269">
        <f t="shared" ca="1" si="229"/>
        <v>0</v>
      </c>
      <c r="H183" s="269">
        <f t="shared" ca="1" si="229"/>
        <v>-250114.87298583984</v>
      </c>
      <c r="I183" s="269">
        <f t="shared" si="229"/>
        <v>0</v>
      </c>
      <c r="J183" s="269">
        <f t="shared" si="229"/>
        <v>27.46875</v>
      </c>
      <c r="K183" s="269">
        <f t="shared" ca="1" si="229"/>
        <v>-250087.40423583984</v>
      </c>
      <c r="L183" s="269">
        <f t="shared" ca="1" si="229"/>
        <v>0</v>
      </c>
      <c r="M183" s="269">
        <f t="shared" ca="1" si="229"/>
        <v>0</v>
      </c>
      <c r="N183" s="269">
        <f t="shared" si="229"/>
        <v>0</v>
      </c>
      <c r="O183" s="269">
        <f t="shared" si="229"/>
        <v>0</v>
      </c>
      <c r="P183" s="269">
        <f t="shared" ca="1" si="229"/>
        <v>0</v>
      </c>
      <c r="Q183" s="269">
        <f t="shared" ca="1" si="229"/>
        <v>0</v>
      </c>
      <c r="R183" s="269">
        <f t="shared" ca="1" si="229"/>
        <v>-986157.25189208984</v>
      </c>
      <c r="S183" s="269">
        <v>0</v>
      </c>
      <c r="T183" s="270">
        <f t="shared" ref="T183:W195" si="230">T143+T163</f>
        <v>0</v>
      </c>
      <c r="U183" s="270">
        <f t="shared" si="230"/>
        <v>0</v>
      </c>
      <c r="V183" s="269">
        <f t="shared" si="230"/>
        <v>190680.96484375</v>
      </c>
      <c r="W183" s="269">
        <f t="shared" ca="1" si="230"/>
        <v>-719696.685546875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 ca="1">[5]OPPD_NPPD!$O174+[5]NSP!$O174</f>
        <v>0</v>
      </c>
      <c r="DR183" s="56">
        <f ca="1">[5]COMED!$O174</f>
        <v>0</v>
      </c>
      <c r="DS183" s="56">
        <f t="shared" ca="1" si="217"/>
        <v>0</v>
      </c>
      <c r="DT183" s="56">
        <f ca="1">SUM([5]OPPD_NPPD!$P174:$R174)+SUM([5]NSP!$P174:$R174)</f>
        <v>0</v>
      </c>
      <c r="DU183" s="56">
        <f ca="1">SUM([5]COMED!$P174:$R174)</f>
        <v>0</v>
      </c>
      <c r="DV183" s="56">
        <f t="shared" ca="1" si="218"/>
        <v>0</v>
      </c>
    </row>
    <row r="184" spans="1:126" ht="15.75" x14ac:dyDescent="0.25">
      <c r="A184" s="221">
        <v>35827</v>
      </c>
      <c r="B184" s="271">
        <f t="shared" ref="B184:Q195" ca="1" si="231">B144+B164</f>
        <v>0</v>
      </c>
      <c r="C184" s="271">
        <f t="shared" ca="1" si="231"/>
        <v>-365897.64404296875</v>
      </c>
      <c r="D184" s="271" t="e">
        <f t="shared" si="231"/>
        <v>#REF!</v>
      </c>
      <c r="E184" s="271">
        <f t="shared" si="231"/>
        <v>172858.884765625</v>
      </c>
      <c r="F184" s="271" t="e">
        <f t="shared" ca="1" si="231"/>
        <v>#REF!</v>
      </c>
      <c r="G184" s="271">
        <f t="shared" ca="1" si="231"/>
        <v>0</v>
      </c>
      <c r="H184" s="271">
        <f t="shared" ca="1" si="231"/>
        <v>-226219.296875</v>
      </c>
      <c r="I184" s="271">
        <f t="shared" si="231"/>
        <v>0</v>
      </c>
      <c r="J184" s="271">
        <f t="shared" si="231"/>
        <v>25.263671875</v>
      </c>
      <c r="K184" s="271">
        <f t="shared" ca="1" si="231"/>
        <v>-226194.033203125</v>
      </c>
      <c r="L184" s="271">
        <f t="shared" ca="1" si="231"/>
        <v>0</v>
      </c>
      <c r="M184" s="271">
        <f t="shared" ca="1" si="231"/>
        <v>0</v>
      </c>
      <c r="N184" s="271">
        <f t="shared" si="231"/>
        <v>0</v>
      </c>
      <c r="O184" s="271">
        <f t="shared" si="231"/>
        <v>0</v>
      </c>
      <c r="P184" s="271">
        <f t="shared" ca="1" si="231"/>
        <v>0</v>
      </c>
      <c r="Q184" s="271">
        <f t="shared" ca="1" si="231"/>
        <v>0</v>
      </c>
      <c r="R184" s="271">
        <f t="shared" ref="R184:R195" ca="1" si="232">R144+R164</f>
        <v>-896978.82543945313</v>
      </c>
      <c r="S184" s="271">
        <v>0</v>
      </c>
      <c r="T184" s="270">
        <f t="shared" si="230"/>
        <v>0</v>
      </c>
      <c r="U184" s="270">
        <f t="shared" si="230"/>
        <v>0</v>
      </c>
      <c r="V184" s="271">
        <f t="shared" si="230"/>
        <v>172884.1484375</v>
      </c>
      <c r="W184" s="271">
        <f t="shared" ca="1" si="230"/>
        <v>-660499.5615234375</v>
      </c>
      <c r="X184" s="221">
        <v>35827</v>
      </c>
      <c r="Y184" s="104"/>
      <c r="Z184" s="246" t="s">
        <v>95</v>
      </c>
      <c r="AA184" s="293">
        <f ca="1">SUM(W183:W185)</f>
        <v>-1793415.853515625</v>
      </c>
      <c r="AB184" s="293">
        <f ca="1">R183+R184+R185+S183+S184+S185</f>
        <v>-2449025.7130737305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 ca="1">[5]OPPD_NPPD!$O175+[5]NSP!$O175</f>
        <v>0</v>
      </c>
      <c r="DR184" s="56">
        <f ca="1">[5]COMED!$O175</f>
        <v>0</v>
      </c>
      <c r="DS184" s="56">
        <f t="shared" ca="1" si="217"/>
        <v>0</v>
      </c>
      <c r="DT184" s="56">
        <f ca="1">SUM([5]OPPD_NPPD!$P175:$R175)+SUM([5]NSP!$P175:$R175)</f>
        <v>0</v>
      </c>
      <c r="DU184" s="56">
        <f ca="1">SUM([5]COMED!$P175:$R175)</f>
        <v>0</v>
      </c>
      <c r="DV184" s="56">
        <f t="shared" ca="1" si="218"/>
        <v>0</v>
      </c>
    </row>
    <row r="185" spans="1:126" ht="16.5" thickBot="1" x14ac:dyDescent="0.3">
      <c r="A185" s="221">
        <f t="shared" si="228"/>
        <v>36586</v>
      </c>
      <c r="B185" s="271">
        <f t="shared" ca="1" si="231"/>
        <v>0</v>
      </c>
      <c r="C185" s="271">
        <f t="shared" ca="1" si="231"/>
        <v>-35932.1728515625</v>
      </c>
      <c r="D185" s="271" t="e">
        <f t="shared" si="231"/>
        <v>#REF!</v>
      </c>
      <c r="E185" s="271">
        <f t="shared" si="231"/>
        <v>82317.91796875</v>
      </c>
      <c r="F185" s="271" t="e">
        <f t="shared" ca="1" si="231"/>
        <v>#REF!</v>
      </c>
      <c r="G185" s="271">
        <f t="shared" ca="1" si="231"/>
        <v>0</v>
      </c>
      <c r="H185" s="271">
        <f t="shared" ca="1" si="231"/>
        <v>-189259.765625</v>
      </c>
      <c r="I185" s="271">
        <f t="shared" si="231"/>
        <v>0</v>
      </c>
      <c r="J185" s="271">
        <f t="shared" si="231"/>
        <v>26.7626953125</v>
      </c>
      <c r="K185" s="271">
        <f t="shared" ca="1" si="231"/>
        <v>-189233.0029296875</v>
      </c>
      <c r="L185" s="271">
        <f t="shared" ca="1" si="231"/>
        <v>0</v>
      </c>
      <c r="M185" s="271">
        <f t="shared" ca="1" si="231"/>
        <v>0</v>
      </c>
      <c r="N185" s="271">
        <f t="shared" si="231"/>
        <v>0</v>
      </c>
      <c r="O185" s="271">
        <f t="shared" si="231"/>
        <v>0</v>
      </c>
      <c r="P185" s="271">
        <f t="shared" ca="1" si="231"/>
        <v>0</v>
      </c>
      <c r="Q185" s="271">
        <f t="shared" ca="1" si="231"/>
        <v>0</v>
      </c>
      <c r="R185" s="271">
        <f t="shared" ca="1" si="232"/>
        <v>-565889.6357421875</v>
      </c>
      <c r="S185" s="271">
        <v>0</v>
      </c>
      <c r="T185" s="270">
        <f t="shared" si="230"/>
        <v>0</v>
      </c>
      <c r="U185" s="270">
        <f t="shared" si="230"/>
        <v>0</v>
      </c>
      <c r="V185" s="271">
        <f t="shared" si="230"/>
        <v>82344.6806640625</v>
      </c>
      <c r="W185" s="271">
        <f t="shared" ca="1" si="230"/>
        <v>-413219.6064453125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 ca="1">[5]OPPD_NPPD!$O176+[5]NSP!$O176</f>
        <v>0</v>
      </c>
      <c r="DR185" s="56">
        <f ca="1">[5]COMED!$O176</f>
        <v>0</v>
      </c>
      <c r="DS185" s="56">
        <f t="shared" ca="1" si="217"/>
        <v>0</v>
      </c>
      <c r="DT185" s="56">
        <f ca="1">SUM([5]OPPD_NPPD!$P176:$R176)+SUM([5]NSP!$P176:$R176)</f>
        <v>0</v>
      </c>
      <c r="DU185" s="56">
        <f ca="1">SUM([5]COMED!$P176:$R176)</f>
        <v>0</v>
      </c>
      <c r="DV185" s="56">
        <f t="shared" ca="1" si="218"/>
        <v>0</v>
      </c>
    </row>
    <row r="186" spans="1:126" ht="15" x14ac:dyDescent="0.2">
      <c r="A186" s="221">
        <f t="shared" si="228"/>
        <v>36617</v>
      </c>
      <c r="B186" s="271">
        <f t="shared" ca="1" si="231"/>
        <v>0</v>
      </c>
      <c r="C186" s="271">
        <f t="shared" ca="1" si="231"/>
        <v>-40481.05322265625</v>
      </c>
      <c r="D186" s="271" t="e">
        <f t="shared" si="231"/>
        <v>#REF!</v>
      </c>
      <c r="E186" s="271">
        <f t="shared" si="231"/>
        <v>85969.234375</v>
      </c>
      <c r="F186" s="271" t="e">
        <f t="shared" ca="1" si="231"/>
        <v>#REF!</v>
      </c>
      <c r="G186" s="271">
        <f t="shared" ca="1" si="231"/>
        <v>0</v>
      </c>
      <c r="H186" s="271">
        <f t="shared" ca="1" si="231"/>
        <v>-197487.5625</v>
      </c>
      <c r="I186" s="271">
        <f t="shared" si="231"/>
        <v>0</v>
      </c>
      <c r="J186" s="271">
        <f t="shared" si="231"/>
        <v>28.447265625</v>
      </c>
      <c r="K186" s="271">
        <f t="shared" ca="1" si="231"/>
        <v>-197459.115234375</v>
      </c>
      <c r="L186" s="271">
        <f t="shared" ca="1" si="231"/>
        <v>0</v>
      </c>
      <c r="M186" s="271">
        <f t="shared" ca="1" si="231"/>
        <v>0</v>
      </c>
      <c r="N186" s="271">
        <f t="shared" si="231"/>
        <v>0</v>
      </c>
      <c r="O186" s="271">
        <f t="shared" si="231"/>
        <v>0</v>
      </c>
      <c r="P186" s="271">
        <f t="shared" ca="1" si="231"/>
        <v>0</v>
      </c>
      <c r="Q186" s="271">
        <f t="shared" ca="1" si="231"/>
        <v>0</v>
      </c>
      <c r="R186" s="271">
        <f t="shared" ca="1" si="232"/>
        <v>-558583.36279296875</v>
      </c>
      <c r="S186" s="271">
        <v>0</v>
      </c>
      <c r="T186" s="270">
        <f t="shared" si="230"/>
        <v>0</v>
      </c>
      <c r="U186" s="270">
        <f t="shared" si="230"/>
        <v>0</v>
      </c>
      <c r="V186" s="271">
        <f t="shared" si="230"/>
        <v>85997.681640625</v>
      </c>
      <c r="W186" s="271">
        <f t="shared" ca="1" si="230"/>
        <v>-403842.58984375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 ca="1">[5]OPPD_NPPD!$O177+[5]NSP!$O177</f>
        <v>0</v>
      </c>
      <c r="DR186" s="56">
        <f ca="1">[5]COMED!$O177</f>
        <v>0</v>
      </c>
      <c r="DS186" s="56">
        <f t="shared" ca="1" si="217"/>
        <v>0</v>
      </c>
      <c r="DT186" s="56">
        <f ca="1">SUM([5]OPPD_NPPD!$P177:$R177)+SUM([5]NSP!$P177:$R177)</f>
        <v>0</v>
      </c>
      <c r="DU186" s="56">
        <f ca="1">SUM([5]COMED!$P177:$R177)</f>
        <v>0</v>
      </c>
      <c r="DV186" s="56">
        <f t="shared" ca="1" si="218"/>
        <v>0</v>
      </c>
    </row>
    <row r="187" spans="1:126" ht="15.75" x14ac:dyDescent="0.25">
      <c r="A187" s="221">
        <f t="shared" si="228"/>
        <v>36647</v>
      </c>
      <c r="B187" s="271">
        <f t="shared" ca="1" si="231"/>
        <v>0</v>
      </c>
      <c r="C187" s="271">
        <f t="shared" ca="1" si="231"/>
        <v>-125126.38793945313</v>
      </c>
      <c r="D187" s="271" t="e">
        <f t="shared" si="231"/>
        <v>#REF!</v>
      </c>
      <c r="E187" s="271">
        <f t="shared" si="231"/>
        <v>102849.3984375</v>
      </c>
      <c r="F187" s="271" t="e">
        <f t="shared" ca="1" si="231"/>
        <v>#REF!</v>
      </c>
      <c r="G187" s="271">
        <f t="shared" ca="1" si="231"/>
        <v>0</v>
      </c>
      <c r="H187" s="271">
        <f t="shared" ca="1" si="231"/>
        <v>-188098.23739624023</v>
      </c>
      <c r="I187" s="271">
        <f t="shared" si="231"/>
        <v>0</v>
      </c>
      <c r="J187" s="271">
        <f t="shared" si="231"/>
        <v>29.6611328125</v>
      </c>
      <c r="K187" s="271">
        <f t="shared" ca="1" si="231"/>
        <v>-188068.57626342773</v>
      </c>
      <c r="L187" s="271">
        <f t="shared" ca="1" si="231"/>
        <v>0</v>
      </c>
      <c r="M187" s="271">
        <f t="shared" ca="1" si="231"/>
        <v>0</v>
      </c>
      <c r="N187" s="271">
        <f t="shared" si="231"/>
        <v>0</v>
      </c>
      <c r="O187" s="271">
        <f t="shared" si="231"/>
        <v>0</v>
      </c>
      <c r="P187" s="271">
        <f t="shared" ca="1" si="231"/>
        <v>0</v>
      </c>
      <c r="Q187" s="271">
        <f t="shared" ca="1" si="231"/>
        <v>0</v>
      </c>
      <c r="R187" s="271">
        <f t="shared" ca="1" si="232"/>
        <v>-626372.20809936523</v>
      </c>
      <c r="S187" s="271">
        <v>0</v>
      </c>
      <c r="T187" s="270">
        <f t="shared" si="230"/>
        <v>0</v>
      </c>
      <c r="U187" s="270">
        <f t="shared" si="230"/>
        <v>0</v>
      </c>
      <c r="V187" s="271">
        <f t="shared" si="230"/>
        <v>102879.0595703125</v>
      </c>
      <c r="W187" s="271">
        <f t="shared" ca="1" si="230"/>
        <v>-457803.5283203125</v>
      </c>
      <c r="X187" s="221">
        <v>36647</v>
      </c>
      <c r="Y187" s="104"/>
      <c r="Z187" s="246" t="s">
        <v>96</v>
      </c>
      <c r="AA187" s="293">
        <f ca="1">SUM(W186:W188)</f>
        <v>-1244705.806640625</v>
      </c>
      <c r="AB187" s="293">
        <f ca="1">R186+R187+R188+S186+S187+S188</f>
        <v>-1716709.1797790527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 ca="1">[5]OPPD_NPPD!$O178+[5]NSP!$O178</f>
        <v>0</v>
      </c>
      <c r="DR187" s="56">
        <f ca="1">[5]COMED!$O178</f>
        <v>0</v>
      </c>
      <c r="DS187" s="56">
        <f t="shared" ca="1" si="217"/>
        <v>0</v>
      </c>
      <c r="DT187" s="56">
        <f ca="1">SUM([5]OPPD_NPPD!$P178:$R178)+SUM([5]NSP!$P178:$R178)</f>
        <v>0</v>
      </c>
      <c r="DU187" s="56">
        <f ca="1">SUM([5]COMED!$P178:$R178)</f>
        <v>0</v>
      </c>
      <c r="DV187" s="56">
        <f t="shared" ca="1" si="218"/>
        <v>0</v>
      </c>
    </row>
    <row r="188" spans="1:126" ht="16.5" thickBot="1" x14ac:dyDescent="0.3">
      <c r="A188" s="221">
        <f t="shared" si="228"/>
        <v>36678</v>
      </c>
      <c r="B188" s="271">
        <f t="shared" ca="1" si="231"/>
        <v>0</v>
      </c>
      <c r="C188" s="271">
        <f t="shared" ca="1" si="231"/>
        <v>-42666.61767578125</v>
      </c>
      <c r="D188" s="271">
        <f t="shared" si="231"/>
        <v>0</v>
      </c>
      <c r="E188" s="271">
        <f t="shared" si="231"/>
        <v>93207.1875</v>
      </c>
      <c r="F188" s="271">
        <f t="shared" ca="1" si="231"/>
        <v>31146.65234375</v>
      </c>
      <c r="G188" s="271">
        <f t="shared" ca="1" si="231"/>
        <v>0</v>
      </c>
      <c r="H188" s="271">
        <f t="shared" ca="1" si="231"/>
        <v>-186955.484375</v>
      </c>
      <c r="I188" s="271">
        <f t="shared" si="231"/>
        <v>0</v>
      </c>
      <c r="J188" s="271">
        <f t="shared" si="231"/>
        <v>25.77734375</v>
      </c>
      <c r="K188" s="271">
        <f t="shared" ca="1" si="231"/>
        <v>-186929.70703125</v>
      </c>
      <c r="L188" s="271">
        <f t="shared" ca="1" si="231"/>
        <v>0</v>
      </c>
      <c r="M188" s="271">
        <f t="shared" ca="1" si="231"/>
        <v>0</v>
      </c>
      <c r="N188" s="271">
        <f t="shared" si="231"/>
        <v>0</v>
      </c>
      <c r="O188" s="271">
        <f t="shared" si="231"/>
        <v>0</v>
      </c>
      <c r="P188" s="271">
        <f t="shared" ca="1" si="231"/>
        <v>0</v>
      </c>
      <c r="Q188" s="271">
        <f t="shared" ca="1" si="231"/>
        <v>0</v>
      </c>
      <c r="R188" s="271">
        <f t="shared" ca="1" si="232"/>
        <v>-531753.60888671875</v>
      </c>
      <c r="S188" s="271">
        <v>0</v>
      </c>
      <c r="T188" s="270">
        <f t="shared" si="230"/>
        <v>0</v>
      </c>
      <c r="U188" s="270">
        <f t="shared" si="230"/>
        <v>0</v>
      </c>
      <c r="V188" s="271">
        <f t="shared" si="230"/>
        <v>93232.96484375</v>
      </c>
      <c r="W188" s="271">
        <f t="shared" ca="1" si="230"/>
        <v>-383059.6884765625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 ca="1">[5]OPPD_NPPD!$O179+[5]NSP!$O179</f>
        <v>0</v>
      </c>
      <c r="DR188" s="56">
        <f ca="1">[5]COMED!$O179</f>
        <v>0</v>
      </c>
      <c r="DS188" s="56">
        <f t="shared" ca="1" si="217"/>
        <v>0</v>
      </c>
      <c r="DT188" s="56">
        <f ca="1">SUM([5]OPPD_NPPD!$P179:$R179)+SUM([5]NSP!$P179:$R179)</f>
        <v>0</v>
      </c>
      <c r="DU188" s="56">
        <f ca="1">SUM([5]COMED!$P179:$R179)</f>
        <v>0</v>
      </c>
      <c r="DV188" s="56">
        <f t="shared" ca="1" si="218"/>
        <v>0</v>
      </c>
    </row>
    <row r="189" spans="1:126" ht="15" x14ac:dyDescent="0.2">
      <c r="A189" s="221">
        <f t="shared" si="228"/>
        <v>36708</v>
      </c>
      <c r="B189" s="271">
        <f t="shared" ca="1" si="231"/>
        <v>-17011.126953125</v>
      </c>
      <c r="C189" s="271">
        <f t="shared" ca="1" si="231"/>
        <v>-270631.56274414063</v>
      </c>
      <c r="D189" s="271">
        <f t="shared" si="231"/>
        <v>0</v>
      </c>
      <c r="E189" s="271">
        <f t="shared" si="231"/>
        <v>664344.7109375</v>
      </c>
      <c r="F189" s="271">
        <f t="shared" ca="1" si="231"/>
        <v>358144.427734375</v>
      </c>
      <c r="G189" s="271">
        <f t="shared" ca="1" si="231"/>
        <v>0</v>
      </c>
      <c r="H189" s="271">
        <f t="shared" ca="1" si="231"/>
        <v>-292888.68637084961</v>
      </c>
      <c r="I189" s="271">
        <f t="shared" si="231"/>
        <v>0</v>
      </c>
      <c r="J189" s="271">
        <f t="shared" si="231"/>
        <v>29.654296875</v>
      </c>
      <c r="K189" s="271">
        <f t="shared" ca="1" si="231"/>
        <v>-292859.03207397461</v>
      </c>
      <c r="L189" s="271">
        <f t="shared" ca="1" si="231"/>
        <v>0</v>
      </c>
      <c r="M189" s="271">
        <f t="shared" ca="1" si="231"/>
        <v>0</v>
      </c>
      <c r="N189" s="271">
        <f t="shared" si="231"/>
        <v>0</v>
      </c>
      <c r="O189" s="271">
        <f t="shared" si="231"/>
        <v>0</v>
      </c>
      <c r="P189" s="271">
        <f t="shared" ca="1" si="231"/>
        <v>0</v>
      </c>
      <c r="Q189" s="271">
        <f t="shared" ca="1" si="231"/>
        <v>-17011.126953125</v>
      </c>
      <c r="R189" s="271">
        <f t="shared" ca="1" si="232"/>
        <v>-854924.68991088867</v>
      </c>
      <c r="S189" s="271">
        <v>0</v>
      </c>
      <c r="T189" s="270">
        <f t="shared" si="230"/>
        <v>0</v>
      </c>
      <c r="U189" s="270">
        <f t="shared" si="230"/>
        <v>0</v>
      </c>
      <c r="V189" s="271">
        <f t="shared" si="230"/>
        <v>664374.365234375</v>
      </c>
      <c r="W189" s="271">
        <f t="shared" ca="1" si="230"/>
        <v>-148389.935546875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 ca="1">[5]OPPD_NPPD!$O180+[5]NSP!$O180</f>
        <v>0</v>
      </c>
      <c r="DR189" s="56">
        <f ca="1">[5]COMED!$O180</f>
        <v>0</v>
      </c>
      <c r="DS189" s="56">
        <f t="shared" ca="1" si="217"/>
        <v>0</v>
      </c>
      <c r="DT189" s="56">
        <f ca="1">SUM([5]OPPD_NPPD!$P180:$R180)+SUM([5]NSP!$P180:$R180)</f>
        <v>0</v>
      </c>
      <c r="DU189" s="56">
        <f ca="1">SUM([5]COMED!$P180:$R180)</f>
        <v>0</v>
      </c>
      <c r="DV189" s="56">
        <f t="shared" ca="1" si="218"/>
        <v>0</v>
      </c>
    </row>
    <row r="190" spans="1:126" ht="15.75" x14ac:dyDescent="0.25">
      <c r="A190" s="221">
        <f t="shared" si="228"/>
        <v>36739</v>
      </c>
      <c r="B190" s="271">
        <f t="shared" ca="1" si="231"/>
        <v>-16954.423828125</v>
      </c>
      <c r="C190" s="271">
        <f t="shared" ca="1" si="231"/>
        <v>-269344.1259765625</v>
      </c>
      <c r="D190" s="271">
        <f t="shared" si="231"/>
        <v>0</v>
      </c>
      <c r="E190" s="271">
        <f t="shared" si="231"/>
        <v>662015.390625</v>
      </c>
      <c r="F190" s="271">
        <f t="shared" ca="1" si="231"/>
        <v>356835.779296875</v>
      </c>
      <c r="G190" s="271">
        <f t="shared" ca="1" si="231"/>
        <v>0</v>
      </c>
      <c r="H190" s="271">
        <f t="shared" ca="1" si="231"/>
        <v>-277999.78125</v>
      </c>
      <c r="I190" s="271">
        <f t="shared" si="231"/>
        <v>0</v>
      </c>
      <c r="J190" s="271">
        <f t="shared" si="231"/>
        <v>26.3671875</v>
      </c>
      <c r="K190" s="271">
        <f t="shared" ca="1" si="231"/>
        <v>-277973.4140625</v>
      </c>
      <c r="L190" s="271">
        <f t="shared" ca="1" si="231"/>
        <v>0</v>
      </c>
      <c r="M190" s="271">
        <f t="shared" ca="1" si="231"/>
        <v>0</v>
      </c>
      <c r="N190" s="271">
        <f t="shared" si="231"/>
        <v>0</v>
      </c>
      <c r="O190" s="271">
        <f t="shared" si="231"/>
        <v>0</v>
      </c>
      <c r="P190" s="271">
        <f t="shared" ca="1" si="231"/>
        <v>0</v>
      </c>
      <c r="Q190" s="271">
        <f t="shared" ca="1" si="231"/>
        <v>-16954.423828125</v>
      </c>
      <c r="R190" s="271">
        <f t="shared" ca="1" si="232"/>
        <v>-847384.08215332031</v>
      </c>
      <c r="S190" s="271">
        <v>0</v>
      </c>
      <c r="T190" s="270">
        <f t="shared" si="230"/>
        <v>0</v>
      </c>
      <c r="U190" s="270">
        <f t="shared" si="230"/>
        <v>0</v>
      </c>
      <c r="V190" s="271">
        <f t="shared" si="230"/>
        <v>662041.7578125</v>
      </c>
      <c r="W190" s="271">
        <f t="shared" ca="1" si="230"/>
        <v>-146600.0224609375</v>
      </c>
      <c r="X190" s="221">
        <v>36739</v>
      </c>
      <c r="Y190" s="104"/>
      <c r="Z190" s="246" t="s">
        <v>97</v>
      </c>
      <c r="AA190" s="293">
        <f ca="1">SUM(W189:W191)</f>
        <v>-495338.935546875</v>
      </c>
      <c r="AB190" s="293">
        <f ca="1">R189+R190+R191+S189+S190+S191</f>
        <v>-1822833.916809082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 ca="1">[5]OPPD_NPPD!$O181+[5]NSP!$O181</f>
        <v>0</v>
      </c>
      <c r="DR190" s="56">
        <f ca="1">[5]COMED!$O181</f>
        <v>0</v>
      </c>
      <c r="DS190" s="56">
        <f t="shared" ca="1" si="217"/>
        <v>0</v>
      </c>
      <c r="DT190" s="56">
        <f ca="1">SUM([5]OPPD_NPPD!$P181:$R181)+SUM([5]NSP!$P181:$R181)</f>
        <v>0</v>
      </c>
      <c r="DU190" s="56">
        <f ca="1">SUM([5]COMED!$P181:$R181)</f>
        <v>0</v>
      </c>
      <c r="DV190" s="56">
        <f t="shared" ca="1" si="218"/>
        <v>0</v>
      </c>
    </row>
    <row r="191" spans="1:126" ht="16.5" thickBot="1" x14ac:dyDescent="0.3">
      <c r="A191" s="221">
        <f t="shared" si="228"/>
        <v>36770</v>
      </c>
      <c r="B191" s="271">
        <f t="shared" ca="1" si="231"/>
        <v>0</v>
      </c>
      <c r="C191" s="271">
        <f t="shared" ca="1" si="231"/>
        <v>110986.583984375</v>
      </c>
      <c r="D191" s="271">
        <f t="shared" si="231"/>
        <v>0</v>
      </c>
      <c r="E191" s="271">
        <f t="shared" si="231"/>
        <v>76920.67578125</v>
      </c>
      <c r="F191" s="271">
        <f t="shared" ca="1" si="231"/>
        <v>169089.46484375</v>
      </c>
      <c r="G191" s="271">
        <f t="shared" ca="1" si="231"/>
        <v>0</v>
      </c>
      <c r="H191" s="271">
        <f t="shared" ca="1" si="231"/>
        <v>-154147.91268920898</v>
      </c>
      <c r="I191" s="271">
        <f t="shared" si="231"/>
        <v>0</v>
      </c>
      <c r="J191" s="271">
        <f t="shared" si="231"/>
        <v>28.7509765625</v>
      </c>
      <c r="K191" s="271">
        <f t="shared" ca="1" si="231"/>
        <v>-154119.16171264648</v>
      </c>
      <c r="L191" s="271">
        <f t="shared" ca="1" si="231"/>
        <v>0</v>
      </c>
      <c r="M191" s="271">
        <f t="shared" ca="1" si="231"/>
        <v>0</v>
      </c>
      <c r="N191" s="271">
        <f t="shared" si="231"/>
        <v>0</v>
      </c>
      <c r="O191" s="271">
        <f t="shared" si="231"/>
        <v>0</v>
      </c>
      <c r="P191" s="271">
        <f t="shared" ca="1" si="231"/>
        <v>0</v>
      </c>
      <c r="Q191" s="271">
        <f t="shared" ca="1" si="231"/>
        <v>21904.3408203125</v>
      </c>
      <c r="R191" s="271">
        <f t="shared" ca="1" si="232"/>
        <v>-120525.14474487303</v>
      </c>
      <c r="S191" s="271">
        <v>0</v>
      </c>
      <c r="T191" s="270">
        <f t="shared" si="230"/>
        <v>0</v>
      </c>
      <c r="U191" s="270">
        <f t="shared" si="230"/>
        <v>0</v>
      </c>
      <c r="V191" s="271">
        <f t="shared" si="230"/>
        <v>-192274.8349609375</v>
      </c>
      <c r="W191" s="271">
        <f t="shared" ca="1" si="230"/>
        <v>-200348.9775390625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 ca="1">[5]OPPD_NPPD!$O182+[5]NSP!$O182</f>
        <v>0</v>
      </c>
      <c r="DR191" s="56">
        <f ca="1">[5]COMED!$O182</f>
        <v>0</v>
      </c>
      <c r="DS191" s="56">
        <f t="shared" ca="1" si="217"/>
        <v>0</v>
      </c>
      <c r="DT191" s="56">
        <f ca="1">SUM([5]OPPD_NPPD!$P182:$R182)+SUM([5]NSP!$P182:$R182)</f>
        <v>0</v>
      </c>
      <c r="DU191" s="56">
        <f ca="1">SUM([5]COMED!$P182:$R182)</f>
        <v>0</v>
      </c>
      <c r="DV191" s="56">
        <f t="shared" ca="1" si="218"/>
        <v>0</v>
      </c>
    </row>
    <row r="192" spans="1:126" ht="15" x14ac:dyDescent="0.2">
      <c r="A192" s="221">
        <f t="shared" si="228"/>
        <v>36800</v>
      </c>
      <c r="B192" s="271">
        <f t="shared" ca="1" si="231"/>
        <v>0</v>
      </c>
      <c r="C192" s="271">
        <f t="shared" ca="1" si="231"/>
        <v>-157994.9912109375</v>
      </c>
      <c r="D192" s="271">
        <f t="shared" si="231"/>
        <v>0</v>
      </c>
      <c r="E192" s="271">
        <f t="shared" si="231"/>
        <v>158663.76171875</v>
      </c>
      <c r="F192" s="271">
        <f t="shared" ca="1" si="231"/>
        <v>-17364.56640625</v>
      </c>
      <c r="G192" s="271">
        <f t="shared" ca="1" si="231"/>
        <v>0</v>
      </c>
      <c r="H192" s="271">
        <f t="shared" ca="1" si="231"/>
        <v>-167670.328125</v>
      </c>
      <c r="I192" s="271">
        <f t="shared" si="231"/>
        <v>0</v>
      </c>
      <c r="J192" s="271">
        <f t="shared" si="231"/>
        <v>31.869140625</v>
      </c>
      <c r="K192" s="271">
        <f t="shared" ca="1" si="231"/>
        <v>-167638.458984375</v>
      </c>
      <c r="L192" s="271">
        <f t="shared" ca="1" si="231"/>
        <v>0</v>
      </c>
      <c r="M192" s="271">
        <f t="shared" ca="1" si="231"/>
        <v>0</v>
      </c>
      <c r="N192" s="271">
        <f t="shared" si="231"/>
        <v>0</v>
      </c>
      <c r="O192" s="271">
        <f t="shared" si="231"/>
        <v>0</v>
      </c>
      <c r="P192" s="271">
        <f t="shared" ca="1" si="231"/>
        <v>0</v>
      </c>
      <c r="Q192" s="271">
        <f t="shared" ca="1" si="231"/>
        <v>36530.3125</v>
      </c>
      <c r="R192" s="271">
        <f t="shared" ca="1" si="232"/>
        <v>-563677.4373705769</v>
      </c>
      <c r="S192" s="271">
        <v>0</v>
      </c>
      <c r="T192" s="270">
        <f t="shared" si="230"/>
        <v>0</v>
      </c>
      <c r="U192" s="270">
        <f t="shared" si="230"/>
        <v>0</v>
      </c>
      <c r="V192" s="271">
        <f t="shared" si="230"/>
        <v>213559.65283203125</v>
      </c>
      <c r="W192" s="271">
        <f t="shared" ca="1" si="230"/>
        <v>-219085.7528002644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 ca="1">[5]OPPD_NPPD!$O183+[5]NSP!$O183</f>
        <v>0</v>
      </c>
      <c r="DR192" s="56">
        <f ca="1">[5]COMED!$O183</f>
        <v>0</v>
      </c>
      <c r="DS192" s="56">
        <f t="shared" ca="1" si="217"/>
        <v>0</v>
      </c>
      <c r="DT192" s="56">
        <f ca="1">SUM([5]OPPD_NPPD!$P183:$R183)+SUM([5]NSP!$P183:$R183)</f>
        <v>0</v>
      </c>
      <c r="DU192" s="56">
        <f ca="1">SUM([5]COMED!$P183:$R183)</f>
        <v>0</v>
      </c>
      <c r="DV192" s="56">
        <f t="shared" ca="1" si="218"/>
        <v>0</v>
      </c>
    </row>
    <row r="193" spans="1:126" ht="15.75" x14ac:dyDescent="0.25">
      <c r="A193" s="221">
        <f t="shared" si="228"/>
        <v>36831</v>
      </c>
      <c r="B193" s="271">
        <f t="shared" ca="1" si="231"/>
        <v>0</v>
      </c>
      <c r="C193" s="271">
        <f t="shared" ca="1" si="231"/>
        <v>-133841.79833984375</v>
      </c>
      <c r="D193" s="271">
        <f t="shared" si="231"/>
        <v>0</v>
      </c>
      <c r="E193" s="271">
        <f t="shared" si="231"/>
        <v>137503.3359375</v>
      </c>
      <c r="F193" s="271">
        <f t="shared" ca="1" si="231"/>
        <v>-15022.9296875</v>
      </c>
      <c r="G193" s="271">
        <f t="shared" ca="1" si="231"/>
        <v>0</v>
      </c>
      <c r="H193" s="271">
        <f t="shared" ca="1" si="231"/>
        <v>-138261.9704284668</v>
      </c>
      <c r="I193" s="271">
        <f t="shared" si="231"/>
        <v>0</v>
      </c>
      <c r="J193" s="271">
        <f t="shared" si="231"/>
        <v>30.6083984375</v>
      </c>
      <c r="K193" s="271">
        <f t="shared" ca="1" si="231"/>
        <v>-138231.3620300293</v>
      </c>
      <c r="L193" s="271">
        <f t="shared" ca="1" si="231"/>
        <v>0</v>
      </c>
      <c r="M193" s="271">
        <f t="shared" ca="1" si="231"/>
        <v>0</v>
      </c>
      <c r="N193" s="271">
        <f t="shared" si="231"/>
        <v>0</v>
      </c>
      <c r="O193" s="271">
        <f t="shared" si="231"/>
        <v>0</v>
      </c>
      <c r="P193" s="271">
        <f t="shared" ca="1" si="231"/>
        <v>0</v>
      </c>
      <c r="Q193" s="271">
        <f t="shared" ca="1" si="231"/>
        <v>0</v>
      </c>
      <c r="R193" s="271">
        <f t="shared" ca="1" si="232"/>
        <v>-458604.66976928711</v>
      </c>
      <c r="S193" s="271">
        <v>0</v>
      </c>
      <c r="T193" s="270">
        <f t="shared" si="230"/>
        <v>0</v>
      </c>
      <c r="U193" s="270">
        <f t="shared" si="230"/>
        <v>0</v>
      </c>
      <c r="V193" s="271">
        <f t="shared" si="230"/>
        <v>187484.2333984375</v>
      </c>
      <c r="W193" s="271">
        <f t="shared" ca="1" si="230"/>
        <v>-171065.333984375</v>
      </c>
      <c r="X193" s="221">
        <v>36831</v>
      </c>
      <c r="Y193" s="104"/>
      <c r="Z193" s="246" t="s">
        <v>98</v>
      </c>
      <c r="AA193" s="293">
        <f ca="1">SUM(W192:W194)</f>
        <v>-562423.7029955769</v>
      </c>
      <c r="AB193" s="293">
        <f ca="1">R192+R193+R194+S192+S193+S194</f>
        <v>-1491416.5918810749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 ca="1">[5]OPPD_NPPD!$O184+[5]NSP!$O184</f>
        <v>0</v>
      </c>
      <c r="DR193" s="56">
        <f ca="1">[5]COMED!$O184</f>
        <v>0</v>
      </c>
      <c r="DS193" s="56">
        <f t="shared" ca="1" si="217"/>
        <v>0</v>
      </c>
      <c r="DT193" s="56">
        <f ca="1">SUM([5]OPPD_NPPD!$P184:$R184)+SUM([5]NSP!$P184:$R184)</f>
        <v>0</v>
      </c>
      <c r="DU193" s="56">
        <f ca="1">SUM([5]COMED!$P184:$R184)</f>
        <v>0</v>
      </c>
      <c r="DV193" s="56">
        <f t="shared" ca="1" si="218"/>
        <v>0</v>
      </c>
    </row>
    <row r="194" spans="1:126" ht="15.75" thickBot="1" x14ac:dyDescent="0.25">
      <c r="A194" s="221">
        <f t="shared" si="228"/>
        <v>36861</v>
      </c>
      <c r="B194" s="271">
        <f t="shared" ca="1" si="231"/>
        <v>0</v>
      </c>
      <c r="C194" s="271">
        <f t="shared" ca="1" si="231"/>
        <v>-140551.85083007813</v>
      </c>
      <c r="D194" s="271">
        <f t="shared" si="231"/>
        <v>0</v>
      </c>
      <c r="E194" s="271">
        <f t="shared" si="231"/>
        <v>143804.93359375</v>
      </c>
      <c r="F194" s="271">
        <f t="shared" ca="1" si="231"/>
        <v>-15740.41015625</v>
      </c>
      <c r="G194" s="271">
        <f t="shared" ca="1" si="231"/>
        <v>0</v>
      </c>
      <c r="H194" s="271">
        <f t="shared" ca="1" si="231"/>
        <v>-159296.87365722656</v>
      </c>
      <c r="I194" s="271">
        <f t="shared" si="231"/>
        <v>0</v>
      </c>
      <c r="J194" s="271">
        <f t="shared" si="231"/>
        <v>28.5830078125</v>
      </c>
      <c r="K194" s="271">
        <f t="shared" ca="1" si="231"/>
        <v>-159268.29064941406</v>
      </c>
      <c r="L194" s="271">
        <f t="shared" ca="1" si="231"/>
        <v>0</v>
      </c>
      <c r="M194" s="271">
        <f t="shared" ca="1" si="231"/>
        <v>0</v>
      </c>
      <c r="N194" s="271">
        <f t="shared" si="231"/>
        <v>0</v>
      </c>
      <c r="O194" s="271">
        <f t="shared" si="231"/>
        <v>0</v>
      </c>
      <c r="P194" s="271">
        <f t="shared" ca="1" si="231"/>
        <v>0</v>
      </c>
      <c r="Q194" s="271">
        <f t="shared" ca="1" si="231"/>
        <v>0</v>
      </c>
      <c r="R194" s="271">
        <f t="shared" ca="1" si="232"/>
        <v>-469134.48474121094</v>
      </c>
      <c r="S194" s="271">
        <v>0</v>
      </c>
      <c r="T194" s="270">
        <f t="shared" si="230"/>
        <v>0</v>
      </c>
      <c r="U194" s="270">
        <f t="shared" si="230"/>
        <v>0</v>
      </c>
      <c r="V194" s="271">
        <f t="shared" si="230"/>
        <v>191265.0400390625</v>
      </c>
      <c r="W194" s="271">
        <f t="shared" ca="1" si="230"/>
        <v>-172272.6162109375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 ca="1">[5]OPPD_NPPD!$O185+[5]NSP!$O185</f>
        <v>0</v>
      </c>
      <c r="DR194" s="56">
        <f ca="1">[5]COMED!$O185</f>
        <v>0</v>
      </c>
      <c r="DS194" s="56">
        <f t="shared" ca="1" si="217"/>
        <v>0</v>
      </c>
      <c r="DT194" s="56">
        <f ca="1">SUM([5]OPPD_NPPD!$P185:$R185)+SUM([5]NSP!$P185:$R185)</f>
        <v>0</v>
      </c>
      <c r="DU194" s="56">
        <f ca="1">SUM([5]COMED!$P185:$R185)</f>
        <v>0</v>
      </c>
      <c r="DV194" s="56">
        <f t="shared" ca="1" si="218"/>
        <v>0</v>
      </c>
    </row>
    <row r="195" spans="1:126" ht="16.5" thickBot="1" x14ac:dyDescent="0.3">
      <c r="A195" s="222" t="s">
        <v>93</v>
      </c>
      <c r="B195" s="294">
        <f t="shared" ca="1" si="231"/>
        <v>-33965.55078125</v>
      </c>
      <c r="C195" s="294">
        <f t="shared" ca="1" si="231"/>
        <v>-1875205.4050292969</v>
      </c>
      <c r="D195" s="294">
        <f t="shared" si="231"/>
        <v>0</v>
      </c>
      <c r="E195" s="294">
        <f t="shared" si="231"/>
        <v>2571108.927734375</v>
      </c>
      <c r="F195" s="294">
        <f t="shared" ca="1" si="231"/>
        <v>437865.474609375</v>
      </c>
      <c r="G195" s="294">
        <f t="shared" ca="1" si="231"/>
        <v>0</v>
      </c>
      <c r="H195" s="294">
        <f t="shared" ca="1" si="231"/>
        <v>-2428400.772277832</v>
      </c>
      <c r="I195" s="294">
        <f t="shared" si="231"/>
        <v>0</v>
      </c>
      <c r="J195" s="294">
        <f t="shared" si="231"/>
        <v>339.2138671875</v>
      </c>
      <c r="K195" s="294">
        <f t="shared" ca="1" si="231"/>
        <v>-2428061.5584106445</v>
      </c>
      <c r="L195" s="294">
        <f t="shared" ca="1" si="231"/>
        <v>0</v>
      </c>
      <c r="M195" s="294">
        <f t="shared" ca="1" si="231"/>
        <v>0</v>
      </c>
      <c r="N195" s="294">
        <f t="shared" si="231"/>
        <v>0</v>
      </c>
      <c r="O195" s="294">
        <f t="shared" si="231"/>
        <v>0</v>
      </c>
      <c r="P195" s="294">
        <f t="shared" ca="1" si="231"/>
        <v>0</v>
      </c>
      <c r="Q195" s="294">
        <f t="shared" ca="1" si="231"/>
        <v>24469.1025390625</v>
      </c>
      <c r="R195" s="294">
        <f t="shared" ca="1" si="232"/>
        <v>-7479985.4015429402</v>
      </c>
      <c r="S195" s="294">
        <v>0</v>
      </c>
      <c r="T195" s="295">
        <f t="shared" si="230"/>
        <v>0</v>
      </c>
      <c r="U195" s="295">
        <f t="shared" si="230"/>
        <v>0</v>
      </c>
      <c r="V195" s="294">
        <f t="shared" si="230"/>
        <v>2454469.7143554688</v>
      </c>
      <c r="W195" s="296">
        <f t="shared" ca="1" si="230"/>
        <v>-5001046.5846484089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 ca="1">SUM([5]COMED!$P186:$R186)</f>
        <v>0</v>
      </c>
    </row>
    <row r="196" spans="1:126" x14ac:dyDescent="0.2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 ca="1">SUM([5]COMED!$P187:$R187)</f>
        <v>0</v>
      </c>
    </row>
    <row r="197" spans="1:126" hidden="1" x14ac:dyDescent="0.2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 ca="1">SUM([5]COMED!$P188:$R188)</f>
        <v>0</v>
      </c>
    </row>
    <row r="198" spans="1:126" hidden="1" x14ac:dyDescent="0.2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 ca="1">SUM([5]COMED!$P189:$R189)</f>
        <v>0</v>
      </c>
    </row>
    <row r="199" spans="1:126" hidden="1" x14ac:dyDescent="0.2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 ca="1">SUM([5]COMED!$P190:$R190)</f>
        <v>0</v>
      </c>
    </row>
    <row r="200" spans="1:126" hidden="1" x14ac:dyDescent="0.2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 ca="1">SUM([5]COMED!$P191:$R191)</f>
        <v>0</v>
      </c>
    </row>
    <row r="201" spans="1:126" hidden="1" x14ac:dyDescent="0.2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 ca="1">SUM([5]COMED!$P192:$R192)</f>
        <v>0</v>
      </c>
    </row>
    <row r="202" spans="1:126" hidden="1" x14ac:dyDescent="0.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 ca="1">SUM([5]COMED!$P193:$R193)</f>
        <v>0</v>
      </c>
    </row>
    <row r="203" spans="1:126" hidden="1" x14ac:dyDescent="0.2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 ca="1">SUM([5]COMED!$P194:$R194)</f>
        <v>0</v>
      </c>
    </row>
    <row r="204" spans="1:126" hidden="1" x14ac:dyDescent="0.2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 ca="1">SUM([5]COMED!$P195:$R195)</f>
        <v>0</v>
      </c>
    </row>
    <row r="205" spans="1:126" hidden="1" x14ac:dyDescent="0.2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 ca="1">SUM([5]COMED!$P196:$R196)</f>
        <v>0</v>
      </c>
    </row>
    <row r="206" spans="1:126" hidden="1" x14ac:dyDescent="0.2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 ca="1">SUM([5]COMED!$P197:$R197)</f>
        <v>0</v>
      </c>
    </row>
    <row r="207" spans="1:126" hidden="1" x14ac:dyDescent="0.2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 ca="1">SUM([5]COMED!$P198:$R198)</f>
        <v>0</v>
      </c>
    </row>
    <row r="208" spans="1:126" hidden="1" x14ac:dyDescent="0.2">
      <c r="DL208" s="254">
        <v>41699</v>
      </c>
      <c r="DM208" s="255">
        <v>21</v>
      </c>
      <c r="DU208" s="56">
        <f ca="1">SUM([5]COMED!$P199:$R199)</f>
        <v>0</v>
      </c>
    </row>
    <row r="209" spans="116:125" hidden="1" x14ac:dyDescent="0.2">
      <c r="DL209" s="254">
        <v>41730</v>
      </c>
      <c r="DM209" s="255">
        <v>22</v>
      </c>
      <c r="DU209" s="56">
        <f ca="1">SUM([5]COMED!$P200:$R200)</f>
        <v>0</v>
      </c>
    </row>
    <row r="210" spans="116:125" hidden="1" x14ac:dyDescent="0.2">
      <c r="DL210" s="254">
        <v>41760</v>
      </c>
      <c r="DM210" s="255">
        <v>21</v>
      </c>
      <c r="DU210" s="56">
        <f ca="1">SUM([5]COMED!$P201:$R201)</f>
        <v>0</v>
      </c>
    </row>
    <row r="211" spans="116:125" hidden="1" x14ac:dyDescent="0.2">
      <c r="DL211" s="254">
        <v>41791</v>
      </c>
      <c r="DM211" s="255">
        <v>21</v>
      </c>
      <c r="DU211" s="56">
        <f ca="1">SUM([5]COMED!$P202:$R202)</f>
        <v>0</v>
      </c>
    </row>
    <row r="212" spans="116:125" hidden="1" x14ac:dyDescent="0.2">
      <c r="DL212" s="254">
        <v>41821</v>
      </c>
      <c r="DM212" s="255">
        <v>22</v>
      </c>
      <c r="DU212" s="56">
        <f ca="1">SUM([5]COMED!$P203:$R203)</f>
        <v>0</v>
      </c>
    </row>
    <row r="213" spans="116:125" hidden="1" x14ac:dyDescent="0.2">
      <c r="DL213" s="254">
        <v>41852</v>
      </c>
      <c r="DM213" s="255">
        <v>21</v>
      </c>
      <c r="DU213" s="56">
        <f ca="1">SUM([5]COMED!$P204:$R204)</f>
        <v>0</v>
      </c>
    </row>
    <row r="214" spans="116:125" hidden="1" x14ac:dyDescent="0.2">
      <c r="DL214" s="254">
        <v>41883</v>
      </c>
      <c r="DM214" s="255">
        <v>21</v>
      </c>
      <c r="DU214" s="56">
        <f ca="1">SUM([5]COMED!$P205:$R205)</f>
        <v>0</v>
      </c>
    </row>
    <row r="215" spans="116:125" hidden="1" x14ac:dyDescent="0.2">
      <c r="DL215" s="254">
        <v>41913</v>
      </c>
      <c r="DM215" s="255">
        <v>23</v>
      </c>
      <c r="DU215" s="56">
        <f ca="1">SUM([5]COMED!$P206:$R206)</f>
        <v>0</v>
      </c>
    </row>
    <row r="216" spans="116:125" hidden="1" x14ac:dyDescent="0.2">
      <c r="DL216" s="254">
        <v>41944</v>
      </c>
      <c r="DM216" s="255">
        <v>19</v>
      </c>
      <c r="DU216" s="56">
        <f ca="1">SUM([5]COMED!$P207:$R207)</f>
        <v>0</v>
      </c>
    </row>
    <row r="217" spans="116:125" hidden="1" x14ac:dyDescent="0.2">
      <c r="DL217" s="254">
        <v>41974</v>
      </c>
      <c r="DM217" s="255">
        <v>22</v>
      </c>
      <c r="DU217" s="56">
        <f ca="1">SUM([5]COMED!$P208:$R208)</f>
        <v>0</v>
      </c>
    </row>
    <row r="218" spans="116:125" hidden="1" x14ac:dyDescent="0.2">
      <c r="DL218" s="254">
        <v>42005</v>
      </c>
      <c r="DM218" s="255">
        <v>21</v>
      </c>
      <c r="DU218" s="56">
        <f ca="1">SUM([5]COMED!$P209:$R209)</f>
        <v>0</v>
      </c>
    </row>
    <row r="219" spans="116:125" hidden="1" x14ac:dyDescent="0.2">
      <c r="DL219" s="254">
        <v>42036</v>
      </c>
      <c r="DM219" s="255">
        <v>20</v>
      </c>
      <c r="DU219" s="56">
        <f ca="1">SUM([5]COMED!$P210:$R210)</f>
        <v>0</v>
      </c>
    </row>
    <row r="220" spans="116:125" hidden="1" x14ac:dyDescent="0.2">
      <c r="DL220" s="254">
        <v>42064</v>
      </c>
      <c r="DM220" s="255">
        <v>22</v>
      </c>
      <c r="DU220" s="56">
        <f ca="1">SUM([5]COMED!$P211:$R211)</f>
        <v>0</v>
      </c>
    </row>
    <row r="221" spans="116:125" hidden="1" x14ac:dyDescent="0.2">
      <c r="DL221" s="254">
        <v>42095</v>
      </c>
      <c r="DM221" s="255">
        <v>22</v>
      </c>
      <c r="DU221" s="56">
        <f ca="1">SUM([5]COMED!$P212:$R212)</f>
        <v>0</v>
      </c>
    </row>
    <row r="222" spans="116:125" hidden="1" x14ac:dyDescent="0.2">
      <c r="DL222" s="254">
        <v>42125</v>
      </c>
      <c r="DM222" s="255">
        <v>20</v>
      </c>
      <c r="DU222" s="56">
        <f ca="1">SUM([5]COMED!$P213:$R213)</f>
        <v>0</v>
      </c>
    </row>
    <row r="223" spans="116:125" hidden="1" x14ac:dyDescent="0.2">
      <c r="DL223" s="254">
        <v>42156</v>
      </c>
      <c r="DM223" s="255">
        <v>22</v>
      </c>
      <c r="DU223" s="56">
        <f ca="1">SUM([5]COMED!$P214:$R214)</f>
        <v>0</v>
      </c>
    </row>
    <row r="224" spans="116:125" hidden="1" x14ac:dyDescent="0.2">
      <c r="DL224" s="254">
        <v>42186</v>
      </c>
      <c r="DM224" s="255">
        <v>23</v>
      </c>
      <c r="DU224" s="56">
        <f ca="1">SUM([5]COMED!$P215:$R215)</f>
        <v>0</v>
      </c>
    </row>
    <row r="225" spans="116:125" hidden="1" x14ac:dyDescent="0.2">
      <c r="DL225" s="254">
        <v>42217</v>
      </c>
      <c r="DM225" s="255">
        <v>21</v>
      </c>
      <c r="DU225" s="56">
        <f ca="1">SUM([5]COMED!$P216:$R216)</f>
        <v>0</v>
      </c>
    </row>
    <row r="226" spans="116:125" hidden="1" x14ac:dyDescent="0.2">
      <c r="DL226" s="254">
        <v>42248</v>
      </c>
      <c r="DM226" s="255">
        <v>21</v>
      </c>
      <c r="DU226" s="56">
        <f ca="1">SUM([5]COMED!$P217:$R217)</f>
        <v>0</v>
      </c>
    </row>
    <row r="227" spans="116:125" hidden="1" x14ac:dyDescent="0.2">
      <c r="DL227" s="254">
        <v>42278</v>
      </c>
      <c r="DM227" s="255">
        <v>22</v>
      </c>
      <c r="DU227" s="56">
        <f ca="1">SUM([5]COMED!$P218:$R218)</f>
        <v>0</v>
      </c>
    </row>
    <row r="228" spans="116:125" hidden="1" x14ac:dyDescent="0.2">
      <c r="DL228" s="254">
        <v>42309</v>
      </c>
      <c r="DM228" s="255">
        <v>20</v>
      </c>
      <c r="DU228" s="56">
        <f ca="1">SUM([5]COMED!$P219:$R219)</f>
        <v>0</v>
      </c>
    </row>
    <row r="229" spans="116:125" hidden="1" x14ac:dyDescent="0.2">
      <c r="DL229" s="254">
        <v>42339</v>
      </c>
      <c r="DM229" s="255">
        <v>22</v>
      </c>
      <c r="DU229" s="56">
        <f ca="1">SUM([5]COMED!$P220:$R220)</f>
        <v>0</v>
      </c>
    </row>
    <row r="230" spans="116:125" hidden="1" x14ac:dyDescent="0.2">
      <c r="DL230" s="254">
        <v>42370</v>
      </c>
      <c r="DM230" s="255">
        <v>0</v>
      </c>
      <c r="DU230" s="56">
        <f ca="1">SUM([5]COMED!$P221:$R221)</f>
        <v>0</v>
      </c>
    </row>
    <row r="231" spans="116:125" hidden="1" x14ac:dyDescent="0.2">
      <c r="DL231" s="254">
        <v>42401</v>
      </c>
      <c r="DM231" s="255">
        <v>0</v>
      </c>
      <c r="DU231" s="56">
        <f ca="1">SUM([5]COMED!$P222:$R222)</f>
        <v>0</v>
      </c>
    </row>
    <row r="232" spans="116:125" hidden="1" x14ac:dyDescent="0.2">
      <c r="DL232" s="254">
        <v>42430</v>
      </c>
      <c r="DM232" s="255">
        <v>0</v>
      </c>
      <c r="DU232" s="56">
        <f ca="1">SUM([5]COMED!$P223:$R223)</f>
        <v>0</v>
      </c>
    </row>
    <row r="233" spans="116:125" hidden="1" x14ac:dyDescent="0.2">
      <c r="DL233" s="254">
        <v>42461</v>
      </c>
      <c r="DM233" s="255">
        <v>0</v>
      </c>
      <c r="DU233" s="56">
        <f ca="1">SUM([5]COMED!$P224:$R224)</f>
        <v>0</v>
      </c>
    </row>
    <row r="234" spans="116:125" hidden="1" x14ac:dyDescent="0.2">
      <c r="DL234" s="254">
        <v>42491</v>
      </c>
      <c r="DM234" s="255">
        <v>0</v>
      </c>
      <c r="DU234" s="56">
        <f ca="1">SUM([5]COMED!$P225:$R225)</f>
        <v>0</v>
      </c>
    </row>
    <row r="235" spans="116:125" hidden="1" x14ac:dyDescent="0.2">
      <c r="DL235" s="254">
        <v>42522</v>
      </c>
      <c r="DM235" s="255">
        <v>0</v>
      </c>
      <c r="DU235" s="56">
        <f ca="1">SUM([5]COMED!$P226:$R226)</f>
        <v>0</v>
      </c>
    </row>
    <row r="236" spans="116:125" hidden="1" x14ac:dyDescent="0.2">
      <c r="DL236" s="254">
        <v>42552</v>
      </c>
      <c r="DM236" s="255">
        <v>0</v>
      </c>
      <c r="DU236" s="56">
        <f ca="1">SUM([5]COMED!$P227:$R227)</f>
        <v>0</v>
      </c>
    </row>
    <row r="237" spans="116:125" hidden="1" x14ac:dyDescent="0.2">
      <c r="DL237" s="254">
        <v>42583</v>
      </c>
      <c r="DM237" s="255">
        <v>0</v>
      </c>
      <c r="DU237" s="56">
        <f ca="1">SUM([5]COMED!$P228:$R228)</f>
        <v>0</v>
      </c>
    </row>
    <row r="238" spans="116:125" hidden="1" x14ac:dyDescent="0.2">
      <c r="DL238" s="254">
        <v>42614</v>
      </c>
      <c r="DM238" s="255">
        <v>0</v>
      </c>
      <c r="DU238" s="56">
        <f ca="1">SUM([5]COMED!$P229:$R229)</f>
        <v>0</v>
      </c>
    </row>
    <row r="239" spans="116:125" hidden="1" x14ac:dyDescent="0.2">
      <c r="DL239" s="254">
        <v>42644</v>
      </c>
      <c r="DM239" s="255">
        <v>0</v>
      </c>
      <c r="DU239" s="56">
        <f ca="1">SUM([5]COMED!$P230:$R230)</f>
        <v>0</v>
      </c>
    </row>
    <row r="240" spans="116:125" hidden="1" x14ac:dyDescent="0.2">
      <c r="DL240" s="254">
        <v>42675</v>
      </c>
      <c r="DM240" s="255">
        <v>0</v>
      </c>
      <c r="DU240" s="56">
        <f ca="1">SUM([5]COMED!$P231:$R231)</f>
        <v>0</v>
      </c>
    </row>
    <row r="241" spans="116:125" hidden="1" x14ac:dyDescent="0.2">
      <c r="DL241" s="254">
        <v>42705</v>
      </c>
      <c r="DM241" s="255">
        <v>0</v>
      </c>
      <c r="DU241" s="56">
        <f ca="1">SUM([5]COMED!$P232:$R232)</f>
        <v>0</v>
      </c>
    </row>
    <row r="242" spans="116:125" hidden="1" x14ac:dyDescent="0.2">
      <c r="DL242" s="254">
        <v>42736</v>
      </c>
      <c r="DM242" s="255">
        <v>0</v>
      </c>
      <c r="DU242" s="56">
        <f ca="1">SUM([5]COMED!$P233:$R233)</f>
        <v>0</v>
      </c>
    </row>
    <row r="243" spans="116:125" hidden="1" x14ac:dyDescent="0.2">
      <c r="DL243" s="254">
        <v>42767</v>
      </c>
      <c r="DM243" s="255">
        <v>0</v>
      </c>
      <c r="DU243" s="56">
        <f ca="1">SUM([5]COMED!$P234:$R234)</f>
        <v>0</v>
      </c>
    </row>
    <row r="244" spans="116:125" hidden="1" x14ac:dyDescent="0.2">
      <c r="DL244" s="254">
        <v>42795</v>
      </c>
      <c r="DM244" s="255">
        <v>0</v>
      </c>
      <c r="DU244" s="56">
        <f ca="1">SUM([5]COMED!$P235:$R235)</f>
        <v>0</v>
      </c>
    </row>
    <row r="245" spans="116:125" hidden="1" x14ac:dyDescent="0.2">
      <c r="DL245" s="254">
        <v>42826</v>
      </c>
      <c r="DM245" s="255">
        <v>0</v>
      </c>
      <c r="DU245" s="56">
        <f ca="1">SUM([5]COMED!$P236:$R236)</f>
        <v>0</v>
      </c>
    </row>
    <row r="246" spans="116:125" hidden="1" x14ac:dyDescent="0.2">
      <c r="DL246" s="254">
        <v>42856</v>
      </c>
      <c r="DM246" s="255">
        <v>0</v>
      </c>
      <c r="DU246" s="56">
        <f ca="1">SUM([5]COMED!$P237:$R237)</f>
        <v>0</v>
      </c>
    </row>
    <row r="247" spans="116:125" hidden="1" x14ac:dyDescent="0.2">
      <c r="DL247" s="254">
        <v>42887</v>
      </c>
      <c r="DM247" s="255">
        <v>0</v>
      </c>
      <c r="DU247" s="56">
        <f ca="1">SUM([5]COMED!$P238:$R238)</f>
        <v>0</v>
      </c>
    </row>
    <row r="248" spans="116:125" hidden="1" x14ac:dyDescent="0.2">
      <c r="DL248" s="254">
        <v>42917</v>
      </c>
      <c r="DM248" s="255">
        <v>0</v>
      </c>
      <c r="DU248" s="56">
        <f ca="1">SUM([5]COMED!$P239:$R239)</f>
        <v>0</v>
      </c>
    </row>
    <row r="249" spans="116:125" hidden="1" x14ac:dyDescent="0.2">
      <c r="DL249" s="254">
        <v>42948</v>
      </c>
      <c r="DM249" s="255">
        <v>0</v>
      </c>
      <c r="DU249" s="56">
        <f ca="1">SUM([5]COMED!$P240:$R240)</f>
        <v>0</v>
      </c>
    </row>
    <row r="250" spans="116:125" hidden="1" x14ac:dyDescent="0.2">
      <c r="DL250" s="254">
        <v>42979</v>
      </c>
      <c r="DM250" s="255">
        <v>0</v>
      </c>
      <c r="DU250" s="56">
        <f ca="1">SUM([5]COMED!$P241:$R241)</f>
        <v>0</v>
      </c>
    </row>
    <row r="251" spans="116:125" hidden="1" x14ac:dyDescent="0.2">
      <c r="DL251" s="254">
        <v>43009</v>
      </c>
      <c r="DM251" s="255">
        <v>0</v>
      </c>
      <c r="DU251" s="56">
        <f ca="1">SUM([5]COMED!$P242:$R242)</f>
        <v>0</v>
      </c>
    </row>
    <row r="252" spans="116:125" hidden="1" x14ac:dyDescent="0.2">
      <c r="DL252" s="254">
        <v>43040</v>
      </c>
      <c r="DM252" s="255">
        <v>0</v>
      </c>
      <c r="DU252" s="56">
        <f ca="1">SUM([5]COMED!$P243:$R243)</f>
        <v>0</v>
      </c>
    </row>
    <row r="253" spans="116:125" hidden="1" x14ac:dyDescent="0.2">
      <c r="DL253" s="254">
        <v>43070</v>
      </c>
      <c r="DM253" s="255"/>
      <c r="DU253" s="56">
        <f ca="1">SUM([5]COMED!$P244:$R244)</f>
        <v>0</v>
      </c>
    </row>
    <row r="254" spans="116:125" hidden="1" x14ac:dyDescent="0.2">
      <c r="DU254" s="56">
        <f ca="1">SUM([5]COMED!$P245:$R245)</f>
        <v>0</v>
      </c>
    </row>
    <row r="255" spans="116:125" hidden="1" x14ac:dyDescent="0.2">
      <c r="DU255" s="56">
        <f ca="1">SUM([5]COMED!$P246:$R246)</f>
        <v>0</v>
      </c>
    </row>
    <row r="256" spans="116:125" hidden="1" x14ac:dyDescent="0.2">
      <c r="DU256" s="56">
        <f ca="1">SUM([5]COMED!$P247:$R247)</f>
        <v>0</v>
      </c>
    </row>
    <row r="257" spans="125:125" hidden="1" x14ac:dyDescent="0.2">
      <c r="DU257" s="56">
        <f ca="1">SUM([5]COMED!$P248:$R248)</f>
        <v>0</v>
      </c>
    </row>
    <row r="258" spans="125:125" hidden="1" x14ac:dyDescent="0.2">
      <c r="DU258" s="56">
        <f ca="1">SUM([5]COMED!$P249:$R249)</f>
        <v>0</v>
      </c>
    </row>
    <row r="259" spans="125:125" hidden="1" x14ac:dyDescent="0.2">
      <c r="DU259" s="56">
        <f ca="1">SUM([5]COMED!$P250:$R250)</f>
        <v>0</v>
      </c>
    </row>
    <row r="260" spans="125:125" hidden="1" x14ac:dyDescent="0.2">
      <c r="DU260" s="56">
        <f ca="1">SUM([5]COMED!$P251:$R251)</f>
        <v>0</v>
      </c>
    </row>
    <row r="261" spans="125:125" hidden="1" x14ac:dyDescent="0.2">
      <c r="DU261" s="56">
        <f ca="1">SUM([5]COMED!$P252:$R252)</f>
        <v>0</v>
      </c>
    </row>
    <row r="262" spans="125:125" hidden="1" x14ac:dyDescent="0.2">
      <c r="DU262" s="56">
        <f ca="1">SUM([5]COMED!$P253:$R253)</f>
        <v>0</v>
      </c>
    </row>
    <row r="263" spans="125:125" hidden="1" x14ac:dyDescent="0.2">
      <c r="DU263" s="56">
        <f ca="1">SUM([5]COMED!$P254:$R254)</f>
        <v>0</v>
      </c>
    </row>
    <row r="264" spans="125:125" hidden="1" x14ac:dyDescent="0.2">
      <c r="DU264" s="56">
        <f ca="1">SUM([5]COMED!$P255:$R255)</f>
        <v>0</v>
      </c>
    </row>
    <row r="265" spans="125:125" hidden="1" x14ac:dyDescent="0.2">
      <c r="DU265" s="56">
        <f>SUM([5]COMED!$P256:$R256)</f>
        <v>0</v>
      </c>
    </row>
    <row r="266" spans="125:125" hidden="1" x14ac:dyDescent="0.2">
      <c r="DU266" s="56">
        <f>SUM([5]COMED!$P257:$R257)</f>
        <v>0</v>
      </c>
    </row>
    <row r="267" spans="125:125" hidden="1" x14ac:dyDescent="0.2">
      <c r="DU267" s="56">
        <f>SUM([5]COMED!$P258:$R258)</f>
        <v>0</v>
      </c>
    </row>
    <row r="268" spans="125:125" hidden="1" x14ac:dyDescent="0.2">
      <c r="DU268" s="56">
        <f>SUM([5]COMED!$P259:$R259)</f>
        <v>0</v>
      </c>
    </row>
    <row r="269" spans="125:125" hidden="1" x14ac:dyDescent="0.2">
      <c r="DU269" s="56">
        <f>SUM([5]COMED!$P260:$R260)</f>
        <v>0</v>
      </c>
    </row>
    <row r="270" spans="125:125" hidden="1" x14ac:dyDescent="0.2">
      <c r="DU270" s="56">
        <f>SUM([5]COMED!$P261:$R261)</f>
        <v>0</v>
      </c>
    </row>
    <row r="271" spans="125:125" hidden="1" x14ac:dyDescent="0.2">
      <c r="DU271" s="56">
        <f>SUM([5]COMED!$P262:$R262)</f>
        <v>0</v>
      </c>
    </row>
    <row r="272" spans="125:125" hidden="1" x14ac:dyDescent="0.2">
      <c r="DU272" s="56">
        <f>SUM([5]COMED!$P263:$R263)</f>
        <v>0</v>
      </c>
    </row>
    <row r="273" spans="125:125" hidden="1" x14ac:dyDescent="0.2">
      <c r="DU273" s="56">
        <f>SUM([5]COMED!$P264:$R264)</f>
        <v>0</v>
      </c>
    </row>
    <row r="274" spans="125:125" hidden="1" x14ac:dyDescent="0.2">
      <c r="DU274" s="56">
        <f>SUM([5]COMED!$P265:$R265)</f>
        <v>0</v>
      </c>
    </row>
    <row r="275" spans="125:125" hidden="1" x14ac:dyDescent="0.2">
      <c r="DU275" s="56">
        <f>SUM([5]COMED!$P266:$R266)</f>
        <v>0</v>
      </c>
    </row>
    <row r="276" spans="125:125" hidden="1" x14ac:dyDescent="0.2">
      <c r="DU276" s="56">
        <f>SUM([5]COMED!$P267:$R267)</f>
        <v>0</v>
      </c>
    </row>
    <row r="277" spans="125:125" hidden="1" x14ac:dyDescent="0.2">
      <c r="DU277" s="56">
        <f>SUM([5]COMED!$P268:$R268)</f>
        <v>0</v>
      </c>
    </row>
    <row r="278" spans="125:125" hidden="1" x14ac:dyDescent="0.2">
      <c r="DU278" s="56">
        <f>SUM([5]COMED!$P269:$R269)</f>
        <v>0</v>
      </c>
    </row>
    <row r="279" spans="125:125" hidden="1" x14ac:dyDescent="0.2">
      <c r="DU279" s="56">
        <f>SUM([5]COMED!$P270:$R270)</f>
        <v>0</v>
      </c>
    </row>
    <row r="280" spans="125:125" hidden="1" x14ac:dyDescent="0.2">
      <c r="DU280" s="56">
        <f>SUM([5]COMED!$P271:$R271)</f>
        <v>0</v>
      </c>
    </row>
    <row r="281" spans="125:125" hidden="1" x14ac:dyDescent="0.2">
      <c r="DU281" s="56">
        <f>SUM([5]COMED!$P272:$R272)</f>
        <v>0</v>
      </c>
    </row>
    <row r="282" spans="125:125" hidden="1" x14ac:dyDescent="0.2">
      <c r="DU282" s="56">
        <f>SUM([5]COMED!$P273:$R273)</f>
        <v>0</v>
      </c>
    </row>
    <row r="283" spans="125:125" hidden="1" x14ac:dyDescent="0.2">
      <c r="DU283" s="56">
        <f>SUM([5]COMED!$P274:$R274)</f>
        <v>0</v>
      </c>
    </row>
    <row r="284" spans="125:125" hidden="1" x14ac:dyDescent="0.2">
      <c r="DU284" s="56">
        <f>SUM([5]COMED!$P275:$R275)</f>
        <v>0</v>
      </c>
    </row>
    <row r="285" spans="125:125" hidden="1" x14ac:dyDescent="0.2">
      <c r="DU285" s="56">
        <f>SUM([5]COMED!$P276:$R276)</f>
        <v>0</v>
      </c>
    </row>
    <row r="286" spans="125:125" hidden="1" x14ac:dyDescent="0.2">
      <c r="DU286" s="56">
        <f>SUM([5]COMED!$P277:$R277)</f>
        <v>0</v>
      </c>
    </row>
    <row r="287" spans="125:125" hidden="1" x14ac:dyDescent="0.2">
      <c r="DU287" s="56">
        <f>SUM([5]COMED!$P278:$R278)</f>
        <v>0</v>
      </c>
    </row>
    <row r="288" spans="125:125" hidden="1" x14ac:dyDescent="0.2">
      <c r="DU288" s="56">
        <f>SUM([5]COMED!$P279:$R279)</f>
        <v>0</v>
      </c>
    </row>
    <row r="289" spans="125:125" hidden="1" x14ac:dyDescent="0.2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5</xdr:row>
                    <xdr:rowOff>0</xdr:rowOff>
                  </from>
                  <to>
                    <xdr:col>4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304800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371475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304800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371475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9525</xdr:colOff>
                    <xdr:row>3</xdr:row>
                    <xdr:rowOff>0</xdr:rowOff>
                  </from>
                  <to>
                    <xdr:col>4</xdr:col>
                    <xdr:colOff>95250</xdr:colOff>
                    <xdr:row>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2.75" x14ac:dyDescent="0.2"/>
  <cols>
    <col min="1" max="1" width="10.28515625" customWidth="1"/>
    <col min="2" max="2" width="14.140625" bestFit="1" customWidth="1"/>
    <col min="3" max="3" width="15" bestFit="1" customWidth="1"/>
    <col min="4" max="4" width="14.140625" bestFit="1" customWidth="1"/>
    <col min="5" max="5" width="10.7109375" customWidth="1"/>
    <col min="6" max="6" width="13.28515625" bestFit="1" customWidth="1"/>
    <col min="7" max="7" width="14.5703125" customWidth="1"/>
    <col min="8" max="8" width="14.140625" bestFit="1" customWidth="1"/>
    <col min="9" max="9" width="14" bestFit="1" customWidth="1"/>
    <col min="10" max="10" width="12.5703125" customWidth="1"/>
    <col min="11" max="11" width="19.7109375" customWidth="1"/>
    <col min="12" max="12" width="12.7109375" customWidth="1"/>
    <col min="13" max="13" width="14.140625" bestFit="1" customWidth="1"/>
    <col min="14" max="14" width="12.85546875" bestFit="1" customWidth="1"/>
    <col min="15" max="15" width="9.85546875" bestFit="1" customWidth="1"/>
    <col min="17" max="17" width="12.5703125" bestFit="1" customWidth="1"/>
    <col min="18" max="18" width="7.5703125" customWidth="1"/>
    <col min="19" max="19" width="11.5703125" customWidth="1"/>
    <col min="20" max="20" width="9.7109375" customWidth="1"/>
    <col min="24" max="24" width="11.140625" bestFit="1" customWidth="1"/>
    <col min="25" max="25" width="10.28515625" bestFit="1" customWidth="1"/>
    <col min="26" max="26" width="8.7109375" bestFit="1" customWidth="1"/>
    <col min="28" max="28" width="13.85546875" bestFit="1" customWidth="1"/>
    <col min="29" max="29" width="16.85546875" bestFit="1" customWidth="1"/>
    <col min="30" max="30" width="11.42578125" bestFit="1" customWidth="1"/>
    <col min="31" max="31" width="16.7109375" bestFit="1" customWidth="1"/>
    <col min="32" max="32" width="19.7109375" bestFit="1" customWidth="1"/>
    <col min="33" max="33" width="14.140625" bestFit="1" customWidth="1"/>
    <col min="34" max="34" width="11.42578125" bestFit="1" customWidth="1"/>
    <col min="35" max="35" width="7.140625" bestFit="1" customWidth="1"/>
    <col min="36" max="36" width="15.5703125" bestFit="1" customWidth="1"/>
    <col min="37" max="37" width="18" bestFit="1" customWidth="1"/>
    <col min="38" max="38" width="10.28515625" bestFit="1" customWidth="1"/>
    <col min="40" max="40" width="10.7109375" customWidth="1"/>
    <col min="41" max="41" width="11.42578125" customWidth="1"/>
  </cols>
  <sheetData>
    <row r="1" spans="1:41" ht="18.75" thickBot="1" x14ac:dyDescent="0.3">
      <c r="F1" s="273"/>
      <c r="G1" s="273"/>
      <c r="H1" s="272"/>
      <c r="I1" s="539" t="s">
        <v>93</v>
      </c>
      <c r="N1" s="539" t="s">
        <v>93</v>
      </c>
    </row>
    <row r="2" spans="1:41" ht="16.5" thickBot="1" x14ac:dyDescent="0.3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-177522.6836005979</v>
      </c>
      <c r="I2" s="531"/>
      <c r="K2" s="507"/>
      <c r="L2" s="541" t="s">
        <v>248</v>
      </c>
      <c r="M2" s="532">
        <f>SUM(X10:X100)</f>
        <v>-1846640.4031423223</v>
      </c>
      <c r="N2" s="533"/>
    </row>
    <row r="3" spans="1:41" ht="16.5" thickBot="1" x14ac:dyDescent="0.3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-763.22950900000035</v>
      </c>
      <c r="I3" s="537">
        <f>H3+H2</f>
        <v>-178285.9131095979</v>
      </c>
      <c r="K3" s="509"/>
      <c r="L3" s="529" t="s">
        <v>249</v>
      </c>
      <c r="M3" s="534">
        <f>SUM(Y10:Y100)</f>
        <v>293933.86551978061</v>
      </c>
      <c r="N3" s="533"/>
    </row>
    <row r="4" spans="1:41" ht="16.5" thickBot="1" x14ac:dyDescent="0.3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221843.7761283789</v>
      </c>
      <c r="N4" s="537">
        <f>SUM(M2:M4)</f>
        <v>-1330862.7614941627</v>
      </c>
    </row>
    <row r="5" spans="1:41" ht="16.5" thickBot="1" x14ac:dyDescent="0.3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20.25" thickBot="1" x14ac:dyDescent="0.4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.75" thickBot="1" x14ac:dyDescent="0.3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5" thickBot="1" x14ac:dyDescent="0.25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5" thickBot="1" x14ac:dyDescent="0.25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">
      <c r="A10" s="495">
        <f>IF($B$5=1,[5]Cinergy!$D34,[5]Cinergy!$D35)</f>
        <v>37195</v>
      </c>
      <c r="B10" s="482">
        <f>VLOOKUP(A10,$AA$10:$AH$100,2)+VLOOKUP(A10,$AA$10:$AH$100,3)</f>
        <v>-26741.084115370002</v>
      </c>
      <c r="C10" s="483">
        <f>VLOOKUP(A10,$AA$10:$AH$100,4)</f>
        <v>-199635.83549999999</v>
      </c>
      <c r="D10" s="521">
        <f>B10+C10</f>
        <v>-226376.91961536999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2.44</v>
      </c>
      <c r="I10" s="524">
        <f>IF($I$7=1,NymexData!AN12,NymexData!X12)</f>
        <v>5.0000000000000001E-3</v>
      </c>
      <c r="J10" s="485">
        <f>IF($I$7=1,H10+I10,VLOOKUP(A10,NymexData!$AA$12:$AB$128,2))</f>
        <v>2.4449999999999998</v>
      </c>
      <c r="K10" s="483">
        <f>B10*I10</f>
        <v>-133.70542057685</v>
      </c>
      <c r="L10" s="483">
        <f>C10*I10</f>
        <v>-998.17917749999992</v>
      </c>
      <c r="M10" s="480">
        <f>E10*I10</f>
        <v>0</v>
      </c>
      <c r="N10" s="483">
        <f>F10*I10</f>
        <v>0</v>
      </c>
      <c r="O10" s="479">
        <f>SUM(K10:N10)</f>
        <v>-1131.8845980768499</v>
      </c>
      <c r="Q10" s="546">
        <f>TradeSum!S12/GencoPosn!J10*1000</f>
        <v>10613.49693251534</v>
      </c>
      <c r="R10" s="495">
        <f t="shared" ref="R10:R41" si="0">A10</f>
        <v>37195</v>
      </c>
      <c r="S10" s="483">
        <f>VLOOKUP(R10,$AA$10:$AH$100,5)+VLOOKUP(R10,$AA$10:$AH$100,6)</f>
        <v>4744.7079906119798</v>
      </c>
      <c r="T10" s="483">
        <f>VLOOKUP(R10,$AA$10:$AH$100,7)</f>
        <v>-51648.689716707398</v>
      </c>
      <c r="U10" s="483">
        <f>VLOOKUP(R10,$AA$10:$AH$100,8)</f>
        <v>51648.689716707304</v>
      </c>
      <c r="V10" s="483">
        <f>S10+T10+U10</f>
        <v>4744.7079906118888</v>
      </c>
      <c r="W10" s="498">
        <f>[5]Cinergy!$F34</f>
        <v>-9.9999237060544033E-2</v>
      </c>
      <c r="X10" s="483">
        <f>S10*W10</f>
        <v>-474.46717913626492</v>
      </c>
      <c r="Y10" s="483">
        <f>T10*W10</f>
        <v>5164.8295668475057</v>
      </c>
      <c r="Z10" s="483">
        <f>U10*W10</f>
        <v>-5164.8295668474966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">
      <c r="A11" s="496">
        <f>IF($B$5=1,[5]Cinergy!$D35,[5]Cinergy!$D36)</f>
        <v>37196</v>
      </c>
      <c r="B11" s="483">
        <f>IF(ISERROR(VLOOKUP(A11,$AA$10:$AH$100,2,FALSE))+ISERROR(VLOOKUP(A11,$AA$10:$AH$100,3,FALSE))=0,VLOOKUP(A11,$AA$10:$AH$100,2,FALSE)+VLOOKUP(A11,$AA$10:$AH$100,3,FALSE),0)</f>
        <v>-1597384.5354830329</v>
      </c>
      <c r="C11" s="483">
        <f>IF(ISERROR(VLOOKUP(A11,$AA$10:$AH$100,4,FALSE))=FALSE,VLOOKUP(A11,$AA$10:$AH$100,4,FALSE),0)</f>
        <v>12651.385399999999</v>
      </c>
      <c r="D11" s="522">
        <f t="shared" ref="D11:D74" si="1">B11+C11</f>
        <v>-1584733.1500830329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2.74</v>
      </c>
      <c r="I11" s="525">
        <f>IF($I$7=1,NymexData!AN13,NymexData!X13)</f>
        <v>0</v>
      </c>
      <c r="J11" s="486">
        <f>IF($I$7=1,H11+I11,VLOOKUP(A11,NymexData!$AA$12:$AB$128,2))</f>
        <v>2.74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9562.0437956204387</v>
      </c>
      <c r="R11" s="496">
        <f t="shared" si="0"/>
        <v>37196</v>
      </c>
      <c r="S11" s="483">
        <f>IF(ISERROR(VLOOKUP(R11,$AA$10:$AH$100,5,FALSE))+ISERROR(VLOOKUP(R11,$AA$10:$AH$100,6,FALSE))=0,VLOOKUP(R11,$AA$10:$AH$100,5,FALSE)+VLOOKUP(R11,$AA$10:$AH$100,6,FALSE),0)</f>
        <v>26356.514804963204</v>
      </c>
      <c r="T11" s="483">
        <f>IF(ISERROR(VLOOKUP(R11,$AA$10:$AH$100,7,FALSE))=FALSE,VLOOKUP(R11,$AA$10:$AH$100,7,FALSE),0)</f>
        <v>-46913.427344068201</v>
      </c>
      <c r="U11" s="483">
        <f>IF(ISERROR(VLOOKUP(R11,$AA$10:$AH$100,8,FALSE))=FALSE,VLOOKUP(R11,$AA$10:$AH$100,8,FALSE),0)</f>
        <v>46913.427344068201</v>
      </c>
      <c r="V11" s="483">
        <f t="shared" ref="V11:V74" si="2">S11+T11+U11</f>
        <v>26356.514804963204</v>
      </c>
      <c r="W11" s="498">
        <f>[5]Cinergy!$F35</f>
        <v>5.0000381469729405E-2</v>
      </c>
      <c r="X11" s="483">
        <f>S11*W11</f>
        <v>1317.835794460731</v>
      </c>
      <c r="Y11" s="483">
        <f>T11*W11</f>
        <v>-2345.6892632558443</v>
      </c>
      <c r="Z11" s="483">
        <f>U11*W11</f>
        <v>2345.6892632558443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35">
      <c r="A12" s="496">
        <f>IF($B$5=1,[5]Cinergy!$D36,[5]Cinergy!$D37)</f>
        <v>37226</v>
      </c>
      <c r="B12" s="483">
        <f t="shared" ref="B12:B75" si="3">IF(ISERROR(VLOOKUP(A12,$AA$10:$AH$100,2,FALSE))+ISERROR(VLOOKUP(A12,$AA$10:$AH$100,3,FALSE))=0,VLOOKUP(A12,$AA$10:$AH$100,2,FALSE)+VLOOKUP(A12,$AA$10:$AH$100,3,FALSE),0)</f>
        <v>-835289.22158096684</v>
      </c>
      <c r="C12" s="483">
        <f t="shared" ref="C12:C75" si="4">IF(ISERROR(VLOOKUP(A12,$AA$10:$AH$100,4,FALSE))=FALSE,VLOOKUP(A12,$AA$10:$AH$100,4,FALSE),0)</f>
        <v>-20100.216499999999</v>
      </c>
      <c r="D12" s="522">
        <f t="shared" si="1"/>
        <v>-855389.43808096682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3.06</v>
      </c>
      <c r="I12" s="525">
        <f>IF($I$7=1,NymexData!AN14,NymexData!X14)</f>
        <v>-0.01</v>
      </c>
      <c r="J12" s="486">
        <f>IF($I$7=1,H12+I12,VLOOKUP(A12,NymexData!$AA$12:$AB$128,2))</f>
        <v>3.0500000000000003</v>
      </c>
      <c r="K12" s="483">
        <f t="shared" ref="K12:K75" si="8">B12*I12</f>
        <v>8352.8922158096684</v>
      </c>
      <c r="L12" s="483">
        <f t="shared" ref="L12:L75" si="9">C12*I12</f>
        <v>201.00216499999999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8553.8943808096683</v>
      </c>
      <c r="Q12" s="546">
        <f>TradeSum!S14/GencoPosn!J12*1000</f>
        <v>9016.3934426229498</v>
      </c>
      <c r="R12" s="496">
        <f t="shared" si="0"/>
        <v>37226</v>
      </c>
      <c r="S12" s="483">
        <f t="shared" ref="S12:S75" si="13">IF(ISERROR(VLOOKUP(R12,$AA$10:$AH$100,5,FALSE))+ISERROR(VLOOKUP(R12,$AA$10:$AH$100,6,FALSE))=0,VLOOKUP(R12,$AA$10:$AH$100,5,FALSE)+VLOOKUP(R12,$AA$10:$AH$100,6,FALSE),0)</f>
        <v>19504.051232177149</v>
      </c>
      <c r="T12" s="483">
        <f t="shared" ref="T12:T75" si="14">IF(ISERROR(VLOOKUP(R12,$AA$10:$AH$100,7,FALSE))=FALSE,VLOOKUP(R12,$AA$10:$AH$100,7,FALSE),0)</f>
        <v>-44438.397971482897</v>
      </c>
      <c r="U12" s="483">
        <f t="shared" ref="U12:U75" si="15">IF(ISERROR(VLOOKUP(R12,$AA$10:$AH$100,8,FALSE))=FALSE,VLOOKUP(R12,$AA$10:$AH$100,8,FALSE),0)</f>
        <v>44438.397971482802</v>
      </c>
      <c r="V12" s="483">
        <f t="shared" si="2"/>
        <v>19504.051232177055</v>
      </c>
      <c r="W12" s="498">
        <f>[5]Cinergy!$F36</f>
        <v>-0.14999961853027344</v>
      </c>
      <c r="X12" s="483">
        <f t="shared" ref="X12:X75" si="16">S12*W12</f>
        <v>-2925.600244621482</v>
      </c>
      <c r="Y12" s="483">
        <f t="shared" ref="Y12:Y75" si="17">T12*W12</f>
        <v>6665.7427438189115</v>
      </c>
      <c r="Z12" s="483">
        <f t="shared" ref="Z12:Z75" si="18">U12*W12</f>
        <v>-6665.742743818897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35">
      <c r="A13" s="496">
        <f>IF($B$5=1,[5]Cinergy!$D37,[5]Cinergy!$D38)</f>
        <v>37257</v>
      </c>
      <c r="B13" s="483">
        <f t="shared" si="3"/>
        <v>-1866469.8484124851</v>
      </c>
      <c r="C13" s="483">
        <f t="shared" si="4"/>
        <v>-158781.82060000001</v>
      </c>
      <c r="D13" s="522">
        <f t="shared" si="1"/>
        <v>-2025251.6690124851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3.2050000000000001</v>
      </c>
      <c r="I13" s="525">
        <f>IF($I$7=1,NymexData!AN15,NymexData!X15)</f>
        <v>0</v>
      </c>
      <c r="J13" s="486">
        <f>IF($I$7=1,H13+I13,VLOOKUP(A13,NymexData!$AA$12:$AB$128,2))</f>
        <v>3.2050000000000001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9178.3674747520035</v>
      </c>
      <c r="R13" s="496">
        <f t="shared" si="0"/>
        <v>37257</v>
      </c>
      <c r="S13" s="483">
        <f t="shared" si="13"/>
        <v>50095.862147485102</v>
      </c>
      <c r="T13" s="483">
        <f t="shared" si="14"/>
        <v>-48617.606230780701</v>
      </c>
      <c r="U13" s="483">
        <f t="shared" si="15"/>
        <v>16205.868743593601</v>
      </c>
      <c r="V13" s="483">
        <f t="shared" si="2"/>
        <v>17684.124660298003</v>
      </c>
      <c r="W13" s="498">
        <f>[5]Cinergy!$F37</f>
        <v>-0.25000018165225057</v>
      </c>
      <c r="X13" s="483">
        <f t="shared" si="16"/>
        <v>-12523.974636897379</v>
      </c>
      <c r="Y13" s="483">
        <f t="shared" si="17"/>
        <v>12154.410389192764</v>
      </c>
      <c r="Z13" s="483">
        <f t="shared" si="18"/>
        <v>-4051.4701297309298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35">
      <c r="A14" s="496">
        <f>IF($B$5=1,[5]Cinergy!$D38,[5]Cinergy!$D39)</f>
        <v>37288</v>
      </c>
      <c r="B14" s="483">
        <f t="shared" si="3"/>
        <v>-1917447.76207881</v>
      </c>
      <c r="C14" s="483">
        <f t="shared" si="4"/>
        <v>-60916.245499999997</v>
      </c>
      <c r="D14" s="522">
        <f t="shared" si="1"/>
        <v>-1978364.00757881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3.177</v>
      </c>
      <c r="I14" s="525">
        <f>IF($I$7=1,NymexData!AN16,NymexData!X16)</f>
        <v>0</v>
      </c>
      <c r="J14" s="486">
        <f>IF($I$7=1,H14+I14,VLOOKUP(A14,NymexData!$AA$12:$AB$128,2))</f>
        <v>3.177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9149.0920578413006</v>
      </c>
      <c r="R14" s="496">
        <f t="shared" si="0"/>
        <v>37288</v>
      </c>
      <c r="S14" s="483">
        <f t="shared" si="13"/>
        <v>50090.461084852403</v>
      </c>
      <c r="T14" s="483">
        <f t="shared" si="14"/>
        <v>-43982.196917535905</v>
      </c>
      <c r="U14" s="483">
        <f t="shared" si="15"/>
        <v>14660.7323058453</v>
      </c>
      <c r="V14" s="483">
        <f t="shared" si="2"/>
        <v>20768.996473161798</v>
      </c>
      <c r="W14" s="498">
        <f>[5]Cinergy!$F38</f>
        <v>-0.25000018165225057</v>
      </c>
      <c r="X14" s="483">
        <f t="shared" si="16"/>
        <v>-12522.624370258089</v>
      </c>
      <c r="Y14" s="483">
        <f t="shared" si="17"/>
        <v>10995.557218849031</v>
      </c>
      <c r="Z14" s="483">
        <f t="shared" si="18"/>
        <v>-3665.1857396163437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35">
      <c r="A15" s="496">
        <f>IF($B$5=1,[5]Cinergy!$D39,[5]Cinergy!$D40)</f>
        <v>37316</v>
      </c>
      <c r="B15" s="483">
        <f t="shared" si="3"/>
        <v>-1080447.8036532891</v>
      </c>
      <c r="C15" s="483">
        <f t="shared" si="4"/>
        <v>-157149.239</v>
      </c>
      <c r="D15" s="522">
        <f t="shared" si="1"/>
        <v>-1237597.0426532892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3.105</v>
      </c>
      <c r="I15" s="525">
        <f>IF($I$7=1,NymexData!AN17,NymexData!X17)</f>
        <v>0</v>
      </c>
      <c r="J15" s="486">
        <f>IF($I$7=1,H15+I15,VLOOKUP(A15,NymexData!$AA$12:$AB$128,2))</f>
        <v>3.105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8863.0489698935107</v>
      </c>
      <c r="R15" s="496">
        <f t="shared" si="0"/>
        <v>37316</v>
      </c>
      <c r="S15" s="483">
        <f t="shared" si="13"/>
        <v>28483.062091323402</v>
      </c>
      <c r="T15" s="483">
        <f t="shared" si="14"/>
        <v>-30621.803715523998</v>
      </c>
      <c r="U15" s="483">
        <f t="shared" si="15"/>
        <v>15310.901857761999</v>
      </c>
      <c r="V15" s="483">
        <f t="shared" si="2"/>
        <v>13172.160233561402</v>
      </c>
      <c r="W15" s="498">
        <f>[5]Cinergy!$F39</f>
        <v>-0.25000070971112009</v>
      </c>
      <c r="X15" s="483">
        <f t="shared" si="16"/>
        <v>-7120.7857375767508</v>
      </c>
      <c r="Y15" s="483">
        <f t="shared" si="17"/>
        <v>7655.4726615156142</v>
      </c>
      <c r="Z15" s="483">
        <f t="shared" si="18"/>
        <v>-3827.7363307578071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3.1832314562052486E-13</v>
      </c>
      <c r="AO15" s="460"/>
    </row>
    <row r="16" spans="1:41" ht="15" x14ac:dyDescent="0.35">
      <c r="A16" s="496">
        <f>IF($B$5=1,[5]Cinergy!$D40,[5]Cinergy!$D41)</f>
        <v>37347</v>
      </c>
      <c r="B16" s="483">
        <f t="shared" si="3"/>
        <v>-144309.66478779441</v>
      </c>
      <c r="C16" s="483">
        <f t="shared" si="4"/>
        <v>92152.176900000006</v>
      </c>
      <c r="D16" s="522">
        <f t="shared" si="1"/>
        <v>-52157.487887794399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3.012</v>
      </c>
      <c r="I16" s="525">
        <f>IF($I$7=1,NymexData!AN18,NymexData!X18)</f>
        <v>-0.01</v>
      </c>
      <c r="J16" s="486">
        <f>IF($I$7=1,H16+I16,VLOOKUP(A16,NymexData!$AA$12:$AB$128,2))</f>
        <v>3.0020000000000002</v>
      </c>
      <c r="K16" s="483">
        <f t="shared" si="8"/>
        <v>1443.0966478779442</v>
      </c>
      <c r="L16" s="483">
        <f t="shared" si="9"/>
        <v>-921.52176900000006</v>
      </c>
      <c r="M16" s="480">
        <f t="shared" si="10"/>
        <v>0</v>
      </c>
      <c r="N16" s="483">
        <f t="shared" si="11"/>
        <v>0</v>
      </c>
      <c r="O16" s="480">
        <f t="shared" si="12"/>
        <v>521.57487887794412</v>
      </c>
      <c r="Q16" s="546">
        <f>TradeSum!S18/GencoPosn!J16*1000</f>
        <v>9317.0445751028637</v>
      </c>
      <c r="R16" s="496">
        <f t="shared" si="0"/>
        <v>37347</v>
      </c>
      <c r="S16" s="483">
        <f t="shared" si="13"/>
        <v>23725.392910836301</v>
      </c>
      <c r="T16" s="483">
        <f t="shared" si="14"/>
        <v>-31913.328472238001</v>
      </c>
      <c r="U16" s="483">
        <f t="shared" si="15"/>
        <v>15956.664236119001</v>
      </c>
      <c r="V16" s="483">
        <f t="shared" si="2"/>
        <v>7768.7286747173002</v>
      </c>
      <c r="W16" s="498">
        <f>[5]Cinergy!$F40</f>
        <v>-0.25000070971112009</v>
      </c>
      <c r="X16" s="483">
        <f t="shared" si="16"/>
        <v>-5931.3650658842525</v>
      </c>
      <c r="Y16" s="483">
        <f t="shared" si="17"/>
        <v>7978.3547673035964</v>
      </c>
      <c r="Z16" s="483">
        <f t="shared" si="18"/>
        <v>-3989.1773836517982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-352.33585100990922</v>
      </c>
      <c r="AO16" s="460"/>
    </row>
    <row r="17" spans="1:41" ht="15" x14ac:dyDescent="0.35">
      <c r="A17" s="496">
        <f>IF($B$5=1,[5]Cinergy!$D41,[5]Cinergy!$D42)</f>
        <v>37377</v>
      </c>
      <c r="B17" s="483">
        <f t="shared" si="3"/>
        <v>-329041.996000338</v>
      </c>
      <c r="C17" s="483">
        <f t="shared" si="4"/>
        <v>55287.796600000001</v>
      </c>
      <c r="D17" s="522">
        <f t="shared" si="1"/>
        <v>-273754.199400338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3.0350000000000001</v>
      </c>
      <c r="I17" s="525">
        <f>IF($I$7=1,NymexData!AN19,NymexData!X19)</f>
        <v>-0.01</v>
      </c>
      <c r="J17" s="486">
        <f>IF($I$7=1,H17+I17,VLOOKUP(A17,NymexData!$AA$12:$AB$128,2))</f>
        <v>3.0250000000000004</v>
      </c>
      <c r="K17" s="483">
        <f t="shared" si="8"/>
        <v>3290.4199600033799</v>
      </c>
      <c r="L17" s="483">
        <f t="shared" si="9"/>
        <v>-552.87796600000001</v>
      </c>
      <c r="M17" s="480">
        <f t="shared" si="10"/>
        <v>0</v>
      </c>
      <c r="N17" s="483">
        <f t="shared" si="11"/>
        <v>0</v>
      </c>
      <c r="O17" s="480">
        <f t="shared" si="12"/>
        <v>2737.5419940033798</v>
      </c>
      <c r="Q17" s="546">
        <f>TradeSum!S19/GencoPosn!J17*1000</f>
        <v>10330.578512396693</v>
      </c>
      <c r="R17" s="496">
        <f t="shared" si="0"/>
        <v>37377</v>
      </c>
      <c r="S17" s="483">
        <f t="shared" si="13"/>
        <v>49508.514095203602</v>
      </c>
      <c r="T17" s="483">
        <f t="shared" si="14"/>
        <v>-31741.9044165134</v>
      </c>
      <c r="U17" s="483">
        <f t="shared" si="15"/>
        <v>15870.9522082567</v>
      </c>
      <c r="V17" s="483">
        <f t="shared" si="2"/>
        <v>33637.561886946904</v>
      </c>
      <c r="W17" s="498">
        <f>[5]Cinergy!$F41</f>
        <v>0</v>
      </c>
      <c r="X17" s="483">
        <f t="shared" si="16"/>
        <v>0</v>
      </c>
      <c r="Y17" s="483">
        <f t="shared" si="17"/>
        <v>0</v>
      </c>
      <c r="Z17" s="483">
        <f t="shared" si="18"/>
        <v>0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35">
      <c r="A18" s="496">
        <f>IF($B$5=1,[5]Cinergy!$D42,[5]Cinergy!$D43)</f>
        <v>37408</v>
      </c>
      <c r="B18" s="483">
        <f t="shared" si="3"/>
        <v>-1400921.8360388828</v>
      </c>
      <c r="C18" s="483">
        <f t="shared" si="4"/>
        <v>91181.095199999996</v>
      </c>
      <c r="D18" s="522">
        <f t="shared" si="1"/>
        <v>-1309740.7408388827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3.07</v>
      </c>
      <c r="I18" s="525">
        <f>IF($I$7=1,NymexData!AN20,NymexData!X20)</f>
        <v>-0.01</v>
      </c>
      <c r="J18" s="486">
        <f>IF($I$7=1,H18+I18,VLOOKUP(A18,NymexData!$AA$12:$AB$128,2))</f>
        <v>3.06</v>
      </c>
      <c r="K18" s="483">
        <f t="shared" si="8"/>
        <v>14009.218360388828</v>
      </c>
      <c r="L18" s="483">
        <f t="shared" si="9"/>
        <v>-911.81095199999993</v>
      </c>
      <c r="M18" s="480">
        <f t="shared" si="10"/>
        <v>0</v>
      </c>
      <c r="N18" s="483">
        <f t="shared" si="11"/>
        <v>0</v>
      </c>
      <c r="O18" s="480">
        <f t="shared" si="12"/>
        <v>13097.407408388828</v>
      </c>
      <c r="Q18" s="546">
        <f>TradeSum!S20/GencoPosn!J18*1000</f>
        <v>13398.692810457516</v>
      </c>
      <c r="R18" s="496">
        <f t="shared" si="0"/>
        <v>37408</v>
      </c>
      <c r="S18" s="483">
        <f t="shared" si="13"/>
        <v>209297.31544037472</v>
      </c>
      <c r="T18" s="483">
        <f t="shared" si="14"/>
        <v>-28705.447467194401</v>
      </c>
      <c r="U18" s="483">
        <f t="shared" si="15"/>
        <v>-114821.78986877699</v>
      </c>
      <c r="V18" s="483">
        <f t="shared" si="2"/>
        <v>65770.078104403321</v>
      </c>
      <c r="W18" s="498">
        <f>[5]Cinergy!$F42</f>
        <v>-0.375</v>
      </c>
      <c r="X18" s="483">
        <f t="shared" si="16"/>
        <v>-78486.493290140526</v>
      </c>
      <c r="Y18" s="483">
        <f t="shared" si="17"/>
        <v>10764.5428001979</v>
      </c>
      <c r="Z18" s="483">
        <f t="shared" si="18"/>
        <v>43058.171200791374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-680.61580810436271</v>
      </c>
      <c r="AO18" s="460"/>
    </row>
    <row r="19" spans="1:41" ht="15" x14ac:dyDescent="0.35">
      <c r="A19" s="496">
        <f>IF($B$5=1,[5]Cinergy!$D43,[5]Cinergy!$D44)</f>
        <v>37438</v>
      </c>
      <c r="B19" s="483">
        <f t="shared" si="3"/>
        <v>-1894191.5082246291</v>
      </c>
      <c r="C19" s="483">
        <f t="shared" si="4"/>
        <v>54705.081299999998</v>
      </c>
      <c r="D19" s="522">
        <f t="shared" si="1"/>
        <v>-1839486.4269246291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3.1120000000000001</v>
      </c>
      <c r="I19" s="525">
        <f>IF($I$7=1,NymexData!AN21,NymexData!X21)</f>
        <v>2.3E-2</v>
      </c>
      <c r="J19" s="486">
        <f>IF($I$7=1,H19+I19,VLOOKUP(A19,NymexData!$AA$12:$AB$128,2))</f>
        <v>3.1350000000000002</v>
      </c>
      <c r="K19" s="483">
        <f t="shared" si="8"/>
        <v>-43566.404689166469</v>
      </c>
      <c r="L19" s="483">
        <f t="shared" si="9"/>
        <v>1258.2168698999999</v>
      </c>
      <c r="M19" s="480">
        <f t="shared" si="10"/>
        <v>0</v>
      </c>
      <c r="N19" s="483">
        <f t="shared" si="11"/>
        <v>0</v>
      </c>
      <c r="O19" s="480">
        <f t="shared" si="12"/>
        <v>-42308.187819266466</v>
      </c>
      <c r="Q19" s="546">
        <f>TradeSum!S21/GencoPosn!J19*1000</f>
        <v>17503.987240829345</v>
      </c>
      <c r="R19" s="496">
        <f t="shared" si="0"/>
        <v>37438</v>
      </c>
      <c r="S19" s="483">
        <f t="shared" si="13"/>
        <v>279917.296359042</v>
      </c>
      <c r="T19" s="483">
        <f t="shared" si="14"/>
        <v>-235538.475064003</v>
      </c>
      <c r="U19" s="483">
        <f t="shared" si="15"/>
        <v>78512.825021334502</v>
      </c>
      <c r="V19" s="483">
        <f t="shared" si="2"/>
        <v>122891.6463163735</v>
      </c>
      <c r="W19" s="498">
        <f>[5]Cinergy!$F43</f>
        <v>-0.5</v>
      </c>
      <c r="X19" s="483">
        <f t="shared" si="16"/>
        <v>-139958.648179521</v>
      </c>
      <c r="Y19" s="483">
        <f t="shared" si="17"/>
        <v>117769.2375320015</v>
      </c>
      <c r="Z19" s="483">
        <f t="shared" si="18"/>
        <v>-39256.412510667251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-815.57950105977909</v>
      </c>
      <c r="AO19" s="460"/>
    </row>
    <row r="20" spans="1:41" ht="15" x14ac:dyDescent="0.35">
      <c r="A20" s="496">
        <f>IF($B$5=1,[5]Cinergy!$D44,[5]Cinergy!$D45)</f>
        <v>37469</v>
      </c>
      <c r="B20" s="483">
        <f t="shared" si="3"/>
        <v>-1888509.6156020928</v>
      </c>
      <c r="C20" s="483">
        <f t="shared" si="4"/>
        <v>54408.8727</v>
      </c>
      <c r="D20" s="522">
        <f t="shared" si="1"/>
        <v>-1834100.7429020929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3.1470000000000002</v>
      </c>
      <c r="I20" s="525">
        <f>IF($I$7=1,NymexData!AN22,NymexData!X22)</f>
        <v>1.2999999999999999E-2</v>
      </c>
      <c r="J20" s="486">
        <f>IF($I$7=1,H20+I20,VLOOKUP(A20,NymexData!$AA$12:$AB$128,2))</f>
        <v>3.16</v>
      </c>
      <c r="K20" s="483">
        <f t="shared" si="8"/>
        <v>-24550.625002827204</v>
      </c>
      <c r="L20" s="483">
        <f t="shared" si="9"/>
        <v>707.31534509999994</v>
      </c>
      <c r="M20" s="480">
        <f t="shared" si="10"/>
        <v>0</v>
      </c>
      <c r="N20" s="483">
        <f t="shared" si="11"/>
        <v>0</v>
      </c>
      <c r="O20" s="480">
        <f t="shared" si="12"/>
        <v>-23843.309657727204</v>
      </c>
      <c r="Q20" s="546">
        <f>TradeSum!S22/GencoPosn!J20*1000</f>
        <v>17365.506329113923</v>
      </c>
      <c r="R20" s="496">
        <f t="shared" si="0"/>
        <v>37469</v>
      </c>
      <c r="S20" s="483">
        <f t="shared" si="13"/>
        <v>278318.04016936902</v>
      </c>
      <c r="T20" s="483">
        <f t="shared" si="14"/>
        <v>-234262.787123785</v>
      </c>
      <c r="U20" s="483">
        <f t="shared" si="15"/>
        <v>78087.595707928092</v>
      </c>
      <c r="V20" s="483">
        <f t="shared" si="2"/>
        <v>122142.84875351211</v>
      </c>
      <c r="W20" s="498">
        <f>[5]Cinergy!$F44</f>
        <v>-0.5</v>
      </c>
      <c r="X20" s="483">
        <f t="shared" si="16"/>
        <v>-139159.02008468451</v>
      </c>
      <c r="Y20" s="483">
        <f t="shared" si="17"/>
        <v>117131.3935618925</v>
      </c>
      <c r="Z20" s="483">
        <f t="shared" si="18"/>
        <v>-39043.797853964046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35">
      <c r="A21" s="496">
        <f>IF($B$5=1,[5]Cinergy!$D45,[5]Cinergy!$D46)</f>
        <v>37500</v>
      </c>
      <c r="B21" s="483">
        <f t="shared" si="3"/>
        <v>-524390.92657306895</v>
      </c>
      <c r="C21" s="483">
        <f t="shared" si="4"/>
        <v>89727.404500000004</v>
      </c>
      <c r="D21" s="522">
        <f t="shared" si="1"/>
        <v>-434663.52207306895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3.1460000000000004</v>
      </c>
      <c r="I21" s="525">
        <f>IF($I$7=1,NymexData!AN23,NymexData!X23)</f>
        <v>4.0000000000000001E-3</v>
      </c>
      <c r="J21" s="486">
        <f>IF($I$7=1,H21+I21,VLOOKUP(A21,NymexData!$AA$12:$AB$128,2))</f>
        <v>3.1500000000000004</v>
      </c>
      <c r="K21" s="483">
        <f t="shared" si="8"/>
        <v>-2097.563706292276</v>
      </c>
      <c r="L21" s="483">
        <f t="shared" si="9"/>
        <v>358.90961800000002</v>
      </c>
      <c r="M21" s="480">
        <f t="shared" si="10"/>
        <v>0</v>
      </c>
      <c r="N21" s="483">
        <f t="shared" si="11"/>
        <v>0</v>
      </c>
      <c r="O21" s="480">
        <f t="shared" si="12"/>
        <v>-1738.6540882922759</v>
      </c>
      <c r="Q21" s="546">
        <f>TradeSum!S23/GencoPosn!J21*1000</f>
        <v>8968.2539682539664</v>
      </c>
      <c r="R21" s="496">
        <f t="shared" si="0"/>
        <v>37500</v>
      </c>
      <c r="S21" s="483">
        <f t="shared" si="13"/>
        <v>65853.058603043406</v>
      </c>
      <c r="T21" s="483">
        <f t="shared" si="14"/>
        <v>-28246.144827816301</v>
      </c>
      <c r="U21" s="483">
        <f t="shared" si="15"/>
        <v>14123.072413908199</v>
      </c>
      <c r="V21" s="483">
        <f t="shared" si="2"/>
        <v>51729.986189135307</v>
      </c>
      <c r="W21" s="498">
        <f>[5]Cinergy!$F45</f>
        <v>0</v>
      </c>
      <c r="X21" s="483">
        <f t="shared" si="16"/>
        <v>0</v>
      </c>
      <c r="Y21" s="483">
        <f t="shared" si="17"/>
        <v>0</v>
      </c>
      <c r="Z21" s="483">
        <f t="shared" si="18"/>
        <v>0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-2.687143437056379E-13</v>
      </c>
      <c r="AO21" s="460"/>
    </row>
    <row r="22" spans="1:41" ht="15" x14ac:dyDescent="0.35">
      <c r="A22" s="496">
        <f>IF($B$5=1,[5]Cinergy!$D46,[5]Cinergy!$D47)</f>
        <v>37530</v>
      </c>
      <c r="B22" s="483">
        <f t="shared" si="3"/>
        <v>-67066.368658004503</v>
      </c>
      <c r="C22" s="483">
        <f t="shared" si="4"/>
        <v>53830.6662</v>
      </c>
      <c r="D22" s="522">
        <f t="shared" si="1"/>
        <v>-13235.702458004504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3.157</v>
      </c>
      <c r="I22" s="525">
        <f>IF($I$7=1,NymexData!AN24,NymexData!X24)</f>
        <v>0</v>
      </c>
      <c r="J22" s="486">
        <f>IF($I$7=1,H22+I22,VLOOKUP(A22,NymexData!$AA$12:$AB$128,2))</f>
        <v>3.157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9124.5642352564864</v>
      </c>
      <c r="R22" s="496">
        <f t="shared" si="0"/>
        <v>37530</v>
      </c>
      <c r="S22" s="483">
        <f t="shared" si="13"/>
        <v>11297.53116049141</v>
      </c>
      <c r="T22" s="483">
        <f t="shared" si="14"/>
        <v>-32306.319476741402</v>
      </c>
      <c r="U22" s="483">
        <f t="shared" si="15"/>
        <v>16153.159738370699</v>
      </c>
      <c r="V22" s="483">
        <f t="shared" si="2"/>
        <v>-4855.6285778792935</v>
      </c>
      <c r="W22" s="498">
        <f>[5]Cinergy!$F46</f>
        <v>-3.2782554626464844E-7</v>
      </c>
      <c r="X22" s="483">
        <f t="shared" si="16"/>
        <v>-3.7036193241299841E-3</v>
      </c>
      <c r="Y22" s="483">
        <f t="shared" si="17"/>
        <v>1.0590836830263002E-2</v>
      </c>
      <c r="Z22" s="483">
        <f t="shared" si="18"/>
        <v>-5.2954184151315E-3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35">
      <c r="A23" s="496">
        <f>IF($B$5=1,[5]Cinergy!$D47,[5]Cinergy!$D48)</f>
        <v>37561</v>
      </c>
      <c r="B23" s="483">
        <f t="shared" si="3"/>
        <v>-2095538.1704860129</v>
      </c>
      <c r="C23" s="483">
        <f t="shared" si="4"/>
        <v>12387.1055</v>
      </c>
      <c r="D23" s="522">
        <f t="shared" si="1"/>
        <v>-2083151.0649860129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3.3170000000000002</v>
      </c>
      <c r="I23" s="525">
        <f>IF($I$7=1,NymexData!AN25,NymexData!X25)</f>
        <v>1.9E-2</v>
      </c>
      <c r="J23" s="486">
        <f>IF($I$7=1,H23+I23,VLOOKUP(A23,NymexData!$AA$12:$AB$128,2))</f>
        <v>3.3360000000000003</v>
      </c>
      <c r="K23" s="483">
        <f t="shared" si="8"/>
        <v>-39815.225239234242</v>
      </c>
      <c r="L23" s="483">
        <f t="shared" si="9"/>
        <v>235.35500449999998</v>
      </c>
      <c r="M23" s="480">
        <f t="shared" si="10"/>
        <v>0</v>
      </c>
      <c r="N23" s="483">
        <f t="shared" si="11"/>
        <v>0</v>
      </c>
      <c r="O23" s="480">
        <f t="shared" si="12"/>
        <v>-39579.870234734241</v>
      </c>
      <c r="Q23" s="546">
        <f>TradeSum!S25/GencoPosn!J23*1000</f>
        <v>8694.9196525757816</v>
      </c>
      <c r="R23" s="496">
        <f t="shared" si="0"/>
        <v>37561</v>
      </c>
      <c r="S23" s="483">
        <f t="shared" si="13"/>
        <v>35419.964103181403</v>
      </c>
      <c r="T23" s="483">
        <f t="shared" si="14"/>
        <v>-27943.8820693333</v>
      </c>
      <c r="U23" s="483">
        <f t="shared" si="15"/>
        <v>13971.941034666601</v>
      </c>
      <c r="V23" s="483">
        <f t="shared" si="2"/>
        <v>21448.023068514703</v>
      </c>
      <c r="W23" s="498">
        <f>[5]Cinergy!$F47</f>
        <v>-3.2782554626464844E-7</v>
      </c>
      <c r="X23" s="483">
        <f t="shared" si="16"/>
        <v>-1.1611569080799682E-2</v>
      </c>
      <c r="Y23" s="483">
        <f t="shared" si="17"/>
        <v>9.1607184041341029E-3</v>
      </c>
      <c r="Z23" s="483">
        <f t="shared" si="18"/>
        <v>-4.5803592020670358E-3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-2.5703111137061013E-13</v>
      </c>
      <c r="AO23" s="460"/>
    </row>
    <row r="24" spans="1:41" ht="15" x14ac:dyDescent="0.35">
      <c r="A24" s="496">
        <f>IF($B$5=1,[5]Cinergy!$D48,[5]Cinergy!$D49)</f>
        <v>37591</v>
      </c>
      <c r="B24" s="483">
        <f t="shared" si="3"/>
        <v>-1283533.6151080399</v>
      </c>
      <c r="C24" s="483">
        <f t="shared" si="4"/>
        <v>-13963.8647</v>
      </c>
      <c r="D24" s="522">
        <f t="shared" si="1"/>
        <v>-1297497.47980804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3.4780000000000002</v>
      </c>
      <c r="I24" s="525">
        <f>IF($I$7=1,NymexData!AN26,NymexData!X26)</f>
        <v>0.01</v>
      </c>
      <c r="J24" s="486">
        <f>IF($I$7=1,H24+I24,VLOOKUP(A24,NymexData!$AA$12:$AB$128,2))</f>
        <v>3.488</v>
      </c>
      <c r="K24" s="483">
        <f t="shared" si="8"/>
        <v>-12835.336151080399</v>
      </c>
      <c r="L24" s="483">
        <f t="shared" si="9"/>
        <v>-139.63864699999999</v>
      </c>
      <c r="M24" s="480">
        <f t="shared" si="10"/>
        <v>0</v>
      </c>
      <c r="N24" s="483">
        <f t="shared" si="11"/>
        <v>0</v>
      </c>
      <c r="O24" s="480">
        <f t="shared" si="12"/>
        <v>-12974.974798080399</v>
      </c>
      <c r="Q24" s="546">
        <f>TradeSum!S26/GencoPosn!J24*1000</f>
        <v>8373.3511781063644</v>
      </c>
      <c r="R24" s="496">
        <f t="shared" si="0"/>
        <v>37591</v>
      </c>
      <c r="S24" s="483">
        <f t="shared" si="13"/>
        <v>29127.554003411904</v>
      </c>
      <c r="T24" s="483">
        <f t="shared" si="14"/>
        <v>-29179.398714727799</v>
      </c>
      <c r="U24" s="483">
        <f t="shared" si="15"/>
        <v>14589.699357363901</v>
      </c>
      <c r="V24" s="483">
        <f t="shared" si="2"/>
        <v>14537.854646048007</v>
      </c>
      <c r="W24" s="498">
        <f>[5]Cinergy!$F48</f>
        <v>-3.2782554626464844E-7</v>
      </c>
      <c r="X24" s="483">
        <f t="shared" si="16"/>
        <v>-9.5487563025215549E-3</v>
      </c>
      <c r="Y24" s="483">
        <f t="shared" si="17"/>
        <v>9.5657523233296203E-3</v>
      </c>
      <c r="Z24" s="483">
        <f t="shared" si="18"/>
        <v>-4.782876161664811E-3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-101.28667964745969</v>
      </c>
      <c r="AO24" s="460"/>
    </row>
    <row r="25" spans="1:41" ht="15" x14ac:dyDescent="0.35">
      <c r="A25" s="496">
        <f>IF($B$5=1,[5]Cinergy!$D49,[5]Cinergy!$D50)</f>
        <v>37622</v>
      </c>
      <c r="B25" s="483">
        <f t="shared" si="3"/>
        <v>-2463780.5001182659</v>
      </c>
      <c r="C25" s="483">
        <f t="shared" si="4"/>
        <v>0</v>
      </c>
      <c r="D25" s="522">
        <f t="shared" si="1"/>
        <v>-2463780.5001182659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3.5550000000000002</v>
      </c>
      <c r="I25" s="525">
        <f>IF($I$7=1,NymexData!AN27,NymexData!X27)</f>
        <v>8.0000000000000002E-3</v>
      </c>
      <c r="J25" s="486">
        <f>IF($I$7=1,H25+I25,VLOOKUP(A25,NymexData!$AA$12:$AB$128,2))</f>
        <v>3.5630000000000002</v>
      </c>
      <c r="K25" s="483">
        <f t="shared" si="8"/>
        <v>-19710.244000946128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-19710.244000946128</v>
      </c>
      <c r="Q25" s="546">
        <f>TradeSum!S27/GencoPosn!J25*1000</f>
        <v>8500.0609576621664</v>
      </c>
      <c r="R25" s="496">
        <f t="shared" si="0"/>
        <v>37622</v>
      </c>
      <c r="S25" s="483">
        <f t="shared" si="13"/>
        <v>61228.237005041199</v>
      </c>
      <c r="T25" s="483">
        <f t="shared" si="14"/>
        <v>-45599.585717944603</v>
      </c>
      <c r="U25" s="483">
        <f t="shared" si="15"/>
        <v>0</v>
      </c>
      <c r="V25" s="483">
        <f t="shared" si="2"/>
        <v>15628.651287096596</v>
      </c>
      <c r="W25" s="498">
        <f>[5]Cinergy!$F49</f>
        <v>1.8165225057487078E-7</v>
      </c>
      <c r="X25" s="483">
        <f t="shared" si="16"/>
        <v>1.112224705069732E-2</v>
      </c>
      <c r="Y25" s="483">
        <f t="shared" si="17"/>
        <v>-8.2832673709463712E-3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-87.266263725269653</v>
      </c>
      <c r="AO25" s="460"/>
    </row>
    <row r="26" spans="1:41" ht="15" x14ac:dyDescent="0.35">
      <c r="A26" s="496">
        <f>IF($B$5=1,[5]Cinergy!$D50,[5]Cinergy!$D51)</f>
        <v>37653</v>
      </c>
      <c r="B26" s="483">
        <f t="shared" si="3"/>
        <v>-2468869.8054442052</v>
      </c>
      <c r="C26" s="483">
        <f t="shared" si="4"/>
        <v>0</v>
      </c>
      <c r="D26" s="522">
        <f t="shared" si="1"/>
        <v>-2468869.8054442052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3.4449999999999998</v>
      </c>
      <c r="I26" s="525">
        <f>IF($I$7=1,NymexData!AN28,NymexData!X28)</f>
        <v>1.2999999999999999E-2</v>
      </c>
      <c r="J26" s="486">
        <f>IF($I$7=1,H26+I26,VLOOKUP(A26,NymexData!$AA$12:$AB$128,2))</f>
        <v>3.4579999999999997</v>
      </c>
      <c r="K26" s="483">
        <f t="shared" si="8"/>
        <v>-32095.307470774667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-32095.307470774667</v>
      </c>
      <c r="Q26" s="546">
        <f>TradeSum!S28/GencoPosn!J26*1000</f>
        <v>8584.6475097266266</v>
      </c>
      <c r="R26" s="496">
        <f t="shared" si="0"/>
        <v>37653</v>
      </c>
      <c r="S26" s="483">
        <f t="shared" si="13"/>
        <v>59817.563431372706</v>
      </c>
      <c r="T26" s="483">
        <f t="shared" si="14"/>
        <v>-41247.0697998736</v>
      </c>
      <c r="U26" s="483">
        <f t="shared" si="15"/>
        <v>0</v>
      </c>
      <c r="V26" s="483">
        <f t="shared" si="2"/>
        <v>18570.493631499106</v>
      </c>
      <c r="W26" s="498">
        <f>[5]Cinergy!$F50</f>
        <v>1.8165225057487078E-7</v>
      </c>
      <c r="X26" s="483">
        <f t="shared" si="16"/>
        <v>1.0865995021213942E-2</v>
      </c>
      <c r="Y26" s="483">
        <f t="shared" si="17"/>
        <v>-7.4926230587658241E-3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-43.496880277732949</v>
      </c>
      <c r="AO26" s="460"/>
    </row>
    <row r="27" spans="1:41" ht="15" x14ac:dyDescent="0.35">
      <c r="A27" s="496">
        <f>IF($B$5=1,[5]Cinergy!$D51,[5]Cinergy!$D52)</f>
        <v>37681</v>
      </c>
      <c r="B27" s="483">
        <f t="shared" si="3"/>
        <v>-1681110.0319438921</v>
      </c>
      <c r="C27" s="483">
        <f t="shared" si="4"/>
        <v>0</v>
      </c>
      <c r="D27" s="522">
        <f t="shared" si="1"/>
        <v>-1681110.0319438921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3.3180000000000001</v>
      </c>
      <c r="I27" s="525">
        <f>IF($I$7=1,NymexData!AN29,NymexData!X29)</f>
        <v>5.0000000000000001E-3</v>
      </c>
      <c r="J27" s="486">
        <f>IF($I$7=1,H27+I27,VLOOKUP(A27,NymexData!$AA$12:$AB$128,2))</f>
        <v>3.323</v>
      </c>
      <c r="K27" s="483">
        <f t="shared" si="8"/>
        <v>-8405.5501597194616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-8405.5501597194616</v>
      </c>
      <c r="Q27" s="546">
        <f>TradeSum!S29/GencoPosn!J27*1000</f>
        <v>8545.7953450721307</v>
      </c>
      <c r="R27" s="496">
        <f t="shared" si="0"/>
        <v>37681</v>
      </c>
      <c r="S27" s="483">
        <f t="shared" si="13"/>
        <v>40164.099324465802</v>
      </c>
      <c r="T27" s="483">
        <f t="shared" si="14"/>
        <v>0</v>
      </c>
      <c r="U27" s="483">
        <f t="shared" si="15"/>
        <v>0</v>
      </c>
      <c r="V27" s="483">
        <f t="shared" si="2"/>
        <v>40164.099324465802</v>
      </c>
      <c r="W27" s="498">
        <f>[5]Cinergy!$F51</f>
        <v>-0.25000044356944784</v>
      </c>
      <c r="X27" s="483">
        <f t="shared" si="16"/>
        <v>-10041.042646683811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-49.864575737871874</v>
      </c>
      <c r="AO27" s="460"/>
    </row>
    <row r="28" spans="1:41" ht="15" x14ac:dyDescent="0.35">
      <c r="A28" s="496">
        <f>IF($B$5=1,[5]Cinergy!$D52,[5]Cinergy!$D53)</f>
        <v>37712</v>
      </c>
      <c r="B28" s="483">
        <f t="shared" si="3"/>
        <v>-204054.74131860031</v>
      </c>
      <c r="C28" s="483">
        <f t="shared" si="4"/>
        <v>0</v>
      </c>
      <c r="D28" s="522">
        <f t="shared" si="1"/>
        <v>-204054.74131860031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3.1380000000000003</v>
      </c>
      <c r="I28" s="525">
        <f>IF($I$7=1,NymexData!AN30,NymexData!X30)</f>
        <v>5.0000000000000001E-3</v>
      </c>
      <c r="J28" s="486">
        <f>IF($I$7=1,H28+I28,VLOOKUP(A28,NymexData!$AA$12:$AB$128,2))</f>
        <v>3.1430000000000002</v>
      </c>
      <c r="K28" s="483">
        <f t="shared" si="8"/>
        <v>-1020.2737065930015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-1020.2737065930015</v>
      </c>
      <c r="Q28" s="546">
        <f>TradeSum!S30/GencoPosn!J28*1000</f>
        <v>9098.8453914157217</v>
      </c>
      <c r="R28" s="496">
        <f t="shared" si="0"/>
        <v>37712</v>
      </c>
      <c r="S28" s="483">
        <f t="shared" si="13"/>
        <v>30669.587420318901</v>
      </c>
      <c r="T28" s="483">
        <f t="shared" si="14"/>
        <v>0</v>
      </c>
      <c r="U28" s="483">
        <f t="shared" si="15"/>
        <v>0</v>
      </c>
      <c r="V28" s="483">
        <f t="shared" si="2"/>
        <v>30669.587420318901</v>
      </c>
      <c r="W28" s="498">
        <f>[5]Cinergy!$F52</f>
        <v>-0.25000044356944784</v>
      </c>
      <c r="X28" s="483">
        <f t="shared" si="16"/>
        <v>-7667.4104591716832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-47.234976810287797</v>
      </c>
      <c r="AO28" s="460"/>
    </row>
    <row r="29" spans="1:41" ht="15" x14ac:dyDescent="0.35">
      <c r="A29" s="496">
        <f>IF($B$5=1,[5]Cinergy!$D53,[5]Cinergy!$D54)</f>
        <v>37742</v>
      </c>
      <c r="B29" s="483">
        <f t="shared" si="3"/>
        <v>-388148.08271109103</v>
      </c>
      <c r="C29" s="483">
        <f t="shared" si="4"/>
        <v>0</v>
      </c>
      <c r="D29" s="522">
        <f t="shared" si="1"/>
        <v>-388148.08271109103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3.1430000000000002</v>
      </c>
      <c r="I29" s="525">
        <f>IF($I$7=1,NymexData!AN31,NymexData!X31)</f>
        <v>5.0000000000000001E-3</v>
      </c>
      <c r="J29" s="486">
        <f>IF($I$7=1,H29+I29,VLOOKUP(A29,NymexData!$AA$12:$AB$128,2))</f>
        <v>3.1480000000000001</v>
      </c>
      <c r="K29" s="483">
        <f t="shared" si="8"/>
        <v>-1940.7404135554552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-1940.7404135554552</v>
      </c>
      <c r="Q29" s="546">
        <f>TradeSum!S31/GencoPosn!J29*1000</f>
        <v>9688.6912325285884</v>
      </c>
      <c r="R29" s="496">
        <f t="shared" si="0"/>
        <v>37742</v>
      </c>
      <c r="S29" s="483">
        <f t="shared" si="13"/>
        <v>55440.945995536698</v>
      </c>
      <c r="T29" s="483">
        <f t="shared" si="14"/>
        <v>0</v>
      </c>
      <c r="U29" s="483">
        <f t="shared" si="15"/>
        <v>0</v>
      </c>
      <c r="V29" s="483">
        <f t="shared" si="2"/>
        <v>55440.945995536698</v>
      </c>
      <c r="W29" s="498">
        <f>[5]Cinergy!$F53</f>
        <v>0</v>
      </c>
      <c r="X29" s="483">
        <f t="shared" si="16"/>
        <v>0</v>
      </c>
      <c r="Y29" s="483">
        <f t="shared" si="17"/>
        <v>0</v>
      </c>
      <c r="Z29" s="483">
        <f t="shared" si="18"/>
        <v>0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-407.74783334082781</v>
      </c>
      <c r="AO29" s="460"/>
    </row>
    <row r="30" spans="1:41" ht="15" x14ac:dyDescent="0.35">
      <c r="A30" s="496">
        <f>IF($B$5=1,[5]Cinergy!$D54,[5]Cinergy!$D55)</f>
        <v>37773</v>
      </c>
      <c r="B30" s="483">
        <f t="shared" si="3"/>
        <v>-1530401.868828149</v>
      </c>
      <c r="C30" s="483">
        <f t="shared" si="4"/>
        <v>0</v>
      </c>
      <c r="D30" s="522">
        <f t="shared" si="1"/>
        <v>-1530401.868828149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3.1710000000000003</v>
      </c>
      <c r="I30" s="525">
        <f>IF($I$7=1,NymexData!AN32,NymexData!X32)</f>
        <v>5.0000000000000001E-3</v>
      </c>
      <c r="J30" s="486">
        <f>IF($I$7=1,H30+I30,VLOOKUP(A30,NymexData!$AA$12:$AB$128,2))</f>
        <v>3.1760000000000002</v>
      </c>
      <c r="K30" s="483">
        <f t="shared" si="8"/>
        <v>-7652.0093441407453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-7652.0093441407453</v>
      </c>
      <c r="Q30" s="546">
        <f>TradeSum!S32/GencoPosn!J30*1000</f>
        <v>12555.100755667505</v>
      </c>
      <c r="R30" s="496">
        <f t="shared" si="0"/>
        <v>37773</v>
      </c>
      <c r="S30" s="483">
        <f t="shared" si="13"/>
        <v>207172.8785259818</v>
      </c>
      <c r="T30" s="483">
        <f t="shared" si="14"/>
        <v>0</v>
      </c>
      <c r="U30" s="483">
        <f t="shared" si="15"/>
        <v>-98877.579868734101</v>
      </c>
      <c r="V30" s="483">
        <f t="shared" si="2"/>
        <v>108295.29865724769</v>
      </c>
      <c r="W30" s="498">
        <f>[5]Cinergy!$F54</f>
        <v>-0.5</v>
      </c>
      <c r="X30" s="483">
        <f t="shared" si="16"/>
        <v>-103586.4392629909</v>
      </c>
      <c r="Y30" s="483">
        <f t="shared" si="17"/>
        <v>0</v>
      </c>
      <c r="Z30" s="483">
        <f t="shared" si="18"/>
        <v>49438.789934367051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35">
      <c r="A31" s="496">
        <f>IF($B$5=1,[5]Cinergy!$D55,[5]Cinergy!$D56)</f>
        <v>37803</v>
      </c>
      <c r="B31" s="483">
        <f t="shared" si="3"/>
        <v>-1966275.2854262399</v>
      </c>
      <c r="C31" s="483">
        <f t="shared" si="4"/>
        <v>0</v>
      </c>
      <c r="D31" s="522">
        <f t="shared" si="1"/>
        <v>-1966275.2854262399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3.1960000000000002</v>
      </c>
      <c r="I31" s="525">
        <f>IF($I$7=1,NymexData!AN33,NymexData!X33)</f>
        <v>2E-3</v>
      </c>
      <c r="J31" s="486">
        <f>IF($I$7=1,H31+I31,VLOOKUP(A31,NymexData!$AA$12:$AB$128,2))</f>
        <v>3.198</v>
      </c>
      <c r="K31" s="483">
        <f t="shared" si="8"/>
        <v>-3932.5505708524802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-3932.5505708524802</v>
      </c>
      <c r="R31" s="496">
        <f t="shared" si="0"/>
        <v>37803</v>
      </c>
      <c r="S31" s="483">
        <f t="shared" si="13"/>
        <v>259798.223535089</v>
      </c>
      <c r="T31" s="483">
        <f t="shared" si="14"/>
        <v>0</v>
      </c>
      <c r="U31" s="483">
        <f t="shared" si="15"/>
        <v>-176591.78627660999</v>
      </c>
      <c r="V31" s="483">
        <f t="shared" si="2"/>
        <v>83206.437258479011</v>
      </c>
      <c r="W31" s="498">
        <f>[5]Cinergy!$F55</f>
        <v>-0.5</v>
      </c>
      <c r="X31" s="483">
        <f t="shared" si="16"/>
        <v>-129899.1117675445</v>
      </c>
      <c r="Y31" s="483">
        <f t="shared" si="17"/>
        <v>0</v>
      </c>
      <c r="Z31" s="483">
        <f t="shared" si="18"/>
        <v>88295.893138304993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-464.80711730909798</v>
      </c>
      <c r="AO31" s="460"/>
    </row>
    <row r="32" spans="1:41" ht="15" x14ac:dyDescent="0.35">
      <c r="A32" s="496">
        <f>IF($B$5=1,[5]Cinergy!$D56,[5]Cinergy!$D57)</f>
        <v>37834</v>
      </c>
      <c r="B32" s="483">
        <f t="shared" si="3"/>
        <v>-1868884.9924153951</v>
      </c>
      <c r="C32" s="483">
        <f t="shared" si="4"/>
        <v>0</v>
      </c>
      <c r="D32" s="522">
        <f t="shared" si="1"/>
        <v>-1868884.9924153951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3.2160000000000002</v>
      </c>
      <c r="I32" s="525">
        <f>IF($I$7=1,NymexData!AN34,NymexData!X34)</f>
        <v>2E-3</v>
      </c>
      <c r="J32" s="486">
        <f>IF($I$7=1,H32+I32,VLOOKUP(A32,NymexData!$AA$12:$AB$128,2))</f>
        <v>3.218</v>
      </c>
      <c r="K32" s="483">
        <f t="shared" si="8"/>
        <v>-3737.7699848307902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-3737.7699848307902</v>
      </c>
      <c r="R32" s="496">
        <f t="shared" si="0"/>
        <v>37834</v>
      </c>
      <c r="S32" s="483">
        <f t="shared" si="13"/>
        <v>246639.23683076</v>
      </c>
      <c r="T32" s="483">
        <f t="shared" si="14"/>
        <v>0</v>
      </c>
      <c r="U32" s="483">
        <f t="shared" si="15"/>
        <v>-167629.34543027999</v>
      </c>
      <c r="V32" s="483">
        <f t="shared" si="2"/>
        <v>79009.891400480003</v>
      </c>
      <c r="W32" s="498">
        <f>[5]Cinergy!$F56</f>
        <v>-0.5</v>
      </c>
      <c r="X32" s="483">
        <f t="shared" si="16"/>
        <v>-123319.61841538</v>
      </c>
      <c r="Y32" s="483">
        <f t="shared" si="17"/>
        <v>0</v>
      </c>
      <c r="Z32" s="483">
        <f t="shared" si="18"/>
        <v>83814.672715139997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-40.122364812238921</v>
      </c>
      <c r="AO32" s="460"/>
    </row>
    <row r="33" spans="1:41" ht="15" x14ac:dyDescent="0.35">
      <c r="A33" s="496">
        <f>IF($B$5=1,[5]Cinergy!$D57,[5]Cinergy!$D58)</f>
        <v>37865</v>
      </c>
      <c r="B33" s="483">
        <f t="shared" si="3"/>
        <v>-605594.83093798102</v>
      </c>
      <c r="C33" s="483">
        <f t="shared" si="4"/>
        <v>0</v>
      </c>
      <c r="D33" s="522">
        <f t="shared" si="1"/>
        <v>-605594.83093798102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3.2160000000000002</v>
      </c>
      <c r="I33" s="525">
        <f>IF($I$7=1,NymexData!AN35,NymexData!X35)</f>
        <v>1E-3</v>
      </c>
      <c r="J33" s="486">
        <f>IF($I$7=1,H33+I33,VLOOKUP(A33,NymexData!$AA$12:$AB$128,2))</f>
        <v>3.2170000000000001</v>
      </c>
      <c r="K33" s="483">
        <f t="shared" si="8"/>
        <v>-605.59483093798099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-605.59483093798099</v>
      </c>
      <c r="R33" s="496">
        <f t="shared" si="0"/>
        <v>37865</v>
      </c>
      <c r="S33" s="483">
        <f t="shared" si="13"/>
        <v>73928.698871295608</v>
      </c>
      <c r="T33" s="483">
        <f t="shared" si="14"/>
        <v>0</v>
      </c>
      <c r="U33" s="483">
        <f t="shared" si="15"/>
        <v>0</v>
      </c>
      <c r="V33" s="483">
        <f t="shared" si="2"/>
        <v>73928.698871295608</v>
      </c>
      <c r="W33" s="498">
        <f>[5]Cinergy!$F57</f>
        <v>0</v>
      </c>
      <c r="X33" s="483">
        <f t="shared" si="16"/>
        <v>0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35">
      <c r="A34" s="496">
        <f>IF($B$5=1,[5]Cinergy!$D58,[5]Cinergy!$D59)</f>
        <v>37895</v>
      </c>
      <c r="B34" s="483">
        <f t="shared" si="3"/>
        <v>-89730.5366432671</v>
      </c>
      <c r="C34" s="483">
        <f t="shared" si="4"/>
        <v>0</v>
      </c>
      <c r="D34" s="522">
        <f t="shared" si="1"/>
        <v>-89730.5366432671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3.2210000000000001</v>
      </c>
      <c r="I34" s="525">
        <f>IF($I$7=1,NymexData!AN36,NymexData!X36)</f>
        <v>1E-3</v>
      </c>
      <c r="J34" s="486">
        <f>IF($I$7=1,H34+I34,VLOOKUP(A34,NymexData!$AA$12:$AB$128,2))</f>
        <v>3.222</v>
      </c>
      <c r="K34" s="483">
        <f t="shared" si="8"/>
        <v>-89.730536643267101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-89.730536643267101</v>
      </c>
      <c r="R34" s="496">
        <f t="shared" si="0"/>
        <v>37895</v>
      </c>
      <c r="S34" s="483">
        <f t="shared" si="13"/>
        <v>13733.308310155331</v>
      </c>
      <c r="T34" s="483">
        <f t="shared" si="14"/>
        <v>0</v>
      </c>
      <c r="U34" s="483">
        <f t="shared" si="15"/>
        <v>0</v>
      </c>
      <c r="V34" s="483">
        <f t="shared" si="2"/>
        <v>13733.308310155331</v>
      </c>
      <c r="W34" s="498">
        <f>[5]Cinergy!$F58</f>
        <v>-0.36500132083892822</v>
      </c>
      <c r="X34" s="483">
        <f t="shared" si="16"/>
        <v>-5012.6756726949252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-41.583157841269937</v>
      </c>
      <c r="AO34" s="460"/>
    </row>
    <row r="35" spans="1:41" ht="15" x14ac:dyDescent="0.35">
      <c r="A35" s="496">
        <f>IF($B$5=1,[5]Cinergy!$D59,[5]Cinergy!$D60)</f>
        <v>37926</v>
      </c>
      <c r="B35" s="483">
        <f t="shared" si="3"/>
        <v>-2429679.5565063478</v>
      </c>
      <c r="C35" s="483">
        <f t="shared" si="4"/>
        <v>0</v>
      </c>
      <c r="D35" s="522">
        <f t="shared" si="1"/>
        <v>-2429679.5565063478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3.371</v>
      </c>
      <c r="I35" s="525">
        <f>IF($I$7=1,NymexData!AN37,NymexData!X37)</f>
        <v>1E-3</v>
      </c>
      <c r="J35" s="486">
        <f>IF($I$7=1,H35+I35,VLOOKUP(A35,NymexData!$AA$12:$AB$128,2))</f>
        <v>3.3719999999999999</v>
      </c>
      <c r="K35" s="483">
        <f t="shared" si="8"/>
        <v>-2429.679556506348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-2429.679556506348</v>
      </c>
      <c r="R35" s="496">
        <f t="shared" si="0"/>
        <v>37926</v>
      </c>
      <c r="S35" s="483">
        <f t="shared" si="13"/>
        <v>38478.265008011796</v>
      </c>
      <c r="T35" s="483">
        <f t="shared" si="14"/>
        <v>0</v>
      </c>
      <c r="U35" s="483">
        <f t="shared" si="15"/>
        <v>0</v>
      </c>
      <c r="V35" s="483">
        <f t="shared" si="2"/>
        <v>38478.265008011796</v>
      </c>
      <c r="W35" s="498">
        <f>[5]Cinergy!$F59</f>
        <v>-0.36500132083892822</v>
      </c>
      <c r="X35" s="483">
        <f t="shared" si="16"/>
        <v>-14044.617551514619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-39.64592216674972</v>
      </c>
      <c r="AO35" s="460"/>
    </row>
    <row r="36" spans="1:41" ht="15" x14ac:dyDescent="0.35">
      <c r="A36" s="496">
        <f>IF($B$5=1,[5]Cinergy!$D60,[5]Cinergy!$D61)</f>
        <v>37956</v>
      </c>
      <c r="B36" s="483">
        <f t="shared" si="3"/>
        <v>-1607831.9214539281</v>
      </c>
      <c r="C36" s="483">
        <f t="shared" si="4"/>
        <v>0</v>
      </c>
      <c r="D36" s="522">
        <f t="shared" si="1"/>
        <v>-1607831.9214539281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3.5260000000000002</v>
      </c>
      <c r="I36" s="525">
        <f>IF($I$7=1,NymexData!AN38,NymexData!X38)</f>
        <v>0</v>
      </c>
      <c r="J36" s="486">
        <f>IF($I$7=1,H36+I36,VLOOKUP(A36,NymexData!$AA$12:$AB$128,2))</f>
        <v>3.5260000000000002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37956</v>
      </c>
      <c r="S36" s="483">
        <f t="shared" si="13"/>
        <v>34528.647635297602</v>
      </c>
      <c r="T36" s="483">
        <f t="shared" si="14"/>
        <v>0</v>
      </c>
      <c r="U36" s="483">
        <f t="shared" si="15"/>
        <v>0</v>
      </c>
      <c r="V36" s="483">
        <f t="shared" si="2"/>
        <v>34528.647635297602</v>
      </c>
      <c r="W36" s="498">
        <f>[5]Cinergy!$F60</f>
        <v>-0.36500132083892822</v>
      </c>
      <c r="X36" s="483">
        <f t="shared" si="16"/>
        <v>-12603.001993665561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-149.99863723008093</v>
      </c>
      <c r="AO36" s="460"/>
    </row>
    <row r="37" spans="1:41" ht="15" x14ac:dyDescent="0.35">
      <c r="A37" s="496">
        <f>IF($B$5=1,[5]Cinergy!$D61,[5]Cinergy!$D62)</f>
        <v>37987</v>
      </c>
      <c r="B37" s="483">
        <f t="shared" si="3"/>
        <v>-2434964.8783432441</v>
      </c>
      <c r="C37" s="483">
        <f t="shared" si="4"/>
        <v>0</v>
      </c>
      <c r="D37" s="522">
        <f t="shared" si="1"/>
        <v>-2434964.8783432441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3.581</v>
      </c>
      <c r="I37" s="525">
        <f>IF($I$7=1,NymexData!AN39,NymexData!X39)</f>
        <v>0</v>
      </c>
      <c r="J37" s="486">
        <f>IF($I$7=1,H37+I37,VLOOKUP(A37,NymexData!$AA$12:$AB$128,2))</f>
        <v>3.581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37987</v>
      </c>
      <c r="S37" s="483">
        <f t="shared" si="13"/>
        <v>56179.820081799699</v>
      </c>
      <c r="T37" s="483">
        <f t="shared" si="14"/>
        <v>0</v>
      </c>
      <c r="U37" s="483">
        <f t="shared" si="15"/>
        <v>0</v>
      </c>
      <c r="V37" s="483">
        <f t="shared" si="2"/>
        <v>56179.820081799699</v>
      </c>
      <c r="W37" s="498">
        <f>[5]Cinergy!$F61</f>
        <v>1.8165225057487078E-7</v>
      </c>
      <c r="X37" s="483">
        <f t="shared" si="16"/>
        <v>1.0205190754750236E-2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-117.17917556782272</v>
      </c>
      <c r="AO37" s="460"/>
    </row>
    <row r="38" spans="1:41" ht="15" x14ac:dyDescent="0.35">
      <c r="A38" s="496">
        <f>IF($B$5=1,[5]Cinergy!$D62,[5]Cinergy!$D63)</f>
        <v>38018</v>
      </c>
      <c r="B38" s="483">
        <f t="shared" si="3"/>
        <v>-2516824.8977914639</v>
      </c>
      <c r="C38" s="483">
        <f t="shared" si="4"/>
        <v>0</v>
      </c>
      <c r="D38" s="522">
        <f t="shared" si="1"/>
        <v>-2516824.8977914639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3.4670000000000001</v>
      </c>
      <c r="I38" s="525">
        <f>IF($I$7=1,NymexData!AN40,NymexData!X40)</f>
        <v>0</v>
      </c>
      <c r="J38" s="486">
        <f>IF($I$7=1,H38+I38,VLOOKUP(A38,NymexData!$AA$12:$AB$128,2))</f>
        <v>3.4670000000000001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38018</v>
      </c>
      <c r="S38" s="483">
        <f t="shared" si="13"/>
        <v>56749.673406989597</v>
      </c>
      <c r="T38" s="483">
        <f t="shared" si="14"/>
        <v>0</v>
      </c>
      <c r="U38" s="483">
        <f t="shared" si="15"/>
        <v>0</v>
      </c>
      <c r="V38" s="483">
        <f t="shared" si="2"/>
        <v>56749.673406989597</v>
      </c>
      <c r="W38" s="498">
        <f>[5]Cinergy!$F62</f>
        <v>1.8165225057487078E-7</v>
      </c>
      <c r="X38" s="483">
        <f t="shared" si="16"/>
        <v>1.0308705893768555E-2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35">
      <c r="A39" s="496">
        <f>IF($B$5=1,[5]Cinergy!$D63,[5]Cinergy!$D64)</f>
        <v>38047</v>
      </c>
      <c r="B39" s="483">
        <f t="shared" si="3"/>
        <v>-1904039.9479697738</v>
      </c>
      <c r="C39" s="483">
        <f t="shared" si="4"/>
        <v>0</v>
      </c>
      <c r="D39" s="522">
        <f t="shared" si="1"/>
        <v>-1904039.9479697738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3.335</v>
      </c>
      <c r="I39" s="525">
        <f>IF($I$7=1,NymexData!AN41,NymexData!X41)</f>
        <v>0</v>
      </c>
      <c r="J39" s="486">
        <f>IF($I$7=1,H39+I39,VLOOKUP(A39,NymexData!$AA$12:$AB$128,2))</f>
        <v>3.335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38047</v>
      </c>
      <c r="S39" s="483">
        <f t="shared" si="13"/>
        <v>44193.912107531898</v>
      </c>
      <c r="T39" s="483">
        <f t="shared" si="14"/>
        <v>0</v>
      </c>
      <c r="U39" s="483">
        <f t="shared" si="15"/>
        <v>0</v>
      </c>
      <c r="V39" s="483">
        <f t="shared" si="2"/>
        <v>44193.912107531898</v>
      </c>
      <c r="W39" s="498">
        <f>[5]Cinergy!$F63</f>
        <v>-0.25000044356944784</v>
      </c>
      <c r="X39" s="483">
        <f t="shared" si="16"/>
        <v>-11048.497629952166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35">
      <c r="A40" s="496">
        <f>IF($B$5=1,[5]Cinergy!$D64,[5]Cinergy!$D65)</f>
        <v>38078</v>
      </c>
      <c r="B40" s="483">
        <f t="shared" si="3"/>
        <v>-202536.73291824499</v>
      </c>
      <c r="C40" s="483">
        <f t="shared" si="4"/>
        <v>0</v>
      </c>
      <c r="D40" s="522">
        <f t="shared" si="1"/>
        <v>-202536.73291824499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3.137</v>
      </c>
      <c r="I40" s="525">
        <f>IF($I$7=1,NymexData!AN42,NymexData!X42)</f>
        <v>0</v>
      </c>
      <c r="J40" s="486">
        <f>IF($I$7=1,H40+I40,VLOOKUP(A40,NymexData!$AA$12:$AB$128,2))</f>
        <v>3.137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38078</v>
      </c>
      <c r="S40" s="483">
        <f t="shared" si="13"/>
        <v>29548.091999123801</v>
      </c>
      <c r="T40" s="483">
        <f t="shared" si="14"/>
        <v>0</v>
      </c>
      <c r="U40" s="483">
        <f t="shared" si="15"/>
        <v>0</v>
      </c>
      <c r="V40" s="483">
        <f t="shared" si="2"/>
        <v>29548.091999123801</v>
      </c>
      <c r="W40" s="498">
        <f>[5]Cinergy!$F64</f>
        <v>-0.25000044356944784</v>
      </c>
      <c r="X40" s="483">
        <f t="shared" si="16"/>
        <v>-7387.0361064118033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35">
      <c r="A41" s="496">
        <f>IF($B$5=1,[5]Cinergy!$D65,[5]Cinergy!$D66)</f>
        <v>38108</v>
      </c>
      <c r="B41" s="483">
        <f t="shared" si="3"/>
        <v>-361421.88716106804</v>
      </c>
      <c r="C41" s="483">
        <f t="shared" si="4"/>
        <v>0</v>
      </c>
      <c r="D41" s="522">
        <f t="shared" si="1"/>
        <v>-361421.88716106804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3.133</v>
      </c>
      <c r="I41" s="525">
        <f>IF($I$7=1,NymexData!AN43,NymexData!X43)</f>
        <v>0</v>
      </c>
      <c r="J41" s="486">
        <f>IF($I$7=1,H41+I41,VLOOKUP(A41,NymexData!$AA$12:$AB$128,2))</f>
        <v>3.133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38108</v>
      </c>
      <c r="S41" s="483">
        <f t="shared" si="13"/>
        <v>47280.798415175203</v>
      </c>
      <c r="T41" s="483">
        <f t="shared" si="14"/>
        <v>0</v>
      </c>
      <c r="U41" s="483">
        <f t="shared" si="15"/>
        <v>0</v>
      </c>
      <c r="V41" s="483">
        <f t="shared" si="2"/>
        <v>47280.798415175203</v>
      </c>
      <c r="W41" s="498">
        <f>[5]Cinergy!$F65</f>
        <v>0</v>
      </c>
      <c r="X41" s="483">
        <f t="shared" si="16"/>
        <v>0</v>
      </c>
      <c r="Y41" s="483">
        <f t="shared" si="17"/>
        <v>0</v>
      </c>
      <c r="Z41" s="483">
        <f t="shared" si="18"/>
        <v>0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35">
      <c r="A42" s="496">
        <f>IF($B$5=1,[5]Cinergy!$D66,[5]Cinergy!$D67)</f>
        <v>38139</v>
      </c>
      <c r="B42" s="483">
        <f t="shared" si="3"/>
        <v>-1450625.7190378509</v>
      </c>
      <c r="C42" s="483">
        <f t="shared" si="4"/>
        <v>0</v>
      </c>
      <c r="D42" s="522">
        <f t="shared" si="1"/>
        <v>-1450625.7190378509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3.165</v>
      </c>
      <c r="I42" s="525">
        <f>IF($I$7=1,NymexData!AN44,NymexData!X44)</f>
        <v>0</v>
      </c>
      <c r="J42" s="486">
        <f>IF($I$7=1,H42+I42,VLOOKUP(A42,NymexData!$AA$12:$AB$128,2))</f>
        <v>3.165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38139</v>
      </c>
      <c r="S42" s="483">
        <f t="shared" si="13"/>
        <v>187645.3281833705</v>
      </c>
      <c r="T42" s="483">
        <f t="shared" si="14"/>
        <v>0</v>
      </c>
      <c r="U42" s="483">
        <f t="shared" si="15"/>
        <v>-69239.056115689207</v>
      </c>
      <c r="V42" s="483">
        <f t="shared" si="2"/>
        <v>118406.27206768129</v>
      </c>
      <c r="W42" s="498">
        <f>[5]Cinergy!$F66</f>
        <v>-0.5</v>
      </c>
      <c r="X42" s="483">
        <f t="shared" si="16"/>
        <v>-93822.664091685248</v>
      </c>
      <c r="Y42" s="483">
        <f t="shared" si="17"/>
        <v>0</v>
      </c>
      <c r="Z42" s="483">
        <f t="shared" si="18"/>
        <v>34619.528057844604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35">
      <c r="A43" s="496">
        <f>IF($B$5=1,[5]Cinergy!$D67,[5]Cinergy!$D68)</f>
        <v>38169</v>
      </c>
      <c r="B43" s="483">
        <f t="shared" si="3"/>
        <v>-1777693.43861232</v>
      </c>
      <c r="C43" s="483">
        <f t="shared" si="4"/>
        <v>0</v>
      </c>
      <c r="D43" s="522">
        <f t="shared" si="1"/>
        <v>-1777693.43861232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3.2149999999999999</v>
      </c>
      <c r="I43" s="525">
        <f>IF($I$7=1,NymexData!AN45,NymexData!X45)</f>
        <v>0</v>
      </c>
      <c r="J43" s="486">
        <f>IF($I$7=1,H43+I43,VLOOKUP(A43,NymexData!$AA$12:$AB$128,2))</f>
        <v>3.2149999999999999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38169</v>
      </c>
      <c r="S43" s="483">
        <f t="shared" si="13"/>
        <v>225570.06399947702</v>
      </c>
      <c r="T43" s="483">
        <f t="shared" si="14"/>
        <v>0</v>
      </c>
      <c r="U43" s="483">
        <f t="shared" si="15"/>
        <v>-13143.610276031</v>
      </c>
      <c r="V43" s="483">
        <f t="shared" si="2"/>
        <v>212426.45372344603</v>
      </c>
      <c r="W43" s="498">
        <f>[5]Cinergy!$F67</f>
        <v>-0.5</v>
      </c>
      <c r="X43" s="483">
        <f t="shared" si="16"/>
        <v>-112785.03199973851</v>
      </c>
      <c r="Y43" s="483">
        <f t="shared" si="17"/>
        <v>0</v>
      </c>
      <c r="Z43" s="483">
        <f t="shared" si="18"/>
        <v>6571.8051380155002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35">
      <c r="A44" s="496">
        <f>IF($B$5=1,[5]Cinergy!$D68,[5]Cinergy!$D69)</f>
        <v>38200</v>
      </c>
      <c r="B44" s="483">
        <f t="shared" si="3"/>
        <v>-1850285.5185635481</v>
      </c>
      <c r="C44" s="483">
        <f t="shared" si="4"/>
        <v>0</v>
      </c>
      <c r="D44" s="522">
        <f t="shared" si="1"/>
        <v>-1850285.5185635481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3.2490000000000001</v>
      </c>
      <c r="I44" s="525">
        <f>IF($I$7=1,NymexData!AN46,NymexData!X46)</f>
        <v>0</v>
      </c>
      <c r="J44" s="486">
        <f>IF($I$7=1,H44+I44,VLOOKUP(A44,NymexData!$AA$12:$AB$128,2))</f>
        <v>3.2490000000000001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38200</v>
      </c>
      <c r="S44" s="483">
        <f t="shared" si="13"/>
        <v>234769.51944887498</v>
      </c>
      <c r="T44" s="483">
        <f t="shared" si="14"/>
        <v>0</v>
      </c>
      <c r="U44" s="483">
        <f t="shared" si="15"/>
        <v>-13691.5246167473</v>
      </c>
      <c r="V44" s="483">
        <f t="shared" si="2"/>
        <v>221077.99483212768</v>
      </c>
      <c r="W44" s="498">
        <f>[5]Cinergy!$F68</f>
        <v>-0.5</v>
      </c>
      <c r="X44" s="483">
        <f t="shared" si="16"/>
        <v>-117384.75972443749</v>
      </c>
      <c r="Y44" s="483">
        <f t="shared" si="17"/>
        <v>0</v>
      </c>
      <c r="Z44" s="483">
        <f t="shared" si="18"/>
        <v>6845.7623083736498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35">
      <c r="A45" s="496">
        <f>IF($B$5=1,[5]Cinergy!$D69,[5]Cinergy!$D70)</f>
        <v>38231</v>
      </c>
      <c r="B45" s="483">
        <f t="shared" si="3"/>
        <v>-607647.20950835105</v>
      </c>
      <c r="C45" s="483">
        <f t="shared" si="4"/>
        <v>0</v>
      </c>
      <c r="D45" s="522">
        <f t="shared" si="1"/>
        <v>-607647.20950835105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3.262</v>
      </c>
      <c r="I45" s="525">
        <f>IF($I$7=1,NymexData!AN47,NymexData!X47)</f>
        <v>0</v>
      </c>
      <c r="J45" s="486">
        <f>IF($I$7=1,H45+I45,VLOOKUP(A45,NymexData!$AA$12:$AB$128,2))</f>
        <v>3.262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38231</v>
      </c>
      <c r="S45" s="483">
        <f t="shared" si="13"/>
        <v>66849.470679424907</v>
      </c>
      <c r="T45" s="483">
        <f t="shared" si="14"/>
        <v>0</v>
      </c>
      <c r="U45" s="483">
        <f t="shared" si="15"/>
        <v>0</v>
      </c>
      <c r="V45" s="483">
        <f t="shared" si="2"/>
        <v>66849.470679424907</v>
      </c>
      <c r="W45" s="498">
        <f>[5]Cinergy!$F69</f>
        <v>0</v>
      </c>
      <c r="X45" s="483">
        <f t="shared" si="16"/>
        <v>0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35">
      <c r="A46" s="496">
        <f>IF($B$5=1,[5]Cinergy!$D70,[5]Cinergy!$D71)</f>
        <v>38261</v>
      </c>
      <c r="B46" s="483">
        <f t="shared" si="3"/>
        <v>-85953.512264419405</v>
      </c>
      <c r="C46" s="483">
        <f t="shared" si="4"/>
        <v>0</v>
      </c>
      <c r="D46" s="522">
        <f t="shared" si="1"/>
        <v>-85953.512264419405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3.2610000000000001</v>
      </c>
      <c r="I46" s="525">
        <f>IF($I$7=1,NymexData!AN48,NymexData!X48)</f>
        <v>0</v>
      </c>
      <c r="J46" s="486">
        <f>IF($I$7=1,H46+I46,VLOOKUP(A46,NymexData!$AA$12:$AB$128,2))</f>
        <v>3.2610000000000001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38261</v>
      </c>
      <c r="S46" s="483">
        <f t="shared" si="13"/>
        <v>12997.422265683041</v>
      </c>
      <c r="T46" s="483">
        <f t="shared" si="14"/>
        <v>0</v>
      </c>
      <c r="U46" s="483">
        <f t="shared" si="15"/>
        <v>0</v>
      </c>
      <c r="V46" s="483">
        <f t="shared" si="2"/>
        <v>12997.422265683041</v>
      </c>
      <c r="W46" s="498">
        <f>[5]Cinergy!$F70</f>
        <v>-0.36500132083892822</v>
      </c>
      <c r="X46" s="483">
        <f t="shared" si="16"/>
        <v>-4744.0762944756052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35">
      <c r="A47" s="496">
        <f>IF($B$5=1,[5]Cinergy!$D71,[5]Cinergy!$D72)</f>
        <v>38292</v>
      </c>
      <c r="B47" s="483">
        <f t="shared" si="3"/>
        <v>-2642605.1142894654</v>
      </c>
      <c r="C47" s="483">
        <f t="shared" si="4"/>
        <v>0</v>
      </c>
      <c r="D47" s="522">
        <f t="shared" si="1"/>
        <v>-2642605.1142894654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3.4160000000000004</v>
      </c>
      <c r="I47" s="525">
        <f>IF($I$7=1,NymexData!AN49,NymexData!X49)</f>
        <v>0</v>
      </c>
      <c r="J47" s="486">
        <f>IF($I$7=1,H47+I47,VLOOKUP(A47,NymexData!$AA$12:$AB$128,2))</f>
        <v>3.4160000000000004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38292</v>
      </c>
      <c r="S47" s="483">
        <f t="shared" si="13"/>
        <v>42150.203722671802</v>
      </c>
      <c r="T47" s="483">
        <f t="shared" si="14"/>
        <v>0</v>
      </c>
      <c r="U47" s="483">
        <f t="shared" si="15"/>
        <v>0</v>
      </c>
      <c r="V47" s="483">
        <f t="shared" si="2"/>
        <v>42150.203722671802</v>
      </c>
      <c r="W47" s="498">
        <f>[5]Cinergy!$F71</f>
        <v>-0.36500132083892822</v>
      </c>
      <c r="X47" s="483">
        <f t="shared" si="16"/>
        <v>-15384.880032405117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35">
      <c r="A48" s="496">
        <f>IF($B$5=1,[5]Cinergy!$D72,[5]Cinergy!$D73)</f>
        <v>38322</v>
      </c>
      <c r="B48" s="483">
        <f t="shared" si="3"/>
        <v>-1696323.8256593649</v>
      </c>
      <c r="C48" s="483">
        <f t="shared" si="4"/>
        <v>0</v>
      </c>
      <c r="D48" s="522">
        <f t="shared" si="1"/>
        <v>-1696323.8256593649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3.581</v>
      </c>
      <c r="I48" s="525">
        <f>IF($I$7=1,NymexData!AN50,NymexData!X50)</f>
        <v>0</v>
      </c>
      <c r="J48" s="486">
        <f>IF($I$7=1,H48+I48,VLOOKUP(A48,NymexData!$AA$12:$AB$128,2))</f>
        <v>3.581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38322</v>
      </c>
      <c r="S48" s="483">
        <f t="shared" si="13"/>
        <v>36460.142979089302</v>
      </c>
      <c r="T48" s="483">
        <f t="shared" si="14"/>
        <v>0</v>
      </c>
      <c r="U48" s="483">
        <f t="shared" si="15"/>
        <v>0</v>
      </c>
      <c r="V48" s="483">
        <f t="shared" si="2"/>
        <v>36460.142979089302</v>
      </c>
      <c r="W48" s="498">
        <f>[5]Cinergy!$F72</f>
        <v>-0.36500132083892822</v>
      </c>
      <c r="X48" s="483">
        <f t="shared" si="16"/>
        <v>-13308.000345343771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35">
      <c r="A49" s="496">
        <f>IF($B$5=1,[5]Cinergy!$D73,[5]Cinergy!$D74)</f>
        <v>38353</v>
      </c>
      <c r="B49" s="483">
        <f t="shared" si="3"/>
        <v>-2353197.334123712</v>
      </c>
      <c r="C49" s="483">
        <f t="shared" si="4"/>
        <v>0</v>
      </c>
      <c r="D49" s="522">
        <f t="shared" si="1"/>
        <v>-2353197.334123712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3.6310000000000002</v>
      </c>
      <c r="I49" s="525">
        <f>IF($I$7=1,NymexData!AN51,NymexData!X51)</f>
        <v>0</v>
      </c>
      <c r="J49" s="486">
        <f>IF($I$7=1,H49+I49,VLOOKUP(A49,NymexData!$AA$12:$AB$128,2))</f>
        <v>3.6310000000000002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38353</v>
      </c>
      <c r="S49" s="483">
        <f t="shared" si="13"/>
        <v>54038.581074538699</v>
      </c>
      <c r="T49" s="483">
        <f t="shared" si="14"/>
        <v>0</v>
      </c>
      <c r="U49" s="483">
        <f t="shared" si="15"/>
        <v>0</v>
      </c>
      <c r="V49" s="483">
        <f t="shared" si="2"/>
        <v>54038.581074538699</v>
      </c>
      <c r="W49" s="498">
        <f>[5]Cinergy!$F73</f>
        <v>1.8165225057487078E-7</v>
      </c>
      <c r="X49" s="483">
        <f t="shared" si="16"/>
        <v>9.8162298700625733E-3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35">
      <c r="A50" s="496">
        <f>IF($B$5=1,[5]Cinergy!$D74,[5]Cinergy!$D75)</f>
        <v>38384</v>
      </c>
      <c r="B50" s="483">
        <f t="shared" si="3"/>
        <v>-2431864.8955579852</v>
      </c>
      <c r="C50" s="483">
        <f t="shared" si="4"/>
        <v>0</v>
      </c>
      <c r="D50" s="522">
        <f t="shared" si="1"/>
        <v>-2431864.8955579852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3.5170000000000003</v>
      </c>
      <c r="I50" s="525">
        <f>IF($I$7=1,NymexData!AN52,NymexData!X52)</f>
        <v>0</v>
      </c>
      <c r="J50" s="486">
        <f>IF($I$7=1,H50+I50,VLOOKUP(A50,NymexData!$AA$12:$AB$128,2))</f>
        <v>3.5170000000000003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38384</v>
      </c>
      <c r="S50" s="483">
        <f t="shared" si="13"/>
        <v>54460.622473639298</v>
      </c>
      <c r="T50" s="483">
        <f t="shared" si="14"/>
        <v>0</v>
      </c>
      <c r="U50" s="483">
        <f t="shared" si="15"/>
        <v>0</v>
      </c>
      <c r="V50" s="483">
        <f t="shared" si="2"/>
        <v>54460.622473639298</v>
      </c>
      <c r="W50" s="498">
        <f>[5]Cinergy!$F74</f>
        <v>1.8165225057487078E-7</v>
      </c>
      <c r="X50" s="483">
        <f t="shared" si="16"/>
        <v>9.8928946400449642E-3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35">
      <c r="A51" s="496">
        <f>IF($B$5=1,[5]Cinergy!$D75,[5]Cinergy!$D76)</f>
        <v>38412</v>
      </c>
      <c r="B51" s="483">
        <f t="shared" si="3"/>
        <v>-2061366.6292069159</v>
      </c>
      <c r="C51" s="483">
        <f t="shared" si="4"/>
        <v>0</v>
      </c>
      <c r="D51" s="522">
        <f t="shared" si="1"/>
        <v>-2061366.6292069159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3.3849999999999998</v>
      </c>
      <c r="I51" s="525">
        <f>IF($I$7=1,NymexData!AN53,NymexData!X53)</f>
        <v>0</v>
      </c>
      <c r="J51" s="486">
        <f>IF($I$7=1,H51+I51,VLOOKUP(A51,NymexData!$AA$12:$AB$128,2))</f>
        <v>3.3849999999999998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38412</v>
      </c>
      <c r="S51" s="483">
        <f t="shared" si="13"/>
        <v>48545.359995474202</v>
      </c>
      <c r="T51" s="483">
        <f t="shared" si="14"/>
        <v>0</v>
      </c>
      <c r="U51" s="483">
        <f t="shared" si="15"/>
        <v>0</v>
      </c>
      <c r="V51" s="483">
        <f t="shared" si="2"/>
        <v>48545.359995474202</v>
      </c>
      <c r="W51" s="498">
        <f>[5]Cinergy!$F75</f>
        <v>-0.25000044356944784</v>
      </c>
      <c r="X51" s="483">
        <f t="shared" si="16"/>
        <v>-12136.361532107079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35">
      <c r="A52" s="496">
        <f>IF($B$5=1,[5]Cinergy!$D76,[5]Cinergy!$D77)</f>
        <v>38443</v>
      </c>
      <c r="B52" s="483">
        <f t="shared" si="3"/>
        <v>-213814.92563363799</v>
      </c>
      <c r="C52" s="483">
        <f t="shared" si="4"/>
        <v>0</v>
      </c>
      <c r="D52" s="522">
        <f t="shared" si="1"/>
        <v>-213814.92563363799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3.1870000000000003</v>
      </c>
      <c r="I52" s="525">
        <f>IF($I$7=1,NymexData!AN54,NymexData!X54)</f>
        <v>0</v>
      </c>
      <c r="J52" s="486">
        <f>IF($I$7=1,H52+I52,VLOOKUP(A52,NymexData!$AA$12:$AB$128,2))</f>
        <v>3.1870000000000003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38443</v>
      </c>
      <c r="S52" s="483">
        <f t="shared" si="13"/>
        <v>32136.569598655798</v>
      </c>
      <c r="T52" s="483">
        <f t="shared" si="14"/>
        <v>0</v>
      </c>
      <c r="U52" s="483">
        <f t="shared" si="15"/>
        <v>0</v>
      </c>
      <c r="V52" s="483">
        <f t="shared" si="2"/>
        <v>32136.569598655798</v>
      </c>
      <c r="W52" s="498">
        <f>[5]Cinergy!$F76</f>
        <v>-0.25000044356944784</v>
      </c>
      <c r="X52" s="483">
        <f t="shared" si="16"/>
        <v>-8034.156654464382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35">
      <c r="A53" s="496">
        <f>IF($B$5=1,[5]Cinergy!$D77,[5]Cinergy!$D78)</f>
        <v>38473</v>
      </c>
      <c r="B53" s="483">
        <f t="shared" si="3"/>
        <v>-364139.83300153806</v>
      </c>
      <c r="C53" s="483">
        <f t="shared" si="4"/>
        <v>0</v>
      </c>
      <c r="D53" s="522">
        <f t="shared" si="1"/>
        <v>-364139.83300153806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3.1830000000000003</v>
      </c>
      <c r="I53" s="525">
        <f>IF($I$7=1,NymexData!AN55,NymexData!X55)</f>
        <v>0</v>
      </c>
      <c r="J53" s="486">
        <f>IF($I$7=1,H53+I53,VLOOKUP(A53,NymexData!$AA$12:$AB$128,2))</f>
        <v>3.1830000000000003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38473</v>
      </c>
      <c r="S53" s="483">
        <f t="shared" si="13"/>
        <v>46848.722686164198</v>
      </c>
      <c r="T53" s="483">
        <f t="shared" si="14"/>
        <v>0</v>
      </c>
      <c r="U53" s="483">
        <f t="shared" si="15"/>
        <v>0</v>
      </c>
      <c r="V53" s="483">
        <f t="shared" si="2"/>
        <v>46848.722686164198</v>
      </c>
      <c r="W53" s="498">
        <f>[5]Cinergy!$F77</f>
        <v>0</v>
      </c>
      <c r="X53" s="483">
        <f t="shared" si="16"/>
        <v>0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35">
      <c r="A54" s="496">
        <f>IF($B$5=1,[5]Cinergy!$D78,[5]Cinergy!$D79)</f>
        <v>38504</v>
      </c>
      <c r="B54" s="483">
        <f t="shared" si="3"/>
        <v>-1389964.821017673</v>
      </c>
      <c r="C54" s="483">
        <f t="shared" si="4"/>
        <v>0</v>
      </c>
      <c r="D54" s="522">
        <f t="shared" si="1"/>
        <v>-1389964.821017673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3.2149999999999999</v>
      </c>
      <c r="I54" s="525">
        <f>IF($I$7=1,NymexData!AN56,NymexData!X56)</f>
        <v>0</v>
      </c>
      <c r="J54" s="486">
        <f>IF($I$7=1,H54+I54,VLOOKUP(A54,NymexData!$AA$12:$AB$128,2))</f>
        <v>3.2149999999999999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38504</v>
      </c>
      <c r="S54" s="483">
        <f t="shared" si="13"/>
        <v>164642.30983872531</v>
      </c>
      <c r="T54" s="483">
        <f t="shared" si="14"/>
        <v>0</v>
      </c>
      <c r="U54" s="483">
        <f t="shared" si="15"/>
        <v>0</v>
      </c>
      <c r="V54" s="483">
        <f t="shared" si="2"/>
        <v>164642.30983872531</v>
      </c>
      <c r="W54" s="498">
        <f>[5]Cinergy!$F78</f>
        <v>-0.5</v>
      </c>
      <c r="X54" s="483">
        <f t="shared" si="16"/>
        <v>-82321.154919362656</v>
      </c>
      <c r="Y54" s="483">
        <f t="shared" si="17"/>
        <v>0</v>
      </c>
      <c r="Z54" s="483">
        <f t="shared" si="18"/>
        <v>0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35">
      <c r="A55" s="496">
        <f>IF($B$5=1,[5]Cinergy!$D79,[5]Cinergy!$D80)</f>
        <v>38534</v>
      </c>
      <c r="B55" s="483">
        <f t="shared" si="3"/>
        <v>-1690438.204325276</v>
      </c>
      <c r="C55" s="483">
        <f t="shared" si="4"/>
        <v>0</v>
      </c>
      <c r="D55" s="522">
        <f t="shared" si="1"/>
        <v>-1690438.204325276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3.2650000000000001</v>
      </c>
      <c r="I55" s="525">
        <f>IF($I$7=1,NymexData!AN57,NymexData!X57)</f>
        <v>0</v>
      </c>
      <c r="J55" s="486">
        <f>IF($I$7=1,H55+I55,VLOOKUP(A55,NymexData!$AA$12:$AB$128,2))</f>
        <v>3.2650000000000001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38534</v>
      </c>
      <c r="S55" s="483">
        <f t="shared" si="13"/>
        <v>198982.31928723081</v>
      </c>
      <c r="T55" s="483">
        <f t="shared" si="14"/>
        <v>0</v>
      </c>
      <c r="U55" s="483">
        <f t="shared" si="15"/>
        <v>-11681.991044517499</v>
      </c>
      <c r="V55" s="483">
        <f t="shared" si="2"/>
        <v>187300.32824271332</v>
      </c>
      <c r="W55" s="498">
        <f>[5]Cinergy!$F79</f>
        <v>-0.5</v>
      </c>
      <c r="X55" s="483">
        <f t="shared" si="16"/>
        <v>-99491.159643615407</v>
      </c>
      <c r="Y55" s="483">
        <f t="shared" si="17"/>
        <v>0</v>
      </c>
      <c r="Z55" s="483">
        <f t="shared" si="18"/>
        <v>5840.9955222587496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35">
      <c r="A56" s="496">
        <f>IF($B$5=1,[5]Cinergy!$D80,[5]Cinergy!$D81)</f>
        <v>38565</v>
      </c>
      <c r="B56" s="483">
        <f t="shared" si="3"/>
        <v>-1932508.308484961</v>
      </c>
      <c r="C56" s="483">
        <f t="shared" si="4"/>
        <v>0</v>
      </c>
      <c r="D56" s="522">
        <f t="shared" si="1"/>
        <v>-1932508.308484961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3.2990000000000004</v>
      </c>
      <c r="I56" s="525">
        <f>IF($I$7=1,NymexData!AN58,NymexData!X58)</f>
        <v>0</v>
      </c>
      <c r="J56" s="486">
        <f>IF($I$7=1,H56+I56,VLOOKUP(A56,NymexData!$AA$12:$AB$128,2))</f>
        <v>3.2990000000000004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38565</v>
      </c>
      <c r="S56" s="483">
        <f t="shared" si="13"/>
        <v>227258.87490591098</v>
      </c>
      <c r="T56" s="483">
        <f t="shared" si="14"/>
        <v>0</v>
      </c>
      <c r="U56" s="483">
        <f t="shared" si="15"/>
        <v>-13353.671535471</v>
      </c>
      <c r="V56" s="483">
        <f t="shared" si="2"/>
        <v>213905.20337043999</v>
      </c>
      <c r="W56" s="498">
        <f>[5]Cinergy!$F80</f>
        <v>-0.5</v>
      </c>
      <c r="X56" s="483">
        <f t="shared" si="16"/>
        <v>-113629.43745295549</v>
      </c>
      <c r="Y56" s="483">
        <f t="shared" si="17"/>
        <v>0</v>
      </c>
      <c r="Z56" s="483">
        <f t="shared" si="18"/>
        <v>6676.8357677354998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35">
      <c r="A57" s="496">
        <f>IF($B$5=1,[5]Cinergy!$D81,[5]Cinergy!$D82)</f>
        <v>38596</v>
      </c>
      <c r="B57" s="483">
        <f t="shared" si="3"/>
        <v>-584628.56067991816</v>
      </c>
      <c r="C57" s="483">
        <f t="shared" si="4"/>
        <v>0</v>
      </c>
      <c r="D57" s="522">
        <f t="shared" si="1"/>
        <v>-584628.56067991816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3.3120000000000003</v>
      </c>
      <c r="I57" s="525">
        <f>IF($I$7=1,NymexData!AN59,NymexData!X59)</f>
        <v>0</v>
      </c>
      <c r="J57" s="486">
        <f>IF($I$7=1,H57+I57,VLOOKUP(A57,NymexData!$AA$12:$AB$128,2))</f>
        <v>3.3120000000000003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38596</v>
      </c>
      <c r="S57" s="483">
        <f t="shared" si="13"/>
        <v>62987.388115215494</v>
      </c>
      <c r="T57" s="483">
        <f t="shared" si="14"/>
        <v>0</v>
      </c>
      <c r="U57" s="483">
        <f t="shared" si="15"/>
        <v>0</v>
      </c>
      <c r="V57" s="483">
        <f t="shared" si="2"/>
        <v>62987.388115215494</v>
      </c>
      <c r="W57" s="498">
        <f>[5]Cinergy!$F81</f>
        <v>0</v>
      </c>
      <c r="X57" s="483">
        <f t="shared" si="16"/>
        <v>0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35">
      <c r="A58" s="496">
        <f>IF($B$5=1,[5]Cinergy!$D82,[5]Cinergy!$D83)</f>
        <v>38626</v>
      </c>
      <c r="B58" s="483">
        <f t="shared" si="3"/>
        <v>-120499.4805359036</v>
      </c>
      <c r="C58" s="483">
        <f t="shared" si="4"/>
        <v>0</v>
      </c>
      <c r="D58" s="522">
        <f t="shared" si="1"/>
        <v>-120499.4805359036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3.3109999999999999</v>
      </c>
      <c r="I58" s="525">
        <f>IF($I$7=1,NymexData!AN60,NymexData!X60)</f>
        <v>0</v>
      </c>
      <c r="J58" s="486">
        <f>IF($I$7=1,H58+I58,VLOOKUP(A58,NymexData!$AA$12:$AB$128,2))</f>
        <v>3.3109999999999999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38626</v>
      </c>
      <c r="S58" s="483">
        <f t="shared" si="13"/>
        <v>18738.964868973431</v>
      </c>
      <c r="T58" s="483">
        <f t="shared" si="14"/>
        <v>0</v>
      </c>
      <c r="U58" s="483">
        <f t="shared" si="15"/>
        <v>0</v>
      </c>
      <c r="V58" s="483">
        <f t="shared" si="2"/>
        <v>18738.964868973431</v>
      </c>
      <c r="W58" s="498">
        <f>[5]Cinergy!$F82</f>
        <v>-0.36500132083892822</v>
      </c>
      <c r="X58" s="483">
        <f t="shared" si="16"/>
        <v>-6839.7469283295759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35">
      <c r="A59" s="496">
        <f>IF($B$5=1,[5]Cinergy!$D83,[5]Cinergy!$D84)</f>
        <v>38657</v>
      </c>
      <c r="B59" s="483">
        <f t="shared" si="3"/>
        <v>-1048547.3940627576</v>
      </c>
      <c r="C59" s="483">
        <f t="shared" si="4"/>
        <v>0</v>
      </c>
      <c r="D59" s="522">
        <f t="shared" si="1"/>
        <v>-1048547.3940627576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3.4660000000000002</v>
      </c>
      <c r="I59" s="525">
        <f>IF($I$7=1,NymexData!AN61,NymexData!X61)</f>
        <v>0</v>
      </c>
      <c r="J59" s="486">
        <f>IF($I$7=1,H59+I59,VLOOKUP(A59,NymexData!$AA$12:$AB$128,2))</f>
        <v>3.4660000000000002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38657</v>
      </c>
      <c r="S59" s="483">
        <f t="shared" si="13"/>
        <v>30483.688804164798</v>
      </c>
      <c r="T59" s="483">
        <f t="shared" si="14"/>
        <v>0</v>
      </c>
      <c r="U59" s="483">
        <f t="shared" si="15"/>
        <v>0</v>
      </c>
      <c r="V59" s="483">
        <f t="shared" si="2"/>
        <v>30483.688804164798</v>
      </c>
      <c r="W59" s="498">
        <f>[5]Cinergy!$F83</f>
        <v>-0.36500132083892822</v>
      </c>
      <c r="X59" s="483">
        <f t="shared" si="16"/>
        <v>-11126.586677563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35">
      <c r="A60" s="496">
        <f>IF($B$5=1,[5]Cinergy!$D84,[5]Cinergy!$D85)</f>
        <v>38687</v>
      </c>
      <c r="B60" s="483">
        <f t="shared" si="3"/>
        <v>-667075.95847376506</v>
      </c>
      <c r="C60" s="483">
        <f t="shared" si="4"/>
        <v>0</v>
      </c>
      <c r="D60" s="522">
        <f t="shared" si="1"/>
        <v>-667075.95847376506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3.6310000000000002</v>
      </c>
      <c r="I60" s="525">
        <f>IF($I$7=1,NymexData!AN62,NymexData!X62)</f>
        <v>0</v>
      </c>
      <c r="J60" s="486">
        <f>IF($I$7=1,H60+I60,VLOOKUP(A60,NymexData!$AA$12:$AB$128,2))</f>
        <v>3.6310000000000002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38687</v>
      </c>
      <c r="S60" s="483">
        <f t="shared" si="13"/>
        <v>24689.746695783801</v>
      </c>
      <c r="T60" s="483">
        <f t="shared" si="14"/>
        <v>0</v>
      </c>
      <c r="U60" s="483">
        <f t="shared" si="15"/>
        <v>0</v>
      </c>
      <c r="V60" s="483">
        <f t="shared" si="2"/>
        <v>24689.746695783801</v>
      </c>
      <c r="W60" s="498">
        <f>[5]Cinergy!$F84</f>
        <v>-0.36500132083892822</v>
      </c>
      <c r="X60" s="483">
        <f t="shared" si="16"/>
        <v>-9011.7901551396517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">
      <c r="A61" s="496">
        <f>IF($B$5=1,[5]Cinergy!$D85,[5]Cinergy!$D86)</f>
        <v>38718</v>
      </c>
      <c r="B61" s="483">
        <f t="shared" si="3"/>
        <v>-925609.98004023533</v>
      </c>
      <c r="C61" s="483">
        <f t="shared" si="4"/>
        <v>0</v>
      </c>
      <c r="D61" s="522">
        <f t="shared" si="1"/>
        <v>-925609.98004023533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3.6910000000000003</v>
      </c>
      <c r="I61" s="525">
        <f>IF($I$7=1,NymexData!AN63,NymexData!X63)</f>
        <v>0</v>
      </c>
      <c r="J61" s="486">
        <f>IF($I$7=1,H61+I61,VLOOKUP(A61,NymexData!$AA$12:$AB$128,2))</f>
        <v>3.6910000000000003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38718</v>
      </c>
      <c r="S61" s="483">
        <f t="shared" si="13"/>
        <v>36283.560596767602</v>
      </c>
      <c r="T61" s="483">
        <f t="shared" si="14"/>
        <v>0</v>
      </c>
      <c r="U61" s="483">
        <f t="shared" si="15"/>
        <v>0</v>
      </c>
      <c r="V61" s="483">
        <f t="shared" si="2"/>
        <v>36283.560596767602</v>
      </c>
      <c r="W61" s="498">
        <f>[5]Cinergy!$F85</f>
        <v>1.8165225057487078E-7</v>
      </c>
      <c r="X61" s="483">
        <f t="shared" si="16"/>
        <v>6.5909904412725364E-3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">
      <c r="A62" s="496">
        <f>IF($B$5=1,[5]Cinergy!$D86,[5]Cinergy!$D87)</f>
        <v>38749</v>
      </c>
      <c r="B62" s="483">
        <f t="shared" si="3"/>
        <v>-949137.65203661099</v>
      </c>
      <c r="C62" s="483">
        <f t="shared" si="4"/>
        <v>0</v>
      </c>
      <c r="D62" s="522">
        <f t="shared" si="1"/>
        <v>-949137.65203661099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3.577</v>
      </c>
      <c r="I62" s="525">
        <f>IF($I$7=1,NymexData!AN64,NymexData!X64)</f>
        <v>0</v>
      </c>
      <c r="J62" s="486">
        <f>IF($I$7=1,H62+I62,VLOOKUP(A62,NymexData!$AA$12:$AB$128,2))</f>
        <v>3.577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38749</v>
      </c>
      <c r="S62" s="483">
        <f t="shared" si="13"/>
        <v>36689.196719553802</v>
      </c>
      <c r="T62" s="483">
        <f t="shared" si="14"/>
        <v>0</v>
      </c>
      <c r="U62" s="483">
        <f t="shared" si="15"/>
        <v>0</v>
      </c>
      <c r="V62" s="483">
        <f t="shared" si="2"/>
        <v>36689.196719553802</v>
      </c>
      <c r="W62" s="498">
        <f>[5]Cinergy!$F86</f>
        <v>1.8165225057487078E-7</v>
      </c>
      <c r="X62" s="483">
        <f t="shared" si="16"/>
        <v>6.6646751558911144E-3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">
      <c r="A63" s="496">
        <f>IF($B$5=1,[5]Cinergy!$D87,[5]Cinergy!$D88)</f>
        <v>38777</v>
      </c>
      <c r="B63" s="483">
        <f t="shared" si="3"/>
        <v>-847040.3772285548</v>
      </c>
      <c r="C63" s="483">
        <f t="shared" si="4"/>
        <v>0</v>
      </c>
      <c r="D63" s="522">
        <f t="shared" si="1"/>
        <v>-847040.3772285548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3.4449999999999998</v>
      </c>
      <c r="I63" s="525">
        <f>IF($I$7=1,NymexData!AN65,NymexData!X65)</f>
        <v>0</v>
      </c>
      <c r="J63" s="486">
        <f>IF($I$7=1,H63+I63,VLOOKUP(A63,NymexData!$AA$12:$AB$128,2))</f>
        <v>3.4449999999999998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38777</v>
      </c>
      <c r="S63" s="483">
        <f t="shared" si="13"/>
        <v>34383.553881261505</v>
      </c>
      <c r="T63" s="483">
        <f t="shared" si="14"/>
        <v>0</v>
      </c>
      <c r="U63" s="483">
        <f t="shared" si="15"/>
        <v>0</v>
      </c>
      <c r="V63" s="483">
        <f t="shared" si="2"/>
        <v>34383.553881261505</v>
      </c>
      <c r="W63" s="498">
        <f>[5]Cinergy!$F87</f>
        <v>-0.25000044356944784</v>
      </c>
      <c r="X63" s="483">
        <f t="shared" si="16"/>
        <v>-8595.9037218093854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">
      <c r="A64" s="496">
        <f>IF($B$5=1,[5]Cinergy!$D88,[5]Cinergy!$D89)</f>
        <v>38808</v>
      </c>
      <c r="B64" s="483">
        <f t="shared" si="3"/>
        <v>-200214.79448198579</v>
      </c>
      <c r="C64" s="483">
        <f t="shared" si="4"/>
        <v>0</v>
      </c>
      <c r="D64" s="522">
        <f t="shared" si="1"/>
        <v>-200214.79448198579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3.2470000000000003</v>
      </c>
      <c r="I64" s="525">
        <f>IF($I$7=1,NymexData!AN66,NymexData!X66)</f>
        <v>0</v>
      </c>
      <c r="J64" s="486">
        <f>IF($I$7=1,H64+I64,VLOOKUP(A64,NymexData!$AA$12:$AB$128,2))</f>
        <v>3.2470000000000003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38808</v>
      </c>
      <c r="S64" s="483">
        <f t="shared" si="13"/>
        <v>30368.0173201957</v>
      </c>
      <c r="T64" s="483">
        <f t="shared" si="14"/>
        <v>0</v>
      </c>
      <c r="U64" s="483">
        <f t="shared" si="15"/>
        <v>0</v>
      </c>
      <c r="V64" s="483">
        <f t="shared" si="2"/>
        <v>30368.0173201957</v>
      </c>
      <c r="W64" s="498">
        <f>[5]Cinergy!$F88</f>
        <v>-0.25000044356944784</v>
      </c>
      <c r="X64" s="483">
        <f t="shared" si="16"/>
        <v>-7592.0178003736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">
      <c r="A65" s="496">
        <f>IF($B$5=1,[5]Cinergy!$D89,[5]Cinergy!$D90)</f>
        <v>38838</v>
      </c>
      <c r="B65" s="483">
        <f t="shared" si="3"/>
        <v>-360908.66768471798</v>
      </c>
      <c r="C65" s="483">
        <f t="shared" si="4"/>
        <v>0</v>
      </c>
      <c r="D65" s="522">
        <f t="shared" si="1"/>
        <v>-360908.66768471798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3.2430000000000003</v>
      </c>
      <c r="I65" s="525">
        <f>IF($I$7=1,NymexData!AN67,NymexData!X67)</f>
        <v>0</v>
      </c>
      <c r="J65" s="486">
        <f>IF($I$7=1,H65+I65,VLOOKUP(A65,NymexData!$AA$12:$AB$128,2))</f>
        <v>3.2430000000000003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38838</v>
      </c>
      <c r="S65" s="483">
        <f t="shared" si="13"/>
        <v>45367.580639025698</v>
      </c>
      <c r="T65" s="483">
        <f t="shared" si="14"/>
        <v>0</v>
      </c>
      <c r="U65" s="483">
        <f t="shared" si="15"/>
        <v>0</v>
      </c>
      <c r="V65" s="483">
        <f t="shared" si="2"/>
        <v>45367.580639025698</v>
      </c>
      <c r="W65" s="498">
        <f>[5]Cinergy!$F89</f>
        <v>0</v>
      </c>
      <c r="X65" s="483">
        <f t="shared" si="16"/>
        <v>0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">
      <c r="A66" s="496">
        <f>IF($B$5=1,[5]Cinergy!$D90,[5]Cinergy!$D91)</f>
        <v>38869</v>
      </c>
      <c r="B66" s="483">
        <f t="shared" si="3"/>
        <v>-1306790.3770106211</v>
      </c>
      <c r="C66" s="483">
        <f t="shared" si="4"/>
        <v>0</v>
      </c>
      <c r="D66" s="522">
        <f t="shared" si="1"/>
        <v>-1306790.3770106211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3.2749999999999999</v>
      </c>
      <c r="I66" s="525">
        <f>IF($I$7=1,NymexData!AN68,NymexData!X68)</f>
        <v>0</v>
      </c>
      <c r="J66" s="486">
        <f>IF($I$7=1,H66+I66,VLOOKUP(A66,NymexData!$AA$12:$AB$128,2))</f>
        <v>3.2749999999999999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38869</v>
      </c>
      <c r="S66" s="483">
        <f t="shared" si="13"/>
        <v>147242.24309743501</v>
      </c>
      <c r="T66" s="483">
        <f t="shared" si="14"/>
        <v>0</v>
      </c>
      <c r="U66" s="483">
        <f t="shared" si="15"/>
        <v>0</v>
      </c>
      <c r="V66" s="483">
        <f t="shared" si="2"/>
        <v>147242.24309743501</v>
      </c>
      <c r="W66" s="498">
        <f>[5]Cinergy!$F90</f>
        <v>-0.5</v>
      </c>
      <c r="X66" s="483">
        <f t="shared" si="16"/>
        <v>-73621.121548717507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">
      <c r="A67" s="496">
        <f>IF($B$5=1,[5]Cinergy!$D91,[5]Cinergy!$D92)</f>
        <v>38899</v>
      </c>
      <c r="B67" s="483">
        <f t="shared" si="3"/>
        <v>-1646993.5479237961</v>
      </c>
      <c r="C67" s="483">
        <f t="shared" si="4"/>
        <v>0</v>
      </c>
      <c r="D67" s="522">
        <f t="shared" si="1"/>
        <v>-1646993.5479237961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3.3250000000000002</v>
      </c>
      <c r="I67" s="525">
        <f>IF($I$7=1,NymexData!AN69,NymexData!X69)</f>
        <v>0</v>
      </c>
      <c r="J67" s="486">
        <f>IF($I$7=1,H67+I67,VLOOKUP(A67,NymexData!$AA$12:$AB$128,2))</f>
        <v>3.3250000000000002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38899</v>
      </c>
      <c r="S67" s="483">
        <f t="shared" si="13"/>
        <v>183847.93397818989</v>
      </c>
      <c r="T67" s="483">
        <f t="shared" si="14"/>
        <v>0</v>
      </c>
      <c r="U67" s="483">
        <f t="shared" si="15"/>
        <v>0</v>
      </c>
      <c r="V67" s="483">
        <f t="shared" si="2"/>
        <v>183847.93397818989</v>
      </c>
      <c r="W67" s="498">
        <f>[5]Cinergy!$F91</f>
        <v>-0.5</v>
      </c>
      <c r="X67" s="483">
        <f t="shared" si="16"/>
        <v>-91923.966989094944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">
      <c r="A68" s="496">
        <f>IF($B$5=1,[5]Cinergy!$D92,[5]Cinergy!$D93)</f>
        <v>38930</v>
      </c>
      <c r="B68" s="483">
        <f t="shared" si="3"/>
        <v>-1880283.0210909392</v>
      </c>
      <c r="C68" s="483">
        <f t="shared" si="4"/>
        <v>0</v>
      </c>
      <c r="D68" s="522">
        <f t="shared" si="1"/>
        <v>-1880283.0210909392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3.359</v>
      </c>
      <c r="I68" s="525">
        <f>IF($I$7=1,NymexData!AN70,NymexData!X70)</f>
        <v>0</v>
      </c>
      <c r="J68" s="486">
        <f>IF($I$7=1,H68+I68,VLOOKUP(A68,NymexData!$AA$12:$AB$128,2))</f>
        <v>3.359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38930</v>
      </c>
      <c r="S68" s="483">
        <f t="shared" si="13"/>
        <v>209889.18149355182</v>
      </c>
      <c r="T68" s="483">
        <f t="shared" si="14"/>
        <v>0</v>
      </c>
      <c r="U68" s="483">
        <f t="shared" si="15"/>
        <v>0</v>
      </c>
      <c r="V68" s="483">
        <f t="shared" si="2"/>
        <v>209889.18149355182</v>
      </c>
      <c r="W68" s="498">
        <f>[5]Cinergy!$F92</f>
        <v>-0.5</v>
      </c>
      <c r="X68" s="483">
        <f t="shared" si="16"/>
        <v>-104944.59074677591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">
      <c r="A69" s="496">
        <f>IF($B$5=1,[5]Cinergy!$D93,[5]Cinergy!$D94)</f>
        <v>38961</v>
      </c>
      <c r="B69" s="483">
        <f t="shared" si="3"/>
        <v>-527489.34114377701</v>
      </c>
      <c r="C69" s="483">
        <f t="shared" si="4"/>
        <v>0</v>
      </c>
      <c r="D69" s="522">
        <f t="shared" si="1"/>
        <v>-527489.34114377701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3.3720000000000003</v>
      </c>
      <c r="I69" s="525">
        <f>IF($I$7=1,NymexData!AN71,NymexData!X71)</f>
        <v>0</v>
      </c>
      <c r="J69" s="486">
        <f>IF($I$7=1,H69+I69,VLOOKUP(A69,NymexData!$AA$12:$AB$128,2))</f>
        <v>3.3720000000000003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38961</v>
      </c>
      <c r="S69" s="483">
        <f t="shared" si="13"/>
        <v>56509.0309190806</v>
      </c>
      <c r="T69" s="483">
        <f t="shared" si="14"/>
        <v>0</v>
      </c>
      <c r="U69" s="483">
        <f t="shared" si="15"/>
        <v>0</v>
      </c>
      <c r="V69" s="483">
        <f t="shared" si="2"/>
        <v>56509.0309190806</v>
      </c>
      <c r="W69" s="498">
        <f>[5]Cinergy!$F93</f>
        <v>0</v>
      </c>
      <c r="X69" s="483">
        <f t="shared" si="16"/>
        <v>0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">
      <c r="A70" s="496">
        <f>IF($B$5=1,[5]Cinergy!$D94,[5]Cinergy!$D95)</f>
        <v>38991</v>
      </c>
      <c r="B70" s="483">
        <f t="shared" si="3"/>
        <v>-140727.20742915978</v>
      </c>
      <c r="C70" s="483">
        <f t="shared" si="4"/>
        <v>0</v>
      </c>
      <c r="D70" s="522">
        <f t="shared" si="1"/>
        <v>-140727.20742915978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3.371</v>
      </c>
      <c r="I70" s="525">
        <f>IF($I$7=1,NymexData!AN72,NymexData!X72)</f>
        <v>0</v>
      </c>
      <c r="J70" s="486">
        <f>IF($I$7=1,H70+I70,VLOOKUP(A70,NymexData!$AA$12:$AB$128,2))</f>
        <v>3.371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38991</v>
      </c>
      <c r="S70" s="483">
        <f t="shared" si="13"/>
        <v>21793.603058108929</v>
      </c>
      <c r="T70" s="483">
        <f t="shared" si="14"/>
        <v>0</v>
      </c>
      <c r="U70" s="483">
        <f t="shared" si="15"/>
        <v>0</v>
      </c>
      <c r="V70" s="483">
        <f t="shared" si="2"/>
        <v>21793.603058108929</v>
      </c>
      <c r="W70" s="498">
        <f>[5]Cinergy!$F94</f>
        <v>-0.36500132083892822</v>
      </c>
      <c r="X70" s="483">
        <f t="shared" si="16"/>
        <v>-7954.6939020490645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">
      <c r="A71" s="496">
        <f>IF($B$5=1,[5]Cinergy!$D95,[5]Cinergy!$D96)</f>
        <v>39022</v>
      </c>
      <c r="B71" s="483">
        <f t="shared" si="3"/>
        <v>-2553380.355215882</v>
      </c>
      <c r="C71" s="483">
        <f t="shared" si="4"/>
        <v>0</v>
      </c>
      <c r="D71" s="522">
        <f t="shared" si="1"/>
        <v>-2553380.355215882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3.5260000000000002</v>
      </c>
      <c r="I71" s="525">
        <f>IF($I$7=1,NymexData!AN73,NymexData!X73)</f>
        <v>0</v>
      </c>
      <c r="J71" s="486">
        <f>IF($I$7=1,H71+I71,VLOOKUP(A71,NymexData!$AA$12:$AB$128,2))</f>
        <v>3.5260000000000002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39022</v>
      </c>
      <c r="S71" s="483">
        <f t="shared" si="13"/>
        <v>45072.0402421373</v>
      </c>
      <c r="T71" s="483">
        <f t="shared" si="14"/>
        <v>0</v>
      </c>
      <c r="U71" s="483">
        <f t="shared" si="15"/>
        <v>0</v>
      </c>
      <c r="V71" s="483">
        <f t="shared" si="2"/>
        <v>45072.0402421373</v>
      </c>
      <c r="W71" s="498">
        <f>[5]Cinergy!$F95</f>
        <v>-0.36500132083892822</v>
      </c>
      <c r="X71" s="483">
        <f t="shared" si="16"/>
        <v>-16451.354221285441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">
      <c r="A72" s="496">
        <f>IF($B$5=1,[5]Cinergy!$D96,[5]Cinergy!$D97)</f>
        <v>39052</v>
      </c>
      <c r="B72" s="483">
        <f t="shared" si="3"/>
        <v>-1596418.859972642</v>
      </c>
      <c r="C72" s="483">
        <f t="shared" si="4"/>
        <v>0</v>
      </c>
      <c r="D72" s="522">
        <f t="shared" si="1"/>
        <v>-1596418.859972642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3.6910000000000003</v>
      </c>
      <c r="I72" s="525">
        <f>IF($I$7=1,NymexData!AN74,NymexData!X74)</f>
        <v>0</v>
      </c>
      <c r="J72" s="486">
        <f>IF($I$7=1,H72+I72,VLOOKUP(A72,NymexData!$AA$12:$AB$128,2))</f>
        <v>3.6910000000000003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39052</v>
      </c>
      <c r="S72" s="483">
        <f t="shared" si="13"/>
        <v>36006.455628986398</v>
      </c>
      <c r="T72" s="483">
        <f t="shared" si="14"/>
        <v>0</v>
      </c>
      <c r="U72" s="483">
        <f t="shared" si="15"/>
        <v>0</v>
      </c>
      <c r="V72" s="483">
        <f t="shared" si="2"/>
        <v>36006.455628986398</v>
      </c>
      <c r="W72" s="498">
        <f>[5]Cinergy!$F96</f>
        <v>-0.36500132083892822</v>
      </c>
      <c r="X72" s="483">
        <f t="shared" si="16"/>
        <v>-13142.403863308296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">
      <c r="A73" s="496">
        <f>IF($B$5=1,[5]Cinergy!$D97,[5]Cinergy!$D98)</f>
        <v>39083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3.7560000000000002</v>
      </c>
      <c r="I73" s="525">
        <f>IF($I$7=1,NymexData!AN75,NymexData!X75)</f>
        <v>0</v>
      </c>
      <c r="J73" s="486">
        <f>IF($I$7=1,H73+I73,VLOOKUP(A73,NymexData!$AA$12:$AB$128,2))</f>
        <v>3.7560000000000002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39083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1.8165225057487078E-7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">
      <c r="A74" s="496">
        <f>IF($B$5=1,[5]Cinergy!$D98,[5]Cinergy!$D99)</f>
        <v>39114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3.6420000000000003</v>
      </c>
      <c r="I74" s="525">
        <f>IF($I$7=1,NymexData!AN76,NymexData!X76)</f>
        <v>0</v>
      </c>
      <c r="J74" s="486">
        <f>IF($I$7=1,H74+I74,VLOOKUP(A74,NymexData!$AA$12:$AB$128,2))</f>
        <v>3.6420000000000003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39114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1.8165225057487078E-7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">
      <c r="A75" s="496">
        <f>IF($B$5=1,[5]Cinergy!$D99,[5]Cinergy!$D100)</f>
        <v>39142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3.51</v>
      </c>
      <c r="I75" s="525">
        <f>IF($I$7=1,NymexData!AN77,NymexData!X77)</f>
        <v>0</v>
      </c>
      <c r="J75" s="486">
        <f>IF($I$7=1,H75+I75,VLOOKUP(A75,NymexData!$AA$12:$AB$128,2))</f>
        <v>3.51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39142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-0.25000044356944784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">
      <c r="A76" s="496">
        <f>IF($B$5=1,[5]Cinergy!$D100,[5]Cinergy!$D101)</f>
        <v>39173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3.3120000000000003</v>
      </c>
      <c r="I76" s="525">
        <f>IF($I$7=1,NymexData!AN78,NymexData!X78)</f>
        <v>0</v>
      </c>
      <c r="J76" s="486">
        <f>IF($I$7=1,H76+I76,VLOOKUP(A76,NymexData!$AA$12:$AB$128,2))</f>
        <v>3.3120000000000003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39173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-0.25000044356944784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">
      <c r="A77" s="496">
        <f>IF($B$5=1,[5]Cinergy!$D101,[5]Cinergy!$D102)</f>
        <v>39203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3.3080000000000003</v>
      </c>
      <c r="I77" s="525">
        <f>IF($I$7=1,NymexData!AN79,NymexData!X79)</f>
        <v>0</v>
      </c>
      <c r="J77" s="486">
        <f>IF($I$7=1,H77+I77,VLOOKUP(A77,NymexData!$AA$12:$AB$128,2))</f>
        <v>3.3080000000000003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39203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">
      <c r="A78" s="496">
        <f>IF($B$5=1,[5]Cinergy!$D102,[5]Cinergy!$D103)</f>
        <v>39234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3.34</v>
      </c>
      <c r="I78" s="525">
        <f>IF($I$7=1,NymexData!AN80,NymexData!X80)</f>
        <v>0</v>
      </c>
      <c r="J78" s="486">
        <f>IF($I$7=1,H78+I78,VLOOKUP(A78,NymexData!$AA$12:$AB$128,2))</f>
        <v>3.34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39234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-0.5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">
      <c r="A79" s="496">
        <f>IF($B$5=1,[5]Cinergy!$D103,[5]Cinergy!$D104)</f>
        <v>39264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3.39</v>
      </c>
      <c r="I79" s="525">
        <f>IF($I$7=1,NymexData!AN81,NymexData!X81)</f>
        <v>0</v>
      </c>
      <c r="J79" s="486">
        <f>IF($I$7=1,H79+I79,VLOOKUP(A79,NymexData!$AA$12:$AB$128,2))</f>
        <v>3.39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39264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-0.5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">
      <c r="A80" s="496">
        <f>IF($B$5=1,[5]Cinergy!$D104,[5]Cinergy!$D105)</f>
        <v>39295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3.4240000000000004</v>
      </c>
      <c r="I80" s="525">
        <f>IF($I$7=1,NymexData!AN82,NymexData!X82)</f>
        <v>0</v>
      </c>
      <c r="J80" s="486">
        <f>IF($I$7=1,H80+I80,VLOOKUP(A80,NymexData!$AA$12:$AB$128,2))</f>
        <v>3.4240000000000004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39295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-0.5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">
      <c r="A81" s="496">
        <f>IF($B$5=1,[5]Cinergy!$D105,[5]Cinergy!$D106)</f>
        <v>39326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3.4370000000000003</v>
      </c>
      <c r="I81" s="525">
        <f>IF($I$7=1,NymexData!AN83,NymexData!X83)</f>
        <v>0</v>
      </c>
      <c r="J81" s="486">
        <f>IF($I$7=1,H81+I81,VLOOKUP(A81,NymexData!$AA$12:$AB$128,2))</f>
        <v>3.4370000000000003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39326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">
      <c r="A82" s="496">
        <f>IF($B$5=1,[5]Cinergy!$D106,[5]Cinergy!$D107)</f>
        <v>39356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3.4359999999999999</v>
      </c>
      <c r="I82" s="525">
        <f>IF($I$7=1,NymexData!AN84,NymexData!X84)</f>
        <v>0</v>
      </c>
      <c r="J82" s="486">
        <f>IF($I$7=1,H82+I82,VLOOKUP(A82,NymexData!$AA$12:$AB$128,2))</f>
        <v>3.4359999999999999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39356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-0.36500132083892822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">
      <c r="A83" s="496">
        <f>IF($B$5=1,[5]Cinergy!$D107,[5]Cinergy!$D108)</f>
        <v>39387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3.5910000000000002</v>
      </c>
      <c r="I83" s="525">
        <f>IF($I$7=1,NymexData!AN85,NymexData!X85)</f>
        <v>0</v>
      </c>
      <c r="J83" s="486">
        <f>IF($I$7=1,H83+I83,VLOOKUP(A83,NymexData!$AA$12:$AB$128,2))</f>
        <v>3.5910000000000002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39387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-0.36500132083892822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">
      <c r="A84" s="496">
        <f>IF($B$5=1,[5]Cinergy!$D108,[5]Cinergy!$D109)</f>
        <v>39417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3.7560000000000002</v>
      </c>
      <c r="I84" s="525">
        <f>IF($I$7=1,NymexData!AN86,NymexData!X86)</f>
        <v>0</v>
      </c>
      <c r="J84" s="486">
        <f>IF($I$7=1,H84+I84,VLOOKUP(A84,NymexData!$AA$12:$AB$128,2))</f>
        <v>3.7560000000000002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39417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-0.36500132083892822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">
      <c r="A85" s="496">
        <f>IF($B$5=1,[5]Cinergy!$D109,[5]Cinergy!$D110)</f>
        <v>39448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3.8260000000000001</v>
      </c>
      <c r="I85" s="525">
        <f>IF($I$7=1,NymexData!AN87,NymexData!X87)</f>
        <v>0</v>
      </c>
      <c r="J85" s="486">
        <f>IF($I$7=1,H85+I85,VLOOKUP(A85,NymexData!$AA$12:$AB$128,2))</f>
        <v>3.8260000000000001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39448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1.8165225057487078E-7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">
      <c r="A86" s="496">
        <f>IF($B$5=1,[5]Cinergy!$D110,[5]Cinergy!$D111)</f>
        <v>39479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3.7120000000000002</v>
      </c>
      <c r="I86" s="525">
        <f>IF($I$7=1,NymexData!AN88,NymexData!X88)</f>
        <v>0</v>
      </c>
      <c r="J86" s="486">
        <f>IF($I$7=1,H86+I86,VLOOKUP(A86,NymexData!$AA$12:$AB$128,2))</f>
        <v>3.7120000000000002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39479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1.8165225057487078E-7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">
      <c r="A87" s="496">
        <f>IF($B$5=1,[5]Cinergy!$D111,[5]Cinergy!$D112)</f>
        <v>39508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3.58</v>
      </c>
      <c r="I87" s="525">
        <f>IF($I$7=1,NymexData!AN89,NymexData!X89)</f>
        <v>0</v>
      </c>
      <c r="J87" s="486">
        <f>IF($I$7=1,H87+I87,VLOOKUP(A87,NymexData!$AA$12:$AB$128,2))</f>
        <v>3.58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39508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-0.25000044356944784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">
      <c r="A88" s="496">
        <f>IF($B$5=1,[5]Cinergy!$D112,[5]Cinergy!$D113)</f>
        <v>39539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3.3820000000000001</v>
      </c>
      <c r="I88" s="525">
        <f>IF($I$7=1,NymexData!AN90,NymexData!X90)</f>
        <v>0</v>
      </c>
      <c r="J88" s="486">
        <f>IF($I$7=1,H88+I88,VLOOKUP(A88,NymexData!$AA$12:$AB$128,2))</f>
        <v>3.3820000000000001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39539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-0.25000044356944784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">
      <c r="A89" s="496">
        <f>IF($B$5=1,[5]Cinergy!$D113,[5]Cinergy!$D114)</f>
        <v>39569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3.3780000000000001</v>
      </c>
      <c r="I89" s="525">
        <f>IF($I$7=1,NymexData!AN91,NymexData!X91)</f>
        <v>0</v>
      </c>
      <c r="J89" s="486">
        <f>IF($I$7=1,H89+I89,VLOOKUP(A89,NymexData!$AA$12:$AB$128,2))</f>
        <v>3.3780000000000001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39569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">
      <c r="A90" s="496">
        <f>IF($B$5=1,[5]Cinergy!$D114,[5]Cinergy!$D115)</f>
        <v>39600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3.41</v>
      </c>
      <c r="I90" s="525">
        <f>IF($I$7=1,NymexData!AN92,NymexData!X92)</f>
        <v>0</v>
      </c>
      <c r="J90" s="486">
        <f>IF($I$7=1,H90+I90,VLOOKUP(A90,NymexData!$AA$12:$AB$128,2))</f>
        <v>3.41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39600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-0.5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">
      <c r="A91" s="496">
        <f>IF($B$5=1,[5]Cinergy!$D115,[5]Cinergy!$D116)</f>
        <v>39630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3.46</v>
      </c>
      <c r="I91" s="525">
        <f>IF($I$7=1,NymexData!AN93,NymexData!X93)</f>
        <v>0</v>
      </c>
      <c r="J91" s="486">
        <f>IF($I$7=1,H91+I91,VLOOKUP(A91,NymexData!$AA$12:$AB$128,2))</f>
        <v>3.46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39630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-0.5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">
      <c r="A92" s="496">
        <f>IF($B$5=1,[5]Cinergy!$D116,[5]Cinergy!$D117)</f>
        <v>39661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3.4940000000000002</v>
      </c>
      <c r="I92" s="525">
        <f>IF($I$7=1,NymexData!AN94,NymexData!X94)</f>
        <v>0</v>
      </c>
      <c r="J92" s="486">
        <f>IF($I$7=1,H92+I92,VLOOKUP(A92,NymexData!$AA$12:$AB$128,2))</f>
        <v>3.4940000000000002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39661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-0.5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">
      <c r="A93" s="496">
        <f>IF($B$5=1,[5]Cinergy!$D117,[5]Cinergy!$D118)</f>
        <v>39692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3.5070000000000001</v>
      </c>
      <c r="I93" s="525">
        <f>IF($I$7=1,NymexData!AN95,NymexData!X95)</f>
        <v>0</v>
      </c>
      <c r="J93" s="486">
        <f>IF($I$7=1,H93+I93,VLOOKUP(A93,NymexData!$AA$12:$AB$128,2))</f>
        <v>3.5070000000000001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39692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">
      <c r="A94" s="496">
        <f>IF($B$5=1,[5]Cinergy!$D118,[5]Cinergy!$D119)</f>
        <v>39722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3.5060000000000002</v>
      </c>
      <c r="I94" s="525">
        <f>IF($I$7=1,NymexData!AN96,NymexData!X96)</f>
        <v>0</v>
      </c>
      <c r="J94" s="486">
        <f>IF($I$7=1,H94+I94,VLOOKUP(A94,NymexData!$AA$12:$AB$128,2))</f>
        <v>3.5060000000000002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39722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-0.36500132083892822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">
      <c r="A95" s="496">
        <f>IF($B$5=1,[5]Cinergy!$D119,[5]Cinergy!$D120)</f>
        <v>39753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3.661</v>
      </c>
      <c r="I95" s="525">
        <f>IF($I$7=1,NymexData!AN97,NymexData!X97)</f>
        <v>0</v>
      </c>
      <c r="J95" s="486">
        <f>IF($I$7=1,H95+I95,VLOOKUP(A95,NymexData!$AA$12:$AB$128,2))</f>
        <v>3.661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39753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-0.36500132083892822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">
      <c r="A96" s="496">
        <f>IF($B$5=1,[5]Cinergy!$D120,[5]Cinergy!$D121)</f>
        <v>39783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3.8260000000000001</v>
      </c>
      <c r="I96" s="525">
        <f>IF($I$7=1,NymexData!AN98,NymexData!X98)</f>
        <v>0</v>
      </c>
      <c r="J96" s="486">
        <f>IF($I$7=1,H96+I96,VLOOKUP(A96,NymexData!$AA$12:$AB$128,2))</f>
        <v>3.8260000000000001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39783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-0.36500132083892822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">
      <c r="A97" s="496">
        <f>IF($B$5=1,[5]Cinergy!$D121,[5]Cinergy!$D122)</f>
        <v>39814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3.9010000000000002</v>
      </c>
      <c r="I97" s="525">
        <f>IF($I$7=1,NymexData!AN99,NymexData!X99)</f>
        <v>0</v>
      </c>
      <c r="J97" s="486">
        <f>IF($I$7=1,H97+I97,VLOOKUP(A97,NymexData!$AA$12:$AB$128,2))</f>
        <v>3.9010000000000002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39814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1.8165225057487078E-7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">
      <c r="A98" s="496">
        <f>IF($B$5=1,[5]Cinergy!$D122,[5]Cinergy!$D123)</f>
        <v>39845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3.7870000000000004</v>
      </c>
      <c r="I98" s="525">
        <f>IF($I$7=1,NymexData!AN100,NymexData!X100)</f>
        <v>0</v>
      </c>
      <c r="J98" s="486">
        <f>IF($I$7=1,H98+I98,VLOOKUP(A98,NymexData!$AA$12:$AB$128,2))</f>
        <v>3.7870000000000004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39845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1.8165225057487078E-7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">
      <c r="A99" s="496">
        <f>IF($B$5=1,[5]Cinergy!$D123,[5]Cinergy!$D124)</f>
        <v>39873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3.6549999999999998</v>
      </c>
      <c r="I99" s="525">
        <f>IF($I$7=1,NymexData!AN101,NymexData!X101)</f>
        <v>0</v>
      </c>
      <c r="J99" s="486">
        <f>IF($I$7=1,H99+I99,VLOOKUP(A99,NymexData!$AA$12:$AB$128,2))</f>
        <v>3.6549999999999998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39873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-0.25000044356944784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5" thickBot="1" x14ac:dyDescent="0.25">
      <c r="A100" s="497">
        <f>IF($B$5=1,[5]Cinergy!$D124,[5]Cinergy!$D125)</f>
        <v>39904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3.4570000000000003</v>
      </c>
      <c r="I100" s="526">
        <f>IF($I$7=1,NymexData!AN102,NymexData!X102)</f>
        <v>0</v>
      </c>
      <c r="J100" s="487">
        <f>IF($I$7=1,H100+I100,VLOOKUP(A100,NymexData!$AA$12:$AB$128,2))</f>
        <v>3.4570000000000003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39904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-0.25000044356944784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8" x14ac:dyDescent="0.25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5" thickBot="1" x14ac:dyDescent="0.25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5" thickBot="1" x14ac:dyDescent="0.3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75" x14ac:dyDescent="0.25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75" x14ac:dyDescent="0.25">
      <c r="A108" s="469">
        <v>2001</v>
      </c>
      <c r="B108" s="290">
        <f t="array" ref="B108">SUM(IF(YEAR($A$10:$A$100)=$A108,$D$10:$D$100))</f>
        <v>-2666499.5077793696</v>
      </c>
      <c r="C108" s="476">
        <f t="array" ref="C108">SUM(IF(YEAR($A$10:$A$100)=$A108,$G$10:$G$100))</f>
        <v>0</v>
      </c>
      <c r="D108" s="465">
        <f t="shared" si="40"/>
        <v>-2666499.5077793696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75" x14ac:dyDescent="0.25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75" x14ac:dyDescent="0.25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75" x14ac:dyDescent="0.25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75" x14ac:dyDescent="0.25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5" thickBot="1" x14ac:dyDescent="0.3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5" thickBot="1" x14ac:dyDescent="0.3">
      <c r="A114" s="470" t="s">
        <v>93</v>
      </c>
      <c r="B114" s="466">
        <f>SUM(B107:B113)</f>
        <v>-79673824.956532255</v>
      </c>
      <c r="C114" s="477">
        <f>SUM(C107:C113)</f>
        <v>0</v>
      </c>
      <c r="D114" s="467">
        <f>SUM(D107:D113)</f>
        <v>-79673824.956532255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552450</xdr:colOff>
                    <xdr:row>1</xdr:row>
                    <xdr:rowOff>85725</xdr:rowOff>
                  </from>
                  <to>
                    <xdr:col>2</xdr:col>
                    <xdr:colOff>723900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2.75" x14ac:dyDescent="0.2"/>
  <cols>
    <col min="1" max="1" width="18.5703125" customWidth="1"/>
    <col min="2" max="2" width="14.85546875" customWidth="1"/>
    <col min="3" max="4" width="12.7109375" customWidth="1"/>
    <col min="5" max="5" width="15" customWidth="1"/>
    <col min="6" max="6" width="12.7109375" customWidth="1"/>
    <col min="7" max="7" width="13.28515625" bestFit="1" customWidth="1"/>
    <col min="8" max="9" width="12.7109375" customWidth="1"/>
    <col min="10" max="10" width="15.42578125" customWidth="1"/>
    <col min="11" max="11" width="12.7109375" customWidth="1"/>
    <col min="12" max="12" width="14" customWidth="1"/>
    <col min="14" max="14" width="10.7109375" customWidth="1"/>
    <col min="19" max="34" width="9.7109375" customWidth="1"/>
    <col min="35" max="35" width="11.85546875" customWidth="1"/>
    <col min="36" max="60" width="9.7109375" customWidth="1"/>
    <col min="67" max="67" width="10.7109375" customWidth="1"/>
  </cols>
  <sheetData>
    <row r="1" spans="1:145" ht="23.25" x14ac:dyDescent="0.35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5" thickBot="1" x14ac:dyDescent="0.25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.75" thickBot="1" x14ac:dyDescent="0.3">
      <c r="A3" s="332">
        <f>TradeSum!B2</f>
        <v>37141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75" x14ac:dyDescent="0.25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str">
        <f t="array" ref="DX4:DX17">[2]!'0#CN: 2 16 5 14'</f>
        <v>--0.6</v>
      </c>
      <c r="DY4" s="394">
        <f>IF(ISERROR(DZ4),0,DZ4)</f>
        <v>0</v>
      </c>
      <c r="DZ4" s="394" t="e">
        <f t="shared" ref="DZ4:DZ19" si="0">VALUE(DX4)</f>
        <v>#VALUE!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5" thickBot="1" x14ac:dyDescent="0.3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37196</v>
      </c>
      <c r="DR5" s="411">
        <f t="shared" ref="DR5:DR22" si="2">DY5</f>
        <v>0</v>
      </c>
      <c r="DS5" s="411">
        <f>VLOOKUP(DQ5,NymexData!$A$12:$B$29,2)-G12</f>
        <v>0</v>
      </c>
      <c r="DX5" s="393" t="str">
        <v>--0.4</v>
      </c>
      <c r="DY5" s="394">
        <f t="shared" ref="DY5:DY21" si="3">IF(ISERROR(DZ5),0,DZ5)</f>
        <v>0</v>
      </c>
      <c r="DZ5" s="255" t="e">
        <f t="shared" si="0"/>
        <v>#VALUE!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5" thickBot="1" x14ac:dyDescent="0.3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37226</v>
      </c>
      <c r="DR6" s="411">
        <f t="shared" si="2"/>
        <v>0</v>
      </c>
      <c r="DS6" s="411">
        <f>VLOOKUP(DQ6,NymexData!$A$12:$B$29,2)-G13</f>
        <v>0</v>
      </c>
      <c r="DX6" s="393" t="str">
        <v>--0.4</v>
      </c>
      <c r="DY6" s="394">
        <f t="shared" si="3"/>
        <v>0</v>
      </c>
      <c r="DZ6" s="255" t="e">
        <f t="shared" si="0"/>
        <v>#VALUE!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37257</v>
      </c>
      <c r="DR7" s="411">
        <f t="shared" si="2"/>
        <v>0</v>
      </c>
      <c r="DS7" s="411">
        <f>VLOOKUP(DQ7,NymexData!$A$12:$B$29,2)-G14</f>
        <v>0</v>
      </c>
      <c r="DX7" s="393" t="str">
        <v>--0.2</v>
      </c>
      <c r="DY7" s="394">
        <f t="shared" si="3"/>
        <v>0</v>
      </c>
      <c r="DZ7" s="255" t="e">
        <f t="shared" si="0"/>
        <v>#VALUE!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0.25" x14ac:dyDescent="0.3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37288</v>
      </c>
      <c r="DR8" s="411">
        <f t="shared" si="2"/>
        <v>0</v>
      </c>
      <c r="DS8" s="411">
        <f>VLOOKUP(DQ8,NymexData!$A$12:$B$29,2)-G15</f>
        <v>0</v>
      </c>
      <c r="DX8" s="393" t="str">
        <v>--0.2</v>
      </c>
      <c r="DY8" s="394">
        <f t="shared" si="3"/>
        <v>0</v>
      </c>
      <c r="DZ8" s="255" t="e">
        <f t="shared" si="0"/>
        <v>#VALUE!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5" thickBot="1" x14ac:dyDescent="0.25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37316</v>
      </c>
      <c r="DR9" s="411">
        <f t="shared" si="2"/>
        <v>0</v>
      </c>
      <c r="DS9" s="411">
        <f>VLOOKUP(DQ9,NymexData!$A$12:$B$29,2)-G16</f>
        <v>0</v>
      </c>
      <c r="DX9" s="393" t="str">
        <v>--0.2</v>
      </c>
      <c r="DY9" s="394">
        <f t="shared" si="3"/>
        <v>0</v>
      </c>
      <c r="DZ9" s="255" t="e">
        <f t="shared" si="0"/>
        <v>#VALUE!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37347</v>
      </c>
      <c r="DR10" s="411">
        <f t="shared" si="2"/>
        <v>0</v>
      </c>
      <c r="DS10" s="411">
        <f>VLOOKUP(DQ10,NymexData!$A$12:$B$29,2)-G17</f>
        <v>0</v>
      </c>
      <c r="DX10" s="393" t="str">
        <v>--0.2</v>
      </c>
      <c r="DY10" s="394">
        <f t="shared" si="3"/>
        <v>0</v>
      </c>
      <c r="DZ10" s="255" t="e">
        <f t="shared" si="0"/>
        <v>#VALUE!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5" thickBot="1" x14ac:dyDescent="0.25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37377</v>
      </c>
      <c r="DR11" s="411">
        <f t="shared" si="2"/>
        <v>0</v>
      </c>
      <c r="DS11" s="411">
        <f>VLOOKUP(DQ11,NymexData!$A$12:$B$29,2)-G18</f>
        <v>0</v>
      </c>
      <c r="DX11" s="393" t="str">
        <v xml:space="preserve">     </v>
      </c>
      <c r="DY11" s="394">
        <f t="shared" si="3"/>
        <v>0</v>
      </c>
      <c r="DZ11" s="255" t="e">
        <f t="shared" si="0"/>
        <v>#VALUE!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8" x14ac:dyDescent="0.25">
      <c r="A12" s="153">
        <f>[5]Cinergy!D35</f>
        <v>37196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26.1</v>
      </c>
      <c r="H12" s="143">
        <f t="shared" ref="H12:H29" si="8">IF(DU$3=1,DR5,DS5)</f>
        <v>0</v>
      </c>
      <c r="I12" s="435">
        <f t="shared" ref="I12:I27" si="9">G12+H12</f>
        <v>26.1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0.10000000000000142</v>
      </c>
      <c r="O12" s="348"/>
      <c r="R12" s="47">
        <f t="shared" ref="R12:R28" si="13">A12</f>
        <v>37196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37196</v>
      </c>
      <c r="BM12" s="349">
        <f>B12*TradeSum!H13</f>
        <v>0</v>
      </c>
      <c r="BO12" s="350">
        <f>VLOOKUP(A12,TradeSum!$CB$12:$CE$47,4)</f>
        <v>0.98969489580859615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37408</v>
      </c>
      <c r="DR12" s="411">
        <f t="shared" si="2"/>
        <v>0</v>
      </c>
      <c r="DS12" s="411">
        <f>VLOOKUP(DQ12,NymexData!$A$12:$B$29,2)-G19</f>
        <v>0</v>
      </c>
      <c r="DX12" s="393" t="str">
        <v>--0.2</v>
      </c>
      <c r="DY12" s="394">
        <f t="shared" si="3"/>
        <v>0</v>
      </c>
      <c r="DZ12" s="255" t="e">
        <f t="shared" si="0"/>
        <v>#VALUE!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8" x14ac:dyDescent="0.25">
      <c r="A13" s="151">
        <f>[5]Cinergy!D36</f>
        <v>37226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27.6</v>
      </c>
      <c r="H13" s="143">
        <f t="shared" si="8"/>
        <v>0</v>
      </c>
      <c r="I13" s="436">
        <f t="shared" si="9"/>
        <v>27.6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-0.10000000000000142</v>
      </c>
      <c r="O13" s="348"/>
      <c r="P13" s="351"/>
      <c r="R13" s="47">
        <f t="shared" si="13"/>
        <v>37226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37226</v>
      </c>
      <c r="BM13" s="349">
        <f>B13*TradeSum!H14</f>
        <v>0</v>
      </c>
      <c r="BO13" s="350">
        <f>VLOOKUP(A13,TradeSum!CB13:CE31,4)</f>
        <v>0.98679579651441607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37438</v>
      </c>
      <c r="DR13" s="411">
        <f t="shared" si="2"/>
        <v>0</v>
      </c>
      <c r="DS13" s="411">
        <f>VLOOKUP(DQ13,NymexData!$A$12:$B$29,2)-G20</f>
        <v>0</v>
      </c>
      <c r="DX13" s="393" t="str">
        <v>--1.2</v>
      </c>
      <c r="DY13" s="394">
        <f t="shared" si="3"/>
        <v>0</v>
      </c>
      <c r="DZ13" s="255" t="e">
        <f t="shared" si="0"/>
        <v>#VALUE!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8" x14ac:dyDescent="0.25">
      <c r="A14" s="153">
        <f>[5]Cinergy!D37</f>
        <v>37257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29.5</v>
      </c>
      <c r="H14" s="143">
        <f t="shared" si="8"/>
        <v>0</v>
      </c>
      <c r="I14" s="435">
        <f t="shared" si="9"/>
        <v>29.5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-8.33322434198287E-2</v>
      </c>
      <c r="O14" s="348"/>
      <c r="P14" s="351"/>
      <c r="R14" s="47">
        <f t="shared" si="13"/>
        <v>37257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37257</v>
      </c>
      <c r="BM14" s="349">
        <f>B14*TradeSum!H15</f>
        <v>0</v>
      </c>
      <c r="BO14" s="350">
        <f>VLOOKUP(A14,TradeSum!CB14:CE32,4)</f>
        <v>0.9840771870806414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37469</v>
      </c>
      <c r="DR14" s="411">
        <f t="shared" si="2"/>
        <v>0</v>
      </c>
      <c r="DS14" s="411">
        <f>VLOOKUP(DQ14,NymexData!$A$12:$B$29,2)-G21</f>
        <v>0</v>
      </c>
      <c r="DX14" s="393" t="str">
        <v>--1.2</v>
      </c>
      <c r="DY14" s="394">
        <f t="shared" si="3"/>
        <v>0</v>
      </c>
      <c r="DZ14" s="255" t="e">
        <f t="shared" si="0"/>
        <v>#VALUE!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8" x14ac:dyDescent="0.25">
      <c r="A15" s="151">
        <f>[5]Cinergy!D38</f>
        <v>37288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29.5</v>
      </c>
      <c r="H15" s="143">
        <f t="shared" si="8"/>
        <v>0</v>
      </c>
      <c r="I15" s="436">
        <f t="shared" si="9"/>
        <v>29.5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-0.43333453223818807</v>
      </c>
      <c r="O15" s="348"/>
      <c r="P15" s="351"/>
      <c r="R15" s="47">
        <f t="shared" si="13"/>
        <v>37288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37288</v>
      </c>
      <c r="BM15" s="349">
        <f>B15*TradeSum!H16</f>
        <v>0</v>
      </c>
      <c r="BO15" s="350">
        <f>VLOOKUP(A15,TradeSum!CB15:CE33,4)</f>
        <v>0.98146048862368218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37500</v>
      </c>
      <c r="DR15" s="411">
        <f t="shared" si="2"/>
        <v>0</v>
      </c>
      <c r="DS15" s="411">
        <f>VLOOKUP(DQ15,NymexData!$A$12:$B$29,2)-G22</f>
        <v>0</v>
      </c>
      <c r="DX15" s="393" t="str">
        <v xml:space="preserve">     </v>
      </c>
      <c r="DY15" s="394">
        <f t="shared" si="3"/>
        <v>0</v>
      </c>
      <c r="DZ15" s="255" t="e">
        <f t="shared" si="0"/>
        <v>#VALUE!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8" x14ac:dyDescent="0.25">
      <c r="A16" s="153">
        <f>[5]Cinergy!D39</f>
        <v>37316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28</v>
      </c>
      <c r="H16" s="143">
        <f t="shared" si="8"/>
        <v>0</v>
      </c>
      <c r="I16" s="435">
        <f t="shared" si="9"/>
        <v>28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-0.48023294848065134</v>
      </c>
      <c r="O16" s="348"/>
      <c r="P16" s="351"/>
      <c r="R16" s="47">
        <f t="shared" si="13"/>
        <v>37316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37316</v>
      </c>
      <c r="BM16" s="349">
        <f>B16*TradeSum!H17</f>
        <v>0</v>
      </c>
      <c r="BO16" s="350">
        <f>VLOOKUP(A16,TradeSum!CB16:CE34,4)</f>
        <v>0.97857430619923447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37530</v>
      </c>
      <c r="DR16" s="411">
        <f t="shared" si="2"/>
        <v>0</v>
      </c>
      <c r="DS16" s="411">
        <f>VLOOKUP(DQ16,NymexData!$A$12:$B$29,2)-G23</f>
        <v>0</v>
      </c>
      <c r="DX16" s="393" t="str">
        <v>--0.2</v>
      </c>
      <c r="DY16" s="394">
        <f t="shared" si="3"/>
        <v>0</v>
      </c>
      <c r="DZ16" s="255" t="e">
        <f t="shared" si="0"/>
        <v>#VALUE!</v>
      </c>
      <c r="EA16" s="255"/>
      <c r="EB16" s="255"/>
      <c r="EC16" s="255"/>
      <c r="ED16" s="255"/>
      <c r="EE16" s="255"/>
    </row>
    <row r="17" spans="1:135" ht="18" x14ac:dyDescent="0.25">
      <c r="A17" s="151">
        <f>[5]Cinergy!D40</f>
        <v>37347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28</v>
      </c>
      <c r="H17" s="143">
        <f t="shared" si="8"/>
        <v>0</v>
      </c>
      <c r="I17" s="436">
        <f t="shared" si="9"/>
        <v>28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-3.023218554119822E-2</v>
      </c>
      <c r="O17" s="348"/>
      <c r="P17" s="351"/>
      <c r="R17" s="47">
        <f t="shared" si="13"/>
        <v>37347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37347</v>
      </c>
      <c r="BM17" s="349">
        <f>B17*TradeSum!H18</f>
        <v>0</v>
      </c>
      <c r="BO17" s="350">
        <f>VLOOKUP(A17,TradeSum!CB17:CE35,4)</f>
        <v>0.97576331188144427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37561</v>
      </c>
      <c r="DR17" s="411">
        <f t="shared" si="2"/>
        <v>0</v>
      </c>
      <c r="DS17" s="411">
        <f>VLOOKUP(DQ17,NymexData!$A$12:$B$29,2)-G24</f>
        <v>0</v>
      </c>
      <c r="DX17" s="393" t="str">
        <v>--0.2</v>
      </c>
      <c r="DY17" s="394">
        <f t="shared" si="3"/>
        <v>0</v>
      </c>
      <c r="DZ17" s="255" t="e">
        <f t="shared" si="0"/>
        <v>#VALUE!</v>
      </c>
      <c r="EA17" s="255"/>
      <c r="EB17" s="255"/>
      <c r="EC17" s="255"/>
      <c r="ED17" s="255"/>
      <c r="EE17" s="255"/>
    </row>
    <row r="18" spans="1:135" ht="18" x14ac:dyDescent="0.25">
      <c r="A18" s="153">
        <f>[5]Cinergy!D41</f>
        <v>37377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31.25</v>
      </c>
      <c r="H18" s="143">
        <f t="shared" si="8"/>
        <v>0</v>
      </c>
      <c r="I18" s="435">
        <f t="shared" si="9"/>
        <v>31.25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</v>
      </c>
      <c r="O18" s="348"/>
      <c r="P18" s="351"/>
      <c r="R18" s="47">
        <f t="shared" si="13"/>
        <v>37377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37377</v>
      </c>
      <c r="BM18" s="349">
        <f>B18*TradeSum!H19</f>
        <v>0</v>
      </c>
      <c r="BO18" s="350">
        <f>VLOOKUP(A18,TradeSum!CB18:CE36,4)</f>
        <v>0.97281301051345392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37591</v>
      </c>
      <c r="DR18" s="411">
        <f t="shared" si="2"/>
        <v>0.25</v>
      </c>
      <c r="DS18" s="411">
        <f>VLOOKUP(DQ18,NymexData!$A$12:$B$29,2)-G25</f>
        <v>0</v>
      </c>
      <c r="DX18" s="393" t="str">
        <f t="array" ref="DX18:DX22">[2]!'1#CN: 2 18 5 5'</f>
        <v xml:space="preserve">0.25 </v>
      </c>
      <c r="DY18" s="394">
        <f t="shared" si="3"/>
        <v>0.25</v>
      </c>
      <c r="DZ18" s="255">
        <f t="shared" si="0"/>
        <v>0.25</v>
      </c>
      <c r="EA18" s="255"/>
      <c r="EB18" s="255"/>
      <c r="EC18" s="255"/>
      <c r="ED18" s="255"/>
      <c r="EE18" s="255"/>
    </row>
    <row r="19" spans="1:135" ht="18" x14ac:dyDescent="0.25">
      <c r="A19" s="151">
        <f>[5]Cinergy!D42</f>
        <v>37408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41.25</v>
      </c>
      <c r="H19" s="143">
        <f t="shared" si="8"/>
        <v>0</v>
      </c>
      <c r="I19" s="436">
        <f t="shared" si="9"/>
        <v>41.25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-0.25</v>
      </c>
      <c r="O19" s="348"/>
      <c r="P19" s="351"/>
      <c r="R19" s="47">
        <f t="shared" si="13"/>
        <v>37408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37408</v>
      </c>
      <c r="BM19" s="349">
        <f>B19*TradeSum!H20</f>
        <v>0</v>
      </c>
      <c r="BO19" s="350">
        <f>VLOOKUP(A19,TradeSum!CB19:CE37,4)</f>
        <v>0.9699509717884377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37622</v>
      </c>
      <c r="DR19" s="411">
        <f t="shared" si="2"/>
        <v>0.25</v>
      </c>
      <c r="DS19" s="411">
        <f>VLOOKUP(DQ19,NymexData!$A$12:$B$29,2)-G26</f>
        <v>0</v>
      </c>
      <c r="DX19" s="393" t="str">
        <v xml:space="preserve">0.25 </v>
      </c>
      <c r="DY19" s="394">
        <f t="shared" si="3"/>
        <v>0.25</v>
      </c>
      <c r="DZ19" s="255">
        <f t="shared" si="0"/>
        <v>0.25</v>
      </c>
      <c r="EA19" s="255"/>
      <c r="EB19" s="255"/>
      <c r="EC19" s="255"/>
      <c r="ED19" s="255"/>
      <c r="EE19" s="255"/>
    </row>
    <row r="20" spans="1:135" ht="18" x14ac:dyDescent="0.25">
      <c r="A20" s="153">
        <f>[5]Cinergy!D43</f>
        <v>37438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54.75</v>
      </c>
      <c r="H20" s="143">
        <f t="shared" si="8"/>
        <v>0</v>
      </c>
      <c r="I20" s="435">
        <f t="shared" si="9"/>
        <v>54.75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0.125</v>
      </c>
      <c r="O20" s="348"/>
      <c r="P20" s="351"/>
      <c r="R20" s="47">
        <f t="shared" si="13"/>
        <v>37438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37438</v>
      </c>
      <c r="BM20" s="349">
        <f>B20*TradeSum!H21</f>
        <v>0</v>
      </c>
      <c r="BO20" s="350">
        <f>VLOOKUP(A20,TradeSum!CB20:CE38,4)</f>
        <v>0.96692976638675288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37653</v>
      </c>
      <c r="DR20" s="411">
        <f t="shared" si="2"/>
        <v>0.25</v>
      </c>
      <c r="DS20" s="411">
        <f>VLOOKUP(DQ20,NymexData!$A$12:$B$29,2)-G27</f>
        <v>0</v>
      </c>
      <c r="DX20" s="393" t="str">
        <v xml:space="preserve">0.25 </v>
      </c>
      <c r="DY20" s="394">
        <f t="shared" si="3"/>
        <v>0.25</v>
      </c>
      <c r="DZ20" s="255">
        <f>VALUE(DX20)</f>
        <v>0.25</v>
      </c>
      <c r="EA20" s="255"/>
      <c r="EB20" s="255"/>
      <c r="EC20" s="255"/>
      <c r="ED20" s="255"/>
      <c r="EE20" s="255"/>
    </row>
    <row r="21" spans="1:135" ht="18" x14ac:dyDescent="0.25">
      <c r="A21" s="151">
        <f>[5]Cinergy!D44</f>
        <v>37469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54.75</v>
      </c>
      <c r="H21" s="143">
        <f t="shared" si="8"/>
        <v>0</v>
      </c>
      <c r="I21" s="436">
        <f t="shared" si="9"/>
        <v>54.75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0.125</v>
      </c>
      <c r="O21" s="348"/>
      <c r="P21" s="351"/>
      <c r="R21" s="47">
        <f t="shared" si="13"/>
        <v>37469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37469</v>
      </c>
      <c r="BM21" s="349">
        <f>B21*TradeSum!H22</f>
        <v>0</v>
      </c>
      <c r="BO21" s="350">
        <f>VLOOKUP(A21,TradeSum!CB21:CE39,4)</f>
        <v>0.96377589818915066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37681</v>
      </c>
      <c r="DR21" s="411">
        <f t="shared" si="2"/>
        <v>0.25</v>
      </c>
      <c r="DS21" s="411">
        <f>VLOOKUP(DQ21,NymexData!$A$12:$B$29,2)-G28</f>
        <v>0</v>
      </c>
      <c r="DX21" s="395" t="str">
        <v xml:space="preserve">0.25 </v>
      </c>
      <c r="DY21" s="394">
        <f t="shared" si="3"/>
        <v>0.25</v>
      </c>
      <c r="DZ21" s="396">
        <f>VALUE(DX21)</f>
        <v>0.25</v>
      </c>
      <c r="EA21" s="255"/>
      <c r="EB21" s="255"/>
      <c r="EC21" s="255"/>
      <c r="ED21" s="255"/>
      <c r="EE21" s="255"/>
    </row>
    <row r="22" spans="1:135" ht="18" x14ac:dyDescent="0.25">
      <c r="A22" s="153">
        <f>[5]Cinergy!D45</f>
        <v>37500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</v>
      </c>
      <c r="H22" s="143">
        <f t="shared" si="8"/>
        <v>0</v>
      </c>
      <c r="I22" s="435">
        <f t="shared" si="9"/>
        <v>28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0.25</v>
      </c>
      <c r="O22" s="348"/>
      <c r="P22" s="351"/>
      <c r="R22" s="47">
        <f t="shared" si="13"/>
        <v>37500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37500</v>
      </c>
      <c r="BM22" s="349">
        <f>B22*TradeSum!H23</f>
        <v>0</v>
      </c>
      <c r="BO22" s="350">
        <f>VLOOKUP(A22,TradeSum!CB22:CE40,4)</f>
        <v>0.96068392174608619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37712</v>
      </c>
      <c r="DR22" s="411">
        <f t="shared" si="2"/>
        <v>0</v>
      </c>
      <c r="DS22" s="411">
        <f>VLOOKUP(DQ22,NymexData!$A$12:$B$29,2)-G29</f>
        <v>28.75</v>
      </c>
      <c r="DX22" t="str">
        <v xml:space="preserve">0.50 </v>
      </c>
      <c r="EA22" s="255"/>
      <c r="EB22" s="255"/>
      <c r="EC22" s="255"/>
      <c r="ED22" s="255"/>
      <c r="EE22" s="255"/>
    </row>
    <row r="23" spans="1:135" ht="18" x14ac:dyDescent="0.25">
      <c r="A23" s="151">
        <f>[5]Cinergy!D46</f>
        <v>37530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29</v>
      </c>
      <c r="H23" s="143">
        <f t="shared" si="8"/>
        <v>0</v>
      </c>
      <c r="I23" s="436">
        <f t="shared" si="9"/>
        <v>29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-0.19375070929527283</v>
      </c>
      <c r="O23" s="348"/>
      <c r="P23" s="351"/>
      <c r="R23" s="47">
        <f t="shared" si="13"/>
        <v>37530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37530</v>
      </c>
      <c r="BM23" s="349">
        <f>B23*TradeSum!H24</f>
        <v>0</v>
      </c>
      <c r="BO23" s="350">
        <f>VLOOKUP(A23,TradeSum!CB23:CE41,4)</f>
        <v>0.95741256964685173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8" x14ac:dyDescent="0.25">
      <c r="A24" s="153">
        <f>[5]Cinergy!D47</f>
        <v>37561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29</v>
      </c>
      <c r="H24" s="143">
        <f t="shared" si="8"/>
        <v>0</v>
      </c>
      <c r="I24" s="435">
        <f t="shared" si="9"/>
        <v>29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6.2519609928131104E-3</v>
      </c>
      <c r="O24" s="341"/>
      <c r="R24" s="47">
        <f t="shared" si="13"/>
        <v>37561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37561</v>
      </c>
      <c r="BM24" s="349">
        <f>B24*TradeSum!H25</f>
        <v>0</v>
      </c>
      <c r="BO24" s="350">
        <f>VLOOKUP(A24,TradeSum!CB24:CE42,4)</f>
        <v>0.95408917815003869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8" x14ac:dyDescent="0.25">
      <c r="A25" s="151">
        <f>[5]Cinergy!D48</f>
        <v>37591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29</v>
      </c>
      <c r="H25" s="143">
        <f t="shared" si="8"/>
        <v>0</v>
      </c>
      <c r="I25" s="436">
        <f t="shared" si="9"/>
        <v>29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0.20624890923500061</v>
      </c>
      <c r="O25" s="341"/>
      <c r="R25" s="47">
        <f t="shared" si="13"/>
        <v>37591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37591</v>
      </c>
      <c r="BM25" s="349">
        <f>B25*TradeSum!H26</f>
        <v>0</v>
      </c>
      <c r="BO25" s="350">
        <f>VLOOKUP(A25,TradeSum!CB25:CE43,4)</f>
        <v>0.95063610347622851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8" x14ac:dyDescent="0.25">
      <c r="A26" s="153">
        <f>[5]Cinergy!D49</f>
        <v>37622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</v>
      </c>
      <c r="H26" s="143">
        <f t="shared" si="8"/>
        <v>0</v>
      </c>
      <c r="I26" s="435">
        <f t="shared" si="9"/>
        <v>30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0.28571719215029745</v>
      </c>
      <c r="O26" s="341"/>
      <c r="R26" s="47">
        <f t="shared" si="13"/>
        <v>37622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37622</v>
      </c>
      <c r="BM26" s="349">
        <f>B26*TradeSum!H27</f>
        <v>0</v>
      </c>
      <c r="BO26" s="350">
        <f>VLOOKUP(A26,TradeSum!CB26:CE44,4)</f>
        <v>0.94705850164383509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8" x14ac:dyDescent="0.25">
      <c r="A27" s="151">
        <f>[5]Cinergy!D50</f>
        <v>37653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30</v>
      </c>
      <c r="H27" s="143">
        <f t="shared" si="8"/>
        <v>0</v>
      </c>
      <c r="I27" s="436">
        <f t="shared" si="9"/>
        <v>30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-0.31428891136532755</v>
      </c>
      <c r="O27" s="341"/>
      <c r="R27" s="47">
        <f t="shared" si="13"/>
        <v>37653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37653</v>
      </c>
      <c r="BM27" s="349">
        <f>B27*TradeSum!H28</f>
        <v>0</v>
      </c>
      <c r="BO27" s="350">
        <f>VLOOKUP(A27,TradeSum!CB27:CE45,4)</f>
        <v>0.94364350339681324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.75" thickBot="1" x14ac:dyDescent="0.3">
      <c r="A28" s="153">
        <f>[5]Cinergy!D51</f>
        <v>37681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28.75</v>
      </c>
      <c r="H28" s="143">
        <f t="shared" si="8"/>
        <v>0</v>
      </c>
      <c r="I28" s="435">
        <f>G28+H28</f>
        <v>28.75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-0.35232206832530721</v>
      </c>
      <c r="O28" s="341"/>
      <c r="R28" s="70">
        <f t="shared" si="13"/>
        <v>37681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37681</v>
      </c>
      <c r="BM28" s="355">
        <f>B28*TradeSum!H29</f>
        <v>0</v>
      </c>
      <c r="BO28" s="356">
        <f>VLOOKUP(A28,TradeSum!CB28:CE46,4)</f>
        <v>0.93994656739890692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.75" thickBot="1" x14ac:dyDescent="0.3">
      <c r="A29" s="403">
        <f>[5]Cinergy!D52</f>
        <v>37712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28.75</v>
      </c>
      <c r="I29" s="437">
        <f>G29+H29</f>
        <v>28.75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-0.15232893478038534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">
      <c r="DF31" s="255"/>
      <c r="DG31" s="255"/>
      <c r="DH31" s="255"/>
      <c r="DI31" s="255"/>
      <c r="DJ31" s="255"/>
      <c r="DK31" s="255"/>
      <c r="DL31" s="255"/>
      <c r="DM31" s="255"/>
    </row>
    <row r="32" spans="1:135" ht="13.5" thickBot="1" x14ac:dyDescent="0.25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5" thickBot="1" x14ac:dyDescent="0.25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">
      <c r="D36" s="311"/>
      <c r="E36" s="304"/>
      <c r="R36" s="47">
        <f t="shared" ref="R36:R52" si="18">R12</f>
        <v>37196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">
      <c r="D37" s="311"/>
      <c r="E37" s="304"/>
      <c r="R37" s="47">
        <f t="shared" si="18"/>
        <v>37226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">
      <c r="D38" s="311"/>
      <c r="E38" s="304"/>
      <c r="R38" s="47">
        <f t="shared" si="18"/>
        <v>37257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">
      <c r="R39" s="47">
        <f t="shared" si="18"/>
        <v>37288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">
      <c r="D40" s="311"/>
      <c r="E40" s="304"/>
      <c r="R40" s="47">
        <f t="shared" si="18"/>
        <v>37316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">
      <c r="D41" s="311"/>
      <c r="E41" s="304"/>
      <c r="R41" s="47">
        <f t="shared" si="18"/>
        <v>37347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">
      <c r="R42" s="47">
        <f t="shared" si="18"/>
        <v>37377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">
      <c r="D43" s="311"/>
      <c r="E43" s="304"/>
      <c r="I43" s="311"/>
      <c r="J43" s="304"/>
      <c r="R43" s="47">
        <f t="shared" si="18"/>
        <v>37408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">
      <c r="D44" s="311"/>
      <c r="E44" s="304"/>
      <c r="I44" s="311"/>
      <c r="J44" s="304"/>
      <c r="R44" s="47">
        <f t="shared" si="18"/>
        <v>37438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">
      <c r="D45" s="311"/>
      <c r="E45" s="304"/>
      <c r="I45" s="311"/>
      <c r="J45" s="304"/>
      <c r="R45" s="47">
        <f t="shared" si="18"/>
        <v>37469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">
      <c r="I46" s="311"/>
      <c r="J46" s="304"/>
      <c r="R46" s="47">
        <f t="shared" si="18"/>
        <v>37500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">
      <c r="I47" s="311"/>
      <c r="J47" s="304"/>
      <c r="R47" s="47">
        <f t="shared" si="18"/>
        <v>37530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">
      <c r="I48" s="311"/>
      <c r="J48" s="304"/>
      <c r="R48" s="47">
        <f t="shared" si="18"/>
        <v>37561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">
      <c r="I49" s="311"/>
      <c r="J49" s="304"/>
      <c r="R49" s="47">
        <f t="shared" si="18"/>
        <v>37591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">
      <c r="I50" s="311"/>
      <c r="J50" s="304"/>
      <c r="R50" s="47">
        <f t="shared" si="18"/>
        <v>37622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">
      <c r="R51" s="47">
        <f t="shared" si="18"/>
        <v>37653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">
      <c r="R52" s="47">
        <f t="shared" si="18"/>
        <v>37681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5" thickBot="1" x14ac:dyDescent="0.25"/>
    <row r="63" spans="9:60" x14ac:dyDescent="0.2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5" thickBot="1" x14ac:dyDescent="0.25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">
      <c r="R65" s="47">
        <f t="shared" ref="R65:R82" si="26">R41</f>
        <v>37347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">
      <c r="R66" s="47">
        <f t="shared" si="26"/>
        <v>37377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">
      <c r="R67" s="47">
        <f t="shared" si="26"/>
        <v>37408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">
      <c r="R68" s="47">
        <f t="shared" si="26"/>
        <v>37438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">
      <c r="R69" s="47">
        <f t="shared" si="26"/>
        <v>37469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">
      <c r="R70" s="47">
        <f t="shared" si="26"/>
        <v>37500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">
      <c r="R71" s="47">
        <f t="shared" si="26"/>
        <v>37530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">
      <c r="R72" s="47">
        <f t="shared" si="26"/>
        <v>37561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">
      <c r="R73" s="47">
        <f t="shared" si="26"/>
        <v>37591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">
      <c r="R74" s="47">
        <f t="shared" si="26"/>
        <v>37622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">
      <c r="R75" s="47">
        <f t="shared" si="26"/>
        <v>37653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">
      <c r="R76" s="47">
        <f t="shared" si="26"/>
        <v>37681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28575</xdr:colOff>
                    <xdr:row>3</xdr:row>
                    <xdr:rowOff>9525</xdr:rowOff>
                  </from>
                  <to>
                    <xdr:col>10</xdr:col>
                    <xdr:colOff>47625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9525</xdr:rowOff>
                  </from>
                  <to>
                    <xdr:col>10</xdr:col>
                    <xdr:colOff>47625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2.75" zeroHeight="1" x14ac:dyDescent="0.2"/>
  <cols>
    <col min="1" max="1" width="19.140625" style="25" customWidth="1"/>
    <col min="2" max="2" width="14.28515625" style="25" customWidth="1"/>
    <col min="3" max="3" width="14.85546875" style="25" customWidth="1"/>
    <col min="4" max="4" width="12.7109375" style="25" customWidth="1"/>
    <col min="5" max="5" width="11" style="25" customWidth="1"/>
    <col min="6" max="6" width="14.42578125" style="25" customWidth="1"/>
    <col min="7" max="7" width="18.42578125" style="25" customWidth="1"/>
    <col min="8" max="8" width="12.140625" style="25" customWidth="1"/>
    <col min="9" max="11" width="9.140625" style="25" customWidth="1"/>
    <col min="12" max="12" width="12.28515625" style="25" customWidth="1"/>
    <col min="13" max="13" width="9.140625" style="25" customWidth="1"/>
    <col min="14" max="14" width="10" style="25" customWidth="1"/>
    <col min="15" max="15" width="9.140625" style="25" customWidth="1"/>
    <col min="16" max="16" width="10.28515625" style="25" customWidth="1"/>
    <col min="17" max="17" width="9.140625" style="25" customWidth="1"/>
    <col min="18" max="18" width="10.85546875" style="25" customWidth="1"/>
    <col min="19" max="53" width="9.140625" style="25" customWidth="1"/>
    <col min="54" max="56" width="0" style="25" hidden="1" customWidth="1"/>
    <col min="57" max="58" width="15.5703125" style="25" hidden="1" customWidth="1"/>
    <col min="59" max="59" width="7" style="25" hidden="1" customWidth="1"/>
    <col min="60" max="60" width="24.570312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0.25" x14ac:dyDescent="0.3">
      <c r="A1" s="26" t="s">
        <v>116</v>
      </c>
    </row>
    <row r="2" spans="1:64" ht="21" thickBot="1" x14ac:dyDescent="0.35">
      <c r="A2" s="26"/>
    </row>
    <row r="3" spans="1:64" ht="18.75" thickBot="1" x14ac:dyDescent="0.3">
      <c r="A3" s="71" t="s">
        <v>30</v>
      </c>
      <c r="B3" s="72">
        <f>TradeSum!$B$2</f>
        <v>37141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"/>
    <row r="5" spans="1:64" ht="13.5" thickBot="1" x14ac:dyDescent="0.25"/>
    <row r="6" spans="1:64" x14ac:dyDescent="0.2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5" thickBot="1" x14ac:dyDescent="0.25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75" x14ac:dyDescent="0.25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37195</v>
      </c>
      <c r="BE8" s="97">
        <f>TradeSum!CD12*TradeSum!CE12</f>
        <v>365.2600914792061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75" x14ac:dyDescent="0.25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37196</v>
      </c>
      <c r="BE9" s="97">
        <f>TradeSum!CD13*TradeSum!CE13</f>
        <v>332.5374849916883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75" x14ac:dyDescent="0.25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37226</v>
      </c>
      <c r="BE10" s="97">
        <f>TradeSum!CD14*TradeSum!CE14</f>
        <v>315.77465488461314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75" x14ac:dyDescent="0.25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37257</v>
      </c>
      <c r="BE11" s="97">
        <f>TradeSum!CD15*TradeSum!CE15</f>
        <v>346.39516985238578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75" x14ac:dyDescent="0.25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37288</v>
      </c>
      <c r="BE12" s="97">
        <f>TradeSum!CD16*TradeSum!CE16</f>
        <v>314.0673563595783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75" x14ac:dyDescent="0.25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37316</v>
      </c>
      <c r="BE13" s="97">
        <f>TradeSum!CD17*TradeSum!CE17</f>
        <v>328.80096688294276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75" x14ac:dyDescent="0.25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37347</v>
      </c>
      <c r="BE14" s="97">
        <f>TradeSum!CD18*TradeSum!CE18</f>
        <v>343.46868578226838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75" x14ac:dyDescent="0.25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37377</v>
      </c>
      <c r="BE15" s="97">
        <f>TradeSum!CD19*TradeSum!CE19</f>
        <v>342.43017970073578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75" x14ac:dyDescent="0.25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37408</v>
      </c>
      <c r="BE16" s="97">
        <f>TradeSum!CD20*TradeSum!CE20</f>
        <v>310.38431097230006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75" x14ac:dyDescent="0.25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37438</v>
      </c>
      <c r="BE17" s="97">
        <f>TradeSum!CD21*TradeSum!CE21</f>
        <v>340.35927776813702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75" x14ac:dyDescent="0.25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37469</v>
      </c>
      <c r="BE18" s="97">
        <f>TradeSum!CD22*TradeSum!CE22</f>
        <v>339.249116162581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75" x14ac:dyDescent="0.25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37500</v>
      </c>
      <c r="BE19" s="97">
        <f>TradeSum!CD23*TradeSum!CE23</f>
        <v>307.4188549587476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75" x14ac:dyDescent="0.25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37530</v>
      </c>
      <c r="BE20" s="97">
        <f>TradeSum!CD24*TradeSum!CE24</f>
        <v>352.32782563004145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75" x14ac:dyDescent="0.25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37561</v>
      </c>
      <c r="BE21" s="97">
        <f>TradeSum!CD25*TradeSum!CE25</f>
        <v>305.30853700801237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75" x14ac:dyDescent="0.25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37591</v>
      </c>
      <c r="BE22" s="97">
        <f>TradeSum!CD26*TradeSum!CE26</f>
        <v>319.41373076801278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75" x14ac:dyDescent="0.25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37622</v>
      </c>
      <c r="BE23" s="97">
        <f>TradeSum!CD27*TradeSum!CE27</f>
        <v>333.36459257862998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75" x14ac:dyDescent="0.25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37653</v>
      </c>
      <c r="BE24" s="97">
        <f>TradeSum!CD28*TradeSum!CE28</f>
        <v>301.96592108698025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75" x14ac:dyDescent="0.25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37681</v>
      </c>
      <c r="BE25" s="97">
        <f>TradeSum!CD29*TradeSum!CE29</f>
        <v>315.82204664603273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75" x14ac:dyDescent="0.25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37712</v>
      </c>
      <c r="BE26" s="97">
        <f>TradeSum!CD30*TradeSum!CE30</f>
        <v>329.55404506191337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75" x14ac:dyDescent="0.25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37742</v>
      </c>
      <c r="BE27" s="97">
        <f>TradeSum!CD31*TradeSum!CE31</f>
        <v>313.29164160143222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75" x14ac:dyDescent="0.25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37773</v>
      </c>
      <c r="BE28" s="97">
        <f>TradeSum!CD32*TradeSum!CE32</f>
        <v>312.01582586407284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75" x14ac:dyDescent="0.25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37803</v>
      </c>
      <c r="BE29" s="97">
        <f>TradeSum!CD33*TradeSum!CE33</f>
        <v>325.49203957863079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75" x14ac:dyDescent="0.25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37834</v>
      </c>
      <c r="BE30" s="97">
        <f>TradeSum!CD34*TradeSum!CE34</f>
        <v>309.35143160218337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75" x14ac:dyDescent="0.25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37865</v>
      </c>
      <c r="BE31" s="97">
        <f>TradeSum!CD35*TradeSum!CE35</f>
        <v>308.02238483203246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75" x14ac:dyDescent="0.25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37895</v>
      </c>
      <c r="BE32" s="97">
        <f>TradeSum!CD36*TradeSum!CE36</f>
        <v>335.86294950249436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75" x14ac:dyDescent="0.25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37926</v>
      </c>
      <c r="BE33" s="97">
        <f>TradeSum!CD37*TradeSum!CE37</f>
        <v>276.23213637379843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75" x14ac:dyDescent="0.25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37956</v>
      </c>
      <c r="BE34" s="97">
        <f>TradeSum!CD38*TradeSum!CE38</f>
        <v>318.39239310728112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75" x14ac:dyDescent="0.25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37987</v>
      </c>
      <c r="BE35" s="97">
        <f>TradeSum!CD39*TradeSum!CE39</f>
        <v>302.5098855959618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75" x14ac:dyDescent="0.25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38018</v>
      </c>
      <c r="BE36" s="97">
        <f>TradeSum!CD40*TradeSum!CE40</f>
        <v>286.81994275902389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75" x14ac:dyDescent="0.25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38047</v>
      </c>
      <c r="BE37" s="97">
        <f>TradeSum!CD41*TradeSum!CE41</f>
        <v>328.29521172633827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75" x14ac:dyDescent="0.25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38078</v>
      </c>
      <c r="BE38" s="97">
        <f>TradeSum!CD42*TradeSum!CE42</f>
        <v>312.56609559547502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75" x14ac:dyDescent="0.25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38108</v>
      </c>
      <c r="BE39" s="97">
        <f>TradeSum!CD43*TradeSum!CE43</f>
        <v>282.81502836397482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75" x14ac:dyDescent="0.25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38139</v>
      </c>
      <c r="BE40" s="97">
        <f>TradeSum!CD44*TradeSum!CE44</f>
        <v>309.64288406781037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75" x14ac:dyDescent="0.25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38169</v>
      </c>
      <c r="BE41" s="97">
        <f>TradeSum!CD45*TradeSum!CE45</f>
        <v>308.16235804176392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75" x14ac:dyDescent="0.25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38200</v>
      </c>
      <c r="BE42" s="97">
        <f>TradeSum!CD46*TradeSum!CE46</f>
        <v>306.67431031070765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75" x14ac:dyDescent="0.25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38231</v>
      </c>
      <c r="BE43" s="97">
        <f>TradeSum!CD47*TradeSum!CE47</f>
        <v>291.34093072461195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75" x14ac:dyDescent="0.25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75" x14ac:dyDescent="0.25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5" thickBot="1" x14ac:dyDescent="0.3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">
      <c r="BF47" s="67" t="s">
        <v>71</v>
      </c>
      <c r="BG47" s="25">
        <f>SUM(BG8:BG46)</f>
        <v>0</v>
      </c>
    </row>
    <row r="60" spans="1:2" hidden="1" x14ac:dyDescent="0.2">
      <c r="A60" s="92" t="s">
        <v>128</v>
      </c>
    </row>
    <row r="61" spans="1:2" hidden="1" x14ac:dyDescent="0.2">
      <c r="A61" s="25" t="s">
        <v>129</v>
      </c>
      <c r="B61" s="25" t="s">
        <v>130</v>
      </c>
    </row>
    <row r="62" spans="1:2" hidden="1" x14ac:dyDescent="0.2">
      <c r="A62" s="25" t="s">
        <v>131</v>
      </c>
      <c r="B62" s="25" t="s">
        <v>132</v>
      </c>
    </row>
    <row r="63" spans="1:2" hidden="1" x14ac:dyDescent="0.2">
      <c r="A63" s="25" t="s">
        <v>133</v>
      </c>
      <c r="B63"/>
    </row>
    <row r="64" spans="1:2" hidden="1" x14ac:dyDescent="0.2">
      <c r="A64" s="25" t="s">
        <v>134</v>
      </c>
    </row>
    <row r="65" spans="1:2" hidden="1" x14ac:dyDescent="0.2">
      <c r="A65" s="25" t="s">
        <v>135</v>
      </c>
    </row>
    <row r="66" spans="1:2" hidden="1" x14ac:dyDescent="0.2">
      <c r="A66" s="25" t="s">
        <v>136</v>
      </c>
    </row>
    <row r="67" spans="1:2" hidden="1" x14ac:dyDescent="0.2">
      <c r="A67" s="25" t="s">
        <v>137</v>
      </c>
    </row>
    <row r="68" spans="1:2" hidden="1" x14ac:dyDescent="0.2">
      <c r="A68" s="25" t="s">
        <v>138</v>
      </c>
    </row>
    <row r="69" spans="1:2" hidden="1" x14ac:dyDescent="0.2">
      <c r="A69" s="25" t="s">
        <v>139</v>
      </c>
    </row>
    <row r="70" spans="1:2" hidden="1" x14ac:dyDescent="0.2">
      <c r="A70" s="25" t="s">
        <v>140</v>
      </c>
    </row>
    <row r="71" spans="1:2" hidden="1" x14ac:dyDescent="0.2">
      <c r="A71"/>
    </row>
    <row r="72" spans="1:2" hidden="1" x14ac:dyDescent="0.2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2.75" x14ac:dyDescent="0.2"/>
  <cols>
    <col min="1" max="1" width="16" style="311" customWidth="1"/>
    <col min="2" max="2" width="14.42578125" customWidth="1"/>
    <col min="3" max="3" width="12.42578125" customWidth="1"/>
    <col min="7" max="7" width="18.28515625" customWidth="1"/>
    <col min="12" max="12" width="18.28515625" customWidth="1"/>
    <col min="16" max="16" width="12" style="304" customWidth="1"/>
    <col min="19" max="19" width="17" customWidth="1"/>
    <col min="20" max="20" width="15.85546875" bestFit="1" customWidth="1"/>
    <col min="21" max="21" width="12.42578125" bestFit="1" customWidth="1"/>
    <col min="23" max="23" width="21.28515625" customWidth="1"/>
    <col min="24" max="24" width="16.85546875" bestFit="1" customWidth="1"/>
    <col min="25" max="25" width="12.42578125" bestFit="1" customWidth="1"/>
    <col min="27" max="27" width="19.28515625" customWidth="1"/>
    <col min="28" max="28" width="16.85546875" bestFit="1" customWidth="1"/>
    <col min="29" max="29" width="12.7109375" bestFit="1" customWidth="1"/>
  </cols>
  <sheetData>
    <row r="1" spans="1:40" ht="15.75" x14ac:dyDescent="0.25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">
      <c r="S2" s="311"/>
    </row>
    <row r="3" spans="1:40" x14ac:dyDescent="0.2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x14ac:dyDescent="0.2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75" x14ac:dyDescent="0.25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75" x14ac:dyDescent="0.25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75" x14ac:dyDescent="0.25">
      <c r="A7" s="305" t="s">
        <v>160</v>
      </c>
      <c r="B7" s="312">
        <f>Interest!X5</f>
        <v>37140</v>
      </c>
      <c r="C7" s="312">
        <f>B7</f>
        <v>37140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37140</v>
      </c>
      <c r="U7" s="312">
        <f>C7</f>
        <v>37140</v>
      </c>
      <c r="AA7" s="305" t="s">
        <v>160</v>
      </c>
      <c r="AB7" s="312">
        <f>TradeDate</f>
        <v>37141</v>
      </c>
      <c r="AC7" s="312">
        <f>AB7</f>
        <v>37141</v>
      </c>
    </row>
    <row r="8" spans="1:40" ht="15.75" x14ac:dyDescent="0.25">
      <c r="A8" s="305" t="s">
        <v>161</v>
      </c>
      <c r="B8" s="14">
        <f>Interest!X6</f>
        <v>37165</v>
      </c>
      <c r="C8" s="14">
        <f>B8</f>
        <v>37165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37165</v>
      </c>
      <c r="U8" s="14">
        <f>C8</f>
        <v>37165</v>
      </c>
      <c r="AA8" s="305" t="s">
        <v>161</v>
      </c>
      <c r="AB8" s="14">
        <f>T8</f>
        <v>37165</v>
      </c>
      <c r="AC8" s="14">
        <f>AB8</f>
        <v>37165</v>
      </c>
    </row>
    <row r="9" spans="1:40" ht="15.75" x14ac:dyDescent="0.25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75" x14ac:dyDescent="0.25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75" x14ac:dyDescent="0.25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75" x14ac:dyDescent="0.25">
      <c r="A12" s="268">
        <v>37165</v>
      </c>
      <c r="B12">
        <v>26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37165</v>
      </c>
      <c r="T12">
        <v>2.44</v>
      </c>
      <c r="U12">
        <v>0.75</v>
      </c>
      <c r="X12">
        <f>AB12-T12</f>
        <v>-2.44</v>
      </c>
      <c r="Y12">
        <f>AC12-U12</f>
        <v>-0.75</v>
      </c>
      <c r="AH12" t="str">
        <f t="array" ref="AH12:AH25">[2]!'0#NG: 2 0 4 14'</f>
        <v>OCT1</v>
      </c>
      <c r="AI12" t="str">
        <f t="array" ref="AI12:AI25">[2]!'0#NG: 2 5 7 14'</f>
        <v xml:space="preserve"> _x001B_)1Þ2.445</v>
      </c>
      <c r="AJ12" t="str">
        <f t="array" ref="AJ12:AJ25">[2]!'0#NG: 2 16 6 14'</f>
        <v>+0.005</v>
      </c>
      <c r="AK12" s="542"/>
      <c r="AL12" t="str">
        <f t="shared" ref="AL12:AL47" si="2">IF(LEFT(AJ12,2)="--",RIGHT(AJ12,5),AJ12)</f>
        <v>+0.005</v>
      </c>
      <c r="AM12">
        <f>VALUE(AL12)</f>
        <v>5.0000000000000001E-3</v>
      </c>
      <c r="AN12">
        <f>IF(ISERROR(AM12),0,AM12)</f>
        <v>5.0000000000000001E-3</v>
      </c>
    </row>
    <row r="13" spans="1:40" ht="15.75" x14ac:dyDescent="0.25">
      <c r="A13" s="268">
        <v>37196</v>
      </c>
      <c r="B13">
        <v>26.1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37196</v>
      </c>
      <c r="T13">
        <v>2.74</v>
      </c>
      <c r="U13">
        <v>0.65500000000000003</v>
      </c>
      <c r="X13">
        <f t="shared" ref="X13:X76" si="3">AB13-T13</f>
        <v>-2.74</v>
      </c>
      <c r="Y13">
        <f t="shared" ref="Y13:Y76" si="4">AC13-U13</f>
        <v>-0.65500000000000003</v>
      </c>
      <c r="AH13" t="str">
        <v>NOV1</v>
      </c>
      <c r="AI13" t="str">
        <v xml:space="preserve"> _x001B_)1Þ2.735</v>
      </c>
      <c r="AJ13" t="str">
        <v>--0.00</v>
      </c>
      <c r="AL13" t="str">
        <f t="shared" si="2"/>
        <v>-0.00</v>
      </c>
      <c r="AM13">
        <f t="shared" ref="AM13:AM47" si="5">VALUE(AL13)</f>
        <v>0</v>
      </c>
      <c r="AN13">
        <f t="shared" ref="AN13:AN47" si="6">IF(ISERROR(AM13),0,AM13)</f>
        <v>0</v>
      </c>
    </row>
    <row r="14" spans="1:40" ht="15.75" x14ac:dyDescent="0.25">
      <c r="A14" s="268">
        <v>37226</v>
      </c>
      <c r="B14">
        <v>27.6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37226</v>
      </c>
      <c r="T14">
        <v>3.06</v>
      </c>
      <c r="U14">
        <v>0.59750000000000003</v>
      </c>
      <c r="X14">
        <f t="shared" si="3"/>
        <v>-3.06</v>
      </c>
      <c r="Y14">
        <f t="shared" si="4"/>
        <v>-0.59750000000000003</v>
      </c>
      <c r="AH14" t="str">
        <v>DEC1</v>
      </c>
      <c r="AI14" t="str">
        <v xml:space="preserve"> _x001B_)1Þ3.050</v>
      </c>
      <c r="AJ14" t="str">
        <v>--0.01</v>
      </c>
      <c r="AL14" t="str">
        <f t="shared" si="2"/>
        <v>-0.01</v>
      </c>
      <c r="AM14">
        <f t="shared" si="5"/>
        <v>-0.01</v>
      </c>
      <c r="AN14">
        <f t="shared" si="6"/>
        <v>-0.01</v>
      </c>
    </row>
    <row r="15" spans="1:40" ht="15.75" x14ac:dyDescent="0.25">
      <c r="A15" s="268">
        <v>37257</v>
      </c>
      <c r="B15">
        <v>29.5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37257</v>
      </c>
      <c r="T15">
        <v>3.2050000000000001</v>
      </c>
      <c r="U15">
        <v>0.59</v>
      </c>
      <c r="X15">
        <f t="shared" si="3"/>
        <v>-3.2050000000000001</v>
      </c>
      <c r="Y15">
        <f t="shared" si="4"/>
        <v>-0.59</v>
      </c>
      <c r="AH15" t="str">
        <v>JAN2</v>
      </c>
      <c r="AI15" t="str">
        <v xml:space="preserve"> _x001B_)1þ3.200</v>
      </c>
      <c r="AJ15" t="str">
        <v>--0.00</v>
      </c>
      <c r="AL15" t="str">
        <f t="shared" si="2"/>
        <v>-0.00</v>
      </c>
      <c r="AM15">
        <f t="shared" si="5"/>
        <v>0</v>
      </c>
      <c r="AN15">
        <f t="shared" si="6"/>
        <v>0</v>
      </c>
    </row>
    <row r="16" spans="1:40" ht="15.75" x14ac:dyDescent="0.25">
      <c r="A16" s="268">
        <v>37288</v>
      </c>
      <c r="B16">
        <v>29.5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37288</v>
      </c>
      <c r="T16">
        <v>3.177</v>
      </c>
      <c r="U16">
        <v>0.56999999999999995</v>
      </c>
      <c r="X16">
        <f t="shared" si="3"/>
        <v>-3.177</v>
      </c>
      <c r="Y16">
        <f t="shared" si="4"/>
        <v>-0.56999999999999995</v>
      </c>
      <c r="AH16" t="str">
        <v>FEB2</v>
      </c>
      <c r="AI16" t="str">
        <v xml:space="preserve"> A3.175</v>
      </c>
      <c r="AJ16" t="str">
        <v>--0.00</v>
      </c>
      <c r="AL16" t="str">
        <f t="shared" si="2"/>
        <v>-0.00</v>
      </c>
      <c r="AM16">
        <f t="shared" si="5"/>
        <v>0</v>
      </c>
      <c r="AN16">
        <f t="shared" si="6"/>
        <v>0</v>
      </c>
    </row>
    <row r="17" spans="1:40" ht="15.75" x14ac:dyDescent="0.25">
      <c r="A17" s="268">
        <v>37316</v>
      </c>
      <c r="B17">
        <v>28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37316</v>
      </c>
      <c r="T17">
        <v>3.105</v>
      </c>
      <c r="U17">
        <v>0.51249999999999996</v>
      </c>
      <c r="X17">
        <f t="shared" si="3"/>
        <v>-3.105</v>
      </c>
      <c r="Y17">
        <f t="shared" si="4"/>
        <v>-0.51249999999999996</v>
      </c>
      <c r="AH17" t="str">
        <v>MAR2</v>
      </c>
      <c r="AI17" t="str">
        <v xml:space="preserve"> _x001B_)1Þ3.105</v>
      </c>
      <c r="AJ17" t="str">
        <v xml:space="preserve">      </v>
      </c>
      <c r="AL17" t="str">
        <f t="shared" si="2"/>
        <v xml:space="preserve">      </v>
      </c>
      <c r="AM17" t="e">
        <f t="shared" si="5"/>
        <v>#VALUE!</v>
      </c>
      <c r="AN17">
        <f t="shared" si="6"/>
        <v>0</v>
      </c>
    </row>
    <row r="18" spans="1:40" ht="15.75" x14ac:dyDescent="0.25">
      <c r="A18" s="268">
        <v>37347</v>
      </c>
      <c r="B18">
        <v>28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37347</v>
      </c>
      <c r="T18">
        <v>3.012</v>
      </c>
      <c r="U18">
        <v>0.47249999999999998</v>
      </c>
      <c r="X18">
        <f t="shared" si="3"/>
        <v>-3.012</v>
      </c>
      <c r="Y18">
        <f t="shared" si="4"/>
        <v>-0.47249999999999998</v>
      </c>
      <c r="AH18" t="str">
        <v>APR2</v>
      </c>
      <c r="AI18" t="str">
        <v xml:space="preserve"> B3.000</v>
      </c>
      <c r="AJ18" t="str">
        <v>--0.01</v>
      </c>
      <c r="AL18" t="str">
        <f t="shared" si="2"/>
        <v>-0.01</v>
      </c>
      <c r="AM18">
        <f t="shared" si="5"/>
        <v>-0.01</v>
      </c>
      <c r="AN18">
        <f t="shared" si="6"/>
        <v>-0.01</v>
      </c>
    </row>
    <row r="19" spans="1:40" ht="15.75" x14ac:dyDescent="0.25">
      <c r="A19" s="268">
        <v>37377</v>
      </c>
      <c r="B19">
        <v>31.25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37377</v>
      </c>
      <c r="T19">
        <v>3.0350000000000001</v>
      </c>
      <c r="U19">
        <v>0.4425</v>
      </c>
      <c r="X19">
        <f t="shared" si="3"/>
        <v>-3.0350000000000001</v>
      </c>
      <c r="Y19">
        <f t="shared" si="4"/>
        <v>-0.4425</v>
      </c>
      <c r="AH19" t="str">
        <v>MAY2</v>
      </c>
      <c r="AI19" t="str">
        <v xml:space="preserve"> _x001B_)1þ3.020</v>
      </c>
      <c r="AJ19" t="str">
        <v>--0.01</v>
      </c>
      <c r="AL19" t="str">
        <f t="shared" si="2"/>
        <v>-0.01</v>
      </c>
      <c r="AM19">
        <f t="shared" si="5"/>
        <v>-0.01</v>
      </c>
      <c r="AN19">
        <f t="shared" si="6"/>
        <v>-0.01</v>
      </c>
    </row>
    <row r="20" spans="1:40" x14ac:dyDescent="0.2">
      <c r="A20" s="268">
        <v>37408</v>
      </c>
      <c r="B20">
        <v>41.25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37408</v>
      </c>
      <c r="T20">
        <v>3.07</v>
      </c>
      <c r="U20">
        <v>0.41749999999999998</v>
      </c>
      <c r="X20">
        <f t="shared" si="3"/>
        <v>-3.07</v>
      </c>
      <c r="Y20">
        <f t="shared" si="4"/>
        <v>-0.41749999999999998</v>
      </c>
      <c r="AH20" t="str">
        <v>JUN2</v>
      </c>
      <c r="AI20" t="str">
        <v xml:space="preserve"> _x001B_)1þ3.060</v>
      </c>
      <c r="AJ20" t="str">
        <v>--0.01</v>
      </c>
      <c r="AL20" t="str">
        <f t="shared" si="2"/>
        <v>-0.01</v>
      </c>
      <c r="AM20">
        <f t="shared" si="5"/>
        <v>-0.01</v>
      </c>
      <c r="AN20">
        <f t="shared" si="6"/>
        <v>-0.01</v>
      </c>
    </row>
    <row r="21" spans="1:40" x14ac:dyDescent="0.2">
      <c r="A21" s="268">
        <v>37438</v>
      </c>
      <c r="B21">
        <v>54.75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37438</v>
      </c>
      <c r="T21">
        <v>3.1120000000000001</v>
      </c>
      <c r="U21">
        <v>0.41499999999999998</v>
      </c>
      <c r="X21">
        <f t="shared" si="3"/>
        <v>-3.1120000000000001</v>
      </c>
      <c r="Y21">
        <f t="shared" si="4"/>
        <v>-0.41499999999999998</v>
      </c>
      <c r="AH21" t="str">
        <v>JUL2</v>
      </c>
      <c r="AI21" t="str">
        <v xml:space="preserve"> B3.090</v>
      </c>
      <c r="AJ21" t="str">
        <v>+0.023</v>
      </c>
      <c r="AL21" t="str">
        <f t="shared" si="2"/>
        <v>+0.023</v>
      </c>
      <c r="AM21">
        <f t="shared" si="5"/>
        <v>2.3E-2</v>
      </c>
      <c r="AN21">
        <f t="shared" si="6"/>
        <v>2.3E-2</v>
      </c>
    </row>
    <row r="22" spans="1:40" x14ac:dyDescent="0.2">
      <c r="A22" s="268">
        <v>37469</v>
      </c>
      <c r="B22">
        <v>54.75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37469</v>
      </c>
      <c r="T22">
        <v>3.1470000000000002</v>
      </c>
      <c r="U22">
        <v>0.41499999999999998</v>
      </c>
      <c r="X22">
        <f t="shared" si="3"/>
        <v>-3.1470000000000002</v>
      </c>
      <c r="Y22">
        <f t="shared" si="4"/>
        <v>-0.41499999999999998</v>
      </c>
      <c r="AH22" t="str">
        <v>AUG2</v>
      </c>
      <c r="AI22" t="str">
        <v xml:space="preserve"> A3.160</v>
      </c>
      <c r="AJ22" t="str">
        <v>+0.013</v>
      </c>
      <c r="AL22" t="str">
        <f t="shared" si="2"/>
        <v>+0.013</v>
      </c>
      <c r="AM22">
        <f t="shared" si="5"/>
        <v>1.2999999999999999E-2</v>
      </c>
      <c r="AN22">
        <f t="shared" si="6"/>
        <v>1.2999999999999999E-2</v>
      </c>
    </row>
    <row r="23" spans="1:40" x14ac:dyDescent="0.2">
      <c r="A23" s="268">
        <v>37500</v>
      </c>
      <c r="B23">
        <v>28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37500</v>
      </c>
      <c r="T23">
        <v>3.1460000000000004</v>
      </c>
      <c r="U23">
        <v>0.41499999999999998</v>
      </c>
      <c r="X23">
        <f t="shared" si="3"/>
        <v>-3.1460000000000004</v>
      </c>
      <c r="Y23">
        <f t="shared" si="4"/>
        <v>-0.41499999999999998</v>
      </c>
      <c r="AH23" t="str">
        <v>SEP2</v>
      </c>
      <c r="AI23" t="str">
        <v xml:space="preserve"> _x001B_)1Þ3.150</v>
      </c>
      <c r="AJ23" t="str">
        <v>+0.004</v>
      </c>
      <c r="AL23" t="str">
        <f t="shared" si="2"/>
        <v>+0.004</v>
      </c>
      <c r="AM23">
        <f t="shared" si="5"/>
        <v>4.0000000000000001E-3</v>
      </c>
      <c r="AN23">
        <f t="shared" si="6"/>
        <v>4.0000000000000001E-3</v>
      </c>
    </row>
    <row r="24" spans="1:40" x14ac:dyDescent="0.2">
      <c r="A24" s="268">
        <v>37530</v>
      </c>
      <c r="B24">
        <v>29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37530</v>
      </c>
      <c r="T24">
        <v>3.157</v>
      </c>
      <c r="U24">
        <v>0.41</v>
      </c>
      <c r="X24">
        <f t="shared" si="3"/>
        <v>-3.157</v>
      </c>
      <c r="Y24">
        <f t="shared" si="4"/>
        <v>-0.41</v>
      </c>
      <c r="AH24" t="str">
        <v>OCT2</v>
      </c>
      <c r="AI24" t="str">
        <v xml:space="preserve"> _x001B_)1þ3.155</v>
      </c>
      <c r="AJ24" t="str">
        <v>--0.00</v>
      </c>
      <c r="AL24" t="str">
        <f t="shared" si="2"/>
        <v>-0.00</v>
      </c>
      <c r="AM24">
        <f t="shared" si="5"/>
        <v>0</v>
      </c>
      <c r="AN24">
        <f t="shared" si="6"/>
        <v>0</v>
      </c>
    </row>
    <row r="25" spans="1:40" x14ac:dyDescent="0.2">
      <c r="A25" s="268">
        <v>37561</v>
      </c>
      <c r="B25">
        <v>29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37561</v>
      </c>
      <c r="T25">
        <v>3.3170000000000002</v>
      </c>
      <c r="U25">
        <v>0.41499999999999998</v>
      </c>
      <c r="X25">
        <f t="shared" si="3"/>
        <v>-3.3170000000000002</v>
      </c>
      <c r="Y25">
        <f t="shared" si="4"/>
        <v>-0.41499999999999998</v>
      </c>
      <c r="AH25" t="str">
        <v>NOV2</v>
      </c>
      <c r="AI25" t="str">
        <v>PS3.317</v>
      </c>
      <c r="AJ25" t="str">
        <v>+0.019</v>
      </c>
      <c r="AL25" t="str">
        <f t="shared" si="2"/>
        <v>+0.019</v>
      </c>
      <c r="AM25">
        <f t="shared" si="5"/>
        <v>1.9E-2</v>
      </c>
      <c r="AN25">
        <f t="shared" si="6"/>
        <v>1.9E-2</v>
      </c>
    </row>
    <row r="26" spans="1:40" x14ac:dyDescent="0.2">
      <c r="A26" s="268">
        <v>37591</v>
      </c>
      <c r="B26">
        <v>29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37591</v>
      </c>
      <c r="T26">
        <v>3.4780000000000002</v>
      </c>
      <c r="U26">
        <v>0.41499999999999998</v>
      </c>
      <c r="X26">
        <f t="shared" si="3"/>
        <v>-3.4780000000000002</v>
      </c>
      <c r="Y26">
        <f t="shared" si="4"/>
        <v>-0.41499999999999998</v>
      </c>
      <c r="AH26" t="str">
        <f t="array" ref="AH26:AH38">[2]!'1#NG: 3 0 4 13'</f>
        <v>DEC2</v>
      </c>
      <c r="AI26" t="str">
        <f t="array" ref="AI26:AI38">[2]!'1#NG: 3 5 7 13'</f>
        <v xml:space="preserve"> B3.420</v>
      </c>
      <c r="AJ26" t="str">
        <f t="array" ref="AJ26:AJ38">[2]!'1#NG: 3 16 7 13'</f>
        <v xml:space="preserve">+0.010 </v>
      </c>
      <c r="AL26" t="str">
        <f t="shared" si="2"/>
        <v xml:space="preserve">+0.010 </v>
      </c>
      <c r="AM26">
        <f t="shared" si="5"/>
        <v>0.01</v>
      </c>
      <c r="AN26">
        <f t="shared" si="6"/>
        <v>0.01</v>
      </c>
    </row>
    <row r="27" spans="1:40" x14ac:dyDescent="0.2">
      <c r="A27" s="268">
        <v>37622</v>
      </c>
      <c r="B27">
        <v>30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37622</v>
      </c>
      <c r="T27">
        <v>3.5550000000000002</v>
      </c>
      <c r="U27">
        <v>0.41499999999999998</v>
      </c>
      <c r="X27">
        <f t="shared" si="3"/>
        <v>-3.5550000000000002</v>
      </c>
      <c r="Y27">
        <f t="shared" si="4"/>
        <v>-0.41499999999999998</v>
      </c>
      <c r="AH27" t="str">
        <v>JAN3</v>
      </c>
      <c r="AI27" t="str">
        <v>PS3.555</v>
      </c>
      <c r="AJ27" t="str">
        <v xml:space="preserve">+0.008 </v>
      </c>
      <c r="AL27" t="str">
        <f t="shared" si="2"/>
        <v xml:space="preserve">+0.008 </v>
      </c>
      <c r="AM27">
        <f t="shared" si="5"/>
        <v>8.0000000000000002E-3</v>
      </c>
      <c r="AN27">
        <f t="shared" si="6"/>
        <v>8.0000000000000002E-3</v>
      </c>
    </row>
    <row r="28" spans="1:40" x14ac:dyDescent="0.2">
      <c r="A28" s="268">
        <v>37653</v>
      </c>
      <c r="B28">
        <v>30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37653</v>
      </c>
      <c r="T28">
        <v>3.4449999999999998</v>
      </c>
      <c r="U28">
        <v>0.40250000000000002</v>
      </c>
      <c r="X28">
        <f t="shared" si="3"/>
        <v>-3.4449999999999998</v>
      </c>
      <c r="Y28">
        <f t="shared" si="4"/>
        <v>-0.40250000000000002</v>
      </c>
      <c r="AH28" t="str">
        <v>FEB3</v>
      </c>
      <c r="AI28" t="str">
        <v>PS3.445</v>
      </c>
      <c r="AJ28" t="str">
        <v xml:space="preserve">+0.013 </v>
      </c>
      <c r="AL28" t="str">
        <f t="shared" si="2"/>
        <v xml:space="preserve">+0.013 </v>
      </c>
      <c r="AM28">
        <f t="shared" si="5"/>
        <v>1.2999999999999999E-2</v>
      </c>
      <c r="AN28">
        <f t="shared" si="6"/>
        <v>1.2999999999999999E-2</v>
      </c>
    </row>
    <row r="29" spans="1:40" x14ac:dyDescent="0.2">
      <c r="A29" s="268">
        <v>37681</v>
      </c>
      <c r="B29">
        <v>28.75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37681</v>
      </c>
      <c r="T29">
        <v>3.3180000000000001</v>
      </c>
      <c r="U29">
        <v>0.38750000000000001</v>
      </c>
      <c r="X29">
        <f t="shared" si="3"/>
        <v>-3.3180000000000001</v>
      </c>
      <c r="Y29">
        <f t="shared" si="4"/>
        <v>-0.38750000000000001</v>
      </c>
      <c r="AH29" t="str">
        <v>MAR3</v>
      </c>
      <c r="AI29" t="str">
        <v>PS3.318</v>
      </c>
      <c r="AJ29" t="str">
        <v xml:space="preserve">+0.005 </v>
      </c>
      <c r="AL29" t="str">
        <f t="shared" si="2"/>
        <v xml:space="preserve">+0.005 </v>
      </c>
      <c r="AM29">
        <f t="shared" si="5"/>
        <v>5.0000000000000001E-3</v>
      </c>
      <c r="AN29">
        <f t="shared" si="6"/>
        <v>5.0000000000000001E-3</v>
      </c>
    </row>
    <row r="30" spans="1:40" x14ac:dyDescent="0.2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37712</v>
      </c>
      <c r="T30">
        <v>3.1380000000000003</v>
      </c>
      <c r="U30">
        <v>0.33250000000000002</v>
      </c>
      <c r="X30">
        <f t="shared" si="3"/>
        <v>-3.1380000000000003</v>
      </c>
      <c r="Y30">
        <f t="shared" si="4"/>
        <v>-0.33250000000000002</v>
      </c>
      <c r="AH30" t="str">
        <v>APR3</v>
      </c>
      <c r="AI30" t="str">
        <v>PS3.138</v>
      </c>
      <c r="AJ30" t="str">
        <v xml:space="preserve">+0.005 </v>
      </c>
      <c r="AL30" t="str">
        <f t="shared" si="2"/>
        <v xml:space="preserve">+0.005 </v>
      </c>
      <c r="AM30">
        <f t="shared" si="5"/>
        <v>5.0000000000000001E-3</v>
      </c>
      <c r="AN30">
        <f t="shared" si="6"/>
        <v>5.0000000000000001E-3</v>
      </c>
    </row>
    <row r="31" spans="1:40" x14ac:dyDescent="0.2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37742</v>
      </c>
      <c r="T31">
        <v>3.1430000000000002</v>
      </c>
      <c r="U31">
        <v>0.32500000000000001</v>
      </c>
      <c r="X31">
        <f t="shared" si="3"/>
        <v>-3.1430000000000002</v>
      </c>
      <c r="Y31">
        <f t="shared" si="4"/>
        <v>-0.32500000000000001</v>
      </c>
      <c r="AH31" t="str">
        <v>MAY3</v>
      </c>
      <c r="AI31" t="str">
        <v>PS3.143</v>
      </c>
      <c r="AJ31" t="str">
        <v xml:space="preserve">+0.005 </v>
      </c>
      <c r="AL31" t="str">
        <f t="shared" si="2"/>
        <v xml:space="preserve">+0.005 </v>
      </c>
      <c r="AM31">
        <f t="shared" si="5"/>
        <v>5.0000000000000001E-3</v>
      </c>
      <c r="AN31">
        <f t="shared" si="6"/>
        <v>5.0000000000000001E-3</v>
      </c>
    </row>
    <row r="32" spans="1:40" x14ac:dyDescent="0.2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37773</v>
      </c>
      <c r="T32">
        <v>3.1710000000000003</v>
      </c>
      <c r="U32">
        <v>0.3175</v>
      </c>
      <c r="X32">
        <f t="shared" si="3"/>
        <v>-3.1710000000000003</v>
      </c>
      <c r="Y32">
        <f t="shared" si="4"/>
        <v>-0.3175</v>
      </c>
      <c r="AH32" t="str">
        <v>JUN3</v>
      </c>
      <c r="AI32" t="str">
        <v>PS3.171</v>
      </c>
      <c r="AJ32" t="str">
        <v xml:space="preserve">+0.005 </v>
      </c>
      <c r="AL32" t="str">
        <f t="shared" si="2"/>
        <v xml:space="preserve">+0.005 </v>
      </c>
      <c r="AM32">
        <f t="shared" si="5"/>
        <v>5.0000000000000001E-3</v>
      </c>
      <c r="AN32">
        <f t="shared" si="6"/>
        <v>5.0000000000000001E-3</v>
      </c>
    </row>
    <row r="33" spans="1:40" x14ac:dyDescent="0.2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37803</v>
      </c>
      <c r="T33">
        <v>3.1960000000000002</v>
      </c>
      <c r="U33">
        <v>0.3175</v>
      </c>
      <c r="X33">
        <f t="shared" si="3"/>
        <v>-3.1960000000000002</v>
      </c>
      <c r="Y33">
        <f t="shared" si="4"/>
        <v>-0.3175</v>
      </c>
      <c r="AH33" t="str">
        <v>JUL3</v>
      </c>
      <c r="AI33" t="str">
        <v>PS3.196</v>
      </c>
      <c r="AJ33" t="str">
        <v xml:space="preserve">+0.002 </v>
      </c>
      <c r="AL33" t="str">
        <f t="shared" si="2"/>
        <v xml:space="preserve">+0.002 </v>
      </c>
      <c r="AM33">
        <f t="shared" si="5"/>
        <v>2E-3</v>
      </c>
      <c r="AN33">
        <f t="shared" si="6"/>
        <v>2E-3</v>
      </c>
    </row>
    <row r="34" spans="1:40" x14ac:dyDescent="0.2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37834</v>
      </c>
      <c r="T34">
        <v>3.2160000000000002</v>
      </c>
      <c r="U34">
        <v>0.3175</v>
      </c>
      <c r="X34">
        <f t="shared" si="3"/>
        <v>-3.2160000000000002</v>
      </c>
      <c r="Y34">
        <f t="shared" si="4"/>
        <v>-0.3175</v>
      </c>
      <c r="AH34" t="str">
        <v>AUG3</v>
      </c>
      <c r="AI34" t="str">
        <v>PS3.216</v>
      </c>
      <c r="AJ34" t="str">
        <v xml:space="preserve">+0.002 </v>
      </c>
      <c r="AL34" t="str">
        <f t="shared" si="2"/>
        <v xml:space="preserve">+0.002 </v>
      </c>
      <c r="AM34">
        <f t="shared" si="5"/>
        <v>2E-3</v>
      </c>
      <c r="AN34">
        <f t="shared" si="6"/>
        <v>2E-3</v>
      </c>
    </row>
    <row r="35" spans="1:40" x14ac:dyDescent="0.2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37865</v>
      </c>
      <c r="T35">
        <v>3.2160000000000002</v>
      </c>
      <c r="U35">
        <v>0.31759999999999999</v>
      </c>
      <c r="X35">
        <f t="shared" si="3"/>
        <v>-3.2160000000000002</v>
      </c>
      <c r="Y35">
        <f t="shared" si="4"/>
        <v>-0.31759999999999999</v>
      </c>
      <c r="AH35" t="str">
        <v>SEP3</v>
      </c>
      <c r="AI35" t="str">
        <v>PS3.216</v>
      </c>
      <c r="AJ35" t="str">
        <v xml:space="preserve">+0.001 </v>
      </c>
      <c r="AL35" t="str">
        <f t="shared" si="2"/>
        <v xml:space="preserve">+0.001 </v>
      </c>
      <c r="AM35">
        <f t="shared" si="5"/>
        <v>1E-3</v>
      </c>
      <c r="AN35">
        <f t="shared" si="6"/>
        <v>1E-3</v>
      </c>
    </row>
    <row r="36" spans="1:40" x14ac:dyDescent="0.2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37895</v>
      </c>
      <c r="T36">
        <v>3.2210000000000001</v>
      </c>
      <c r="U36">
        <v>0.3175</v>
      </c>
      <c r="X36">
        <f t="shared" si="3"/>
        <v>-3.2210000000000001</v>
      </c>
      <c r="Y36">
        <f t="shared" si="4"/>
        <v>-0.3175</v>
      </c>
      <c r="AH36" t="str">
        <v>OCT3</v>
      </c>
      <c r="AI36" t="str">
        <v>PS3.221</v>
      </c>
      <c r="AJ36" t="str">
        <v xml:space="preserve">+0.001 </v>
      </c>
      <c r="AL36" t="str">
        <f t="shared" si="2"/>
        <v xml:space="preserve">+0.001 </v>
      </c>
      <c r="AM36">
        <f t="shared" si="5"/>
        <v>1E-3</v>
      </c>
      <c r="AN36">
        <f t="shared" si="6"/>
        <v>1E-3</v>
      </c>
    </row>
    <row r="37" spans="1:40" x14ac:dyDescent="0.2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37926</v>
      </c>
      <c r="T37">
        <v>3.371</v>
      </c>
      <c r="U37">
        <v>0.32</v>
      </c>
      <c r="X37">
        <f t="shared" si="3"/>
        <v>-3.371</v>
      </c>
      <c r="Y37">
        <f t="shared" si="4"/>
        <v>-0.32</v>
      </c>
      <c r="AH37" t="str">
        <v>NOV3</v>
      </c>
      <c r="AI37" t="str">
        <v>PS3.371</v>
      </c>
      <c r="AJ37" t="str">
        <v xml:space="preserve">+0.001 </v>
      </c>
      <c r="AL37" t="str">
        <f t="shared" si="2"/>
        <v xml:space="preserve">+0.001 </v>
      </c>
      <c r="AM37">
        <f t="shared" si="5"/>
        <v>1E-3</v>
      </c>
      <c r="AN37">
        <f t="shared" si="6"/>
        <v>1E-3</v>
      </c>
    </row>
    <row r="38" spans="1:40" x14ac:dyDescent="0.2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37956</v>
      </c>
      <c r="T38">
        <v>3.5260000000000002</v>
      </c>
      <c r="U38">
        <v>0.32</v>
      </c>
      <c r="X38">
        <f t="shared" si="3"/>
        <v>-3.5260000000000002</v>
      </c>
      <c r="Y38">
        <f t="shared" si="4"/>
        <v>-0.32</v>
      </c>
      <c r="AH38" t="str">
        <v>DEC3</v>
      </c>
      <c r="AI38" t="str">
        <v>PS3.526</v>
      </c>
      <c r="AJ38" t="str">
        <v xml:space="preserve">       </v>
      </c>
      <c r="AL38" t="str">
        <f t="shared" si="2"/>
        <v xml:space="preserve">       </v>
      </c>
      <c r="AM38" t="e">
        <f t="shared" si="5"/>
        <v>#VALUE!</v>
      </c>
      <c r="AN38">
        <f t="shared" si="6"/>
        <v>0</v>
      </c>
    </row>
    <row r="39" spans="1:40" x14ac:dyDescent="0.2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37987</v>
      </c>
      <c r="T39">
        <v>3.581</v>
      </c>
      <c r="U39">
        <v>0.32</v>
      </c>
      <c r="X39">
        <f t="shared" si="3"/>
        <v>-3.581</v>
      </c>
      <c r="Y39">
        <f t="shared" si="4"/>
        <v>-0.32</v>
      </c>
      <c r="AH39" t="str">
        <f t="array" ref="AH39:AH47">[2]!'2#NG: 2 0 4 9'</f>
        <v>JAN4</v>
      </c>
      <c r="AI39" t="str">
        <f t="array" ref="AI39:AI47">[2]!'2#NG: 2 5 7 9'</f>
        <v>PS3.581</v>
      </c>
      <c r="AJ39" t="str">
        <f t="array" ref="AJ39:AJ47">[2]!'2#NG: 2 16 7 9'</f>
        <v xml:space="preserve">--0.00 </v>
      </c>
      <c r="AL39" t="str">
        <f t="shared" si="2"/>
        <v xml:space="preserve">0.00 </v>
      </c>
      <c r="AM39">
        <f t="shared" si="5"/>
        <v>0</v>
      </c>
      <c r="AN39">
        <f t="shared" si="6"/>
        <v>0</v>
      </c>
    </row>
    <row r="40" spans="1:40" x14ac:dyDescent="0.2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38018</v>
      </c>
      <c r="T40">
        <v>3.4670000000000001</v>
      </c>
      <c r="U40">
        <v>0.3125</v>
      </c>
      <c r="X40">
        <f t="shared" si="3"/>
        <v>-3.4670000000000001</v>
      </c>
      <c r="Y40">
        <f t="shared" si="4"/>
        <v>-0.3125</v>
      </c>
      <c r="AH40" t="str">
        <v>FEB4</v>
      </c>
      <c r="AI40" t="str">
        <v>PS3.467</v>
      </c>
      <c r="AJ40" t="str">
        <v xml:space="preserve">--0.00 </v>
      </c>
      <c r="AL40" t="str">
        <f t="shared" si="2"/>
        <v xml:space="preserve">0.00 </v>
      </c>
      <c r="AM40">
        <f t="shared" si="5"/>
        <v>0</v>
      </c>
      <c r="AN40">
        <f t="shared" si="6"/>
        <v>0</v>
      </c>
    </row>
    <row r="41" spans="1:40" x14ac:dyDescent="0.2">
      <c r="A41"/>
      <c r="O41" s="311">
        <f>FuturesPosn!E44</f>
        <v>0</v>
      </c>
      <c r="P41" s="304">
        <f>FuturesPosn!F44</f>
        <v>0</v>
      </c>
      <c r="S41" s="268">
        <v>38047</v>
      </c>
      <c r="T41">
        <v>3.335</v>
      </c>
      <c r="U41">
        <v>0.30499999999999999</v>
      </c>
      <c r="X41">
        <f t="shared" si="3"/>
        <v>-3.335</v>
      </c>
      <c r="Y41">
        <f t="shared" si="4"/>
        <v>-0.30499999999999999</v>
      </c>
      <c r="AH41" t="str">
        <v>MAR4</v>
      </c>
      <c r="AI41" t="str">
        <v>PS3.335</v>
      </c>
      <c r="AJ41" t="str">
        <v xml:space="preserve">--0.00 </v>
      </c>
      <c r="AL41" t="str">
        <f t="shared" si="2"/>
        <v xml:space="preserve">0.00 </v>
      </c>
      <c r="AM41">
        <f t="shared" si="5"/>
        <v>0</v>
      </c>
      <c r="AN41">
        <f t="shared" si="6"/>
        <v>0</v>
      </c>
    </row>
    <row r="42" spans="1:40" x14ac:dyDescent="0.2">
      <c r="A42"/>
      <c r="O42" s="311">
        <f>FuturesPosn!E45</f>
        <v>0</v>
      </c>
      <c r="P42" s="304">
        <f>FuturesPosn!F45</f>
        <v>0</v>
      </c>
      <c r="S42" s="268">
        <v>38078</v>
      </c>
      <c r="T42">
        <v>3.137</v>
      </c>
      <c r="U42">
        <v>0.28000000000000003</v>
      </c>
      <c r="X42">
        <f t="shared" si="3"/>
        <v>-3.137</v>
      </c>
      <c r="Y42">
        <f t="shared" si="4"/>
        <v>-0.28000000000000003</v>
      </c>
      <c r="AH42" t="str">
        <v>APR4</v>
      </c>
      <c r="AI42" t="str">
        <v>PS3.137</v>
      </c>
      <c r="AJ42" t="str">
        <v xml:space="preserve">--0.00 </v>
      </c>
      <c r="AL42" t="str">
        <f t="shared" si="2"/>
        <v xml:space="preserve">0.00 </v>
      </c>
      <c r="AM42">
        <f t="shared" si="5"/>
        <v>0</v>
      </c>
      <c r="AN42">
        <f t="shared" si="6"/>
        <v>0</v>
      </c>
    </row>
    <row r="43" spans="1:40" x14ac:dyDescent="0.2">
      <c r="A43"/>
      <c r="O43" s="311">
        <f>FuturesPosn!E46</f>
        <v>0</v>
      </c>
      <c r="P43" s="304">
        <f>FuturesPosn!F46</f>
        <v>0</v>
      </c>
      <c r="S43" s="268">
        <v>38108</v>
      </c>
      <c r="T43">
        <v>3.133</v>
      </c>
      <c r="U43">
        <v>0.28000000000000003</v>
      </c>
      <c r="X43">
        <f t="shared" si="3"/>
        <v>-3.133</v>
      </c>
      <c r="Y43">
        <f t="shared" si="4"/>
        <v>-0.28000000000000003</v>
      </c>
      <c r="AH43" t="str">
        <v>MAY4</v>
      </c>
      <c r="AI43" t="str">
        <v xml:space="preserve"> B3.125</v>
      </c>
      <c r="AJ43" t="str">
        <v xml:space="preserve">--0.00 </v>
      </c>
      <c r="AL43" t="str">
        <f t="shared" si="2"/>
        <v xml:space="preserve">0.00 </v>
      </c>
      <c r="AM43">
        <f t="shared" si="5"/>
        <v>0</v>
      </c>
      <c r="AN43">
        <f t="shared" si="6"/>
        <v>0</v>
      </c>
    </row>
    <row r="44" spans="1:40" x14ac:dyDescent="0.2">
      <c r="A44"/>
      <c r="O44" s="311">
        <f>FuturesPosn!E47</f>
        <v>0</v>
      </c>
      <c r="P44" s="304">
        <f>FuturesPosn!F47</f>
        <v>0</v>
      </c>
      <c r="S44" s="268">
        <v>38139</v>
      </c>
      <c r="T44">
        <v>3.165</v>
      </c>
      <c r="U44">
        <v>0.27750000000000002</v>
      </c>
      <c r="X44">
        <f t="shared" si="3"/>
        <v>-3.165</v>
      </c>
      <c r="Y44">
        <f t="shared" si="4"/>
        <v>-0.27750000000000002</v>
      </c>
      <c r="AH44" t="str">
        <v>JUN4</v>
      </c>
      <c r="AI44" t="str">
        <v>PS3.165</v>
      </c>
      <c r="AJ44" t="str">
        <v xml:space="preserve">--0.00 </v>
      </c>
      <c r="AL44" t="str">
        <f t="shared" si="2"/>
        <v xml:space="preserve">0.00 </v>
      </c>
      <c r="AM44">
        <f t="shared" si="5"/>
        <v>0</v>
      </c>
      <c r="AN44">
        <f t="shared" si="6"/>
        <v>0</v>
      </c>
    </row>
    <row r="45" spans="1:40" x14ac:dyDescent="0.2">
      <c r="A45"/>
      <c r="O45" s="311">
        <f>FuturesPosn!E48</f>
        <v>0</v>
      </c>
      <c r="P45" s="304">
        <f>FuturesPosn!F48</f>
        <v>0</v>
      </c>
      <c r="S45" s="268">
        <v>38169</v>
      </c>
      <c r="T45">
        <v>3.2149999999999999</v>
      </c>
      <c r="U45">
        <v>0.27750000000000002</v>
      </c>
      <c r="X45">
        <f t="shared" si="3"/>
        <v>-3.2149999999999999</v>
      </c>
      <c r="Y45">
        <f t="shared" si="4"/>
        <v>-0.27750000000000002</v>
      </c>
      <c r="AH45" t="str">
        <v>JUL4</v>
      </c>
      <c r="AI45" t="str">
        <v>PS3.215</v>
      </c>
      <c r="AJ45" t="str">
        <v xml:space="preserve">--0.00 </v>
      </c>
      <c r="AL45" t="str">
        <f t="shared" si="2"/>
        <v xml:space="preserve">0.00 </v>
      </c>
      <c r="AM45">
        <f t="shared" si="5"/>
        <v>0</v>
      </c>
      <c r="AN45">
        <f t="shared" si="6"/>
        <v>0</v>
      </c>
    </row>
    <row r="46" spans="1:40" x14ac:dyDescent="0.2">
      <c r="A46"/>
      <c r="O46" s="311">
        <f>FuturesPosn!E49</f>
        <v>0</v>
      </c>
      <c r="P46" s="304">
        <f>FuturesPosn!F49</f>
        <v>0</v>
      </c>
      <c r="S46" s="268">
        <v>38200</v>
      </c>
      <c r="T46">
        <v>3.2490000000000001</v>
      </c>
      <c r="U46">
        <v>0.27750000000000002</v>
      </c>
      <c r="X46">
        <f t="shared" si="3"/>
        <v>-3.2490000000000001</v>
      </c>
      <c r="Y46">
        <f t="shared" si="4"/>
        <v>-0.27750000000000002</v>
      </c>
      <c r="AH46" t="str">
        <v>AUG4</v>
      </c>
      <c r="AI46" t="str">
        <v>PS3.249</v>
      </c>
      <c r="AJ46" t="str">
        <v xml:space="preserve">--0.00 </v>
      </c>
      <c r="AL46" t="str">
        <f t="shared" si="2"/>
        <v xml:space="preserve">0.00 </v>
      </c>
      <c r="AM46">
        <f t="shared" si="5"/>
        <v>0</v>
      </c>
      <c r="AN46">
        <f t="shared" si="6"/>
        <v>0</v>
      </c>
    </row>
    <row r="47" spans="1:40" x14ac:dyDescent="0.2">
      <c r="A47"/>
      <c r="S47" s="268">
        <v>38231</v>
      </c>
      <c r="T47">
        <v>3.262</v>
      </c>
      <c r="U47">
        <v>0.28000000000000003</v>
      </c>
      <c r="X47">
        <f t="shared" si="3"/>
        <v>-3.262</v>
      </c>
      <c r="Y47">
        <f t="shared" si="4"/>
        <v>-0.28000000000000003</v>
      </c>
      <c r="AH47" t="str">
        <v>SEP4</v>
      </c>
      <c r="AI47" t="str">
        <v>PS3.262</v>
      </c>
      <c r="AJ47" t="str">
        <v xml:space="preserve">--0.00 </v>
      </c>
      <c r="AL47" t="str">
        <f t="shared" si="2"/>
        <v xml:space="preserve">0.00 </v>
      </c>
      <c r="AM47">
        <f t="shared" si="5"/>
        <v>0</v>
      </c>
      <c r="AN47">
        <f t="shared" si="6"/>
        <v>0</v>
      </c>
    </row>
    <row r="48" spans="1:40" x14ac:dyDescent="0.2">
      <c r="A48"/>
      <c r="S48" s="268">
        <v>38261</v>
      </c>
      <c r="T48">
        <v>3.2610000000000001</v>
      </c>
      <c r="U48">
        <v>0.28000000000000003</v>
      </c>
      <c r="X48">
        <f t="shared" si="3"/>
        <v>-3.2610000000000001</v>
      </c>
      <c r="Y48">
        <f t="shared" si="4"/>
        <v>-0.28000000000000003</v>
      </c>
    </row>
    <row r="49" spans="1:25" x14ac:dyDescent="0.2">
      <c r="A49"/>
      <c r="S49" s="268">
        <v>38292</v>
      </c>
      <c r="T49">
        <v>3.4160000000000004</v>
      </c>
      <c r="U49">
        <v>0.27750000000000002</v>
      </c>
      <c r="X49">
        <f t="shared" si="3"/>
        <v>-3.4160000000000004</v>
      </c>
      <c r="Y49">
        <f t="shared" si="4"/>
        <v>-0.27750000000000002</v>
      </c>
    </row>
    <row r="50" spans="1:25" x14ac:dyDescent="0.2">
      <c r="A50"/>
      <c r="S50" s="268">
        <v>38322</v>
      </c>
      <c r="T50">
        <v>3.581</v>
      </c>
      <c r="U50">
        <v>0.27750000000000002</v>
      </c>
      <c r="X50">
        <f t="shared" si="3"/>
        <v>-3.581</v>
      </c>
      <c r="Y50">
        <f t="shared" si="4"/>
        <v>-0.27750000000000002</v>
      </c>
    </row>
    <row r="51" spans="1:25" x14ac:dyDescent="0.2">
      <c r="A51"/>
      <c r="S51" s="268">
        <v>38353</v>
      </c>
      <c r="T51">
        <v>3.6310000000000002</v>
      </c>
      <c r="U51">
        <v>0.28000000000000003</v>
      </c>
      <c r="X51">
        <f t="shared" si="3"/>
        <v>-3.6310000000000002</v>
      </c>
      <c r="Y51">
        <f t="shared" si="4"/>
        <v>-0.28000000000000003</v>
      </c>
    </row>
    <row r="52" spans="1:25" x14ac:dyDescent="0.2">
      <c r="A52"/>
      <c r="S52" s="268">
        <v>38384</v>
      </c>
      <c r="T52">
        <v>3.5170000000000003</v>
      </c>
      <c r="U52">
        <v>0.27250000000000002</v>
      </c>
      <c r="X52">
        <f t="shared" si="3"/>
        <v>-3.5170000000000003</v>
      </c>
      <c r="Y52">
        <f t="shared" si="4"/>
        <v>-0.27250000000000002</v>
      </c>
    </row>
    <row r="53" spans="1:25" x14ac:dyDescent="0.2">
      <c r="A53"/>
      <c r="S53" s="268">
        <v>38412</v>
      </c>
      <c r="T53">
        <v>3.3849999999999998</v>
      </c>
      <c r="U53">
        <v>0.25750000000000001</v>
      </c>
      <c r="X53">
        <f t="shared" si="3"/>
        <v>-3.3849999999999998</v>
      </c>
      <c r="Y53">
        <f t="shared" si="4"/>
        <v>-0.25750000000000001</v>
      </c>
    </row>
    <row r="54" spans="1:25" x14ac:dyDescent="0.2">
      <c r="A54"/>
      <c r="S54" s="268">
        <v>38443</v>
      </c>
      <c r="T54">
        <v>3.1870000000000003</v>
      </c>
      <c r="U54">
        <v>0.24249999999999999</v>
      </c>
      <c r="X54">
        <f t="shared" si="3"/>
        <v>-3.1870000000000003</v>
      </c>
      <c r="Y54">
        <f t="shared" si="4"/>
        <v>-0.24249999999999999</v>
      </c>
    </row>
    <row r="55" spans="1:25" x14ac:dyDescent="0.2">
      <c r="A55"/>
      <c r="S55" s="268">
        <v>38473</v>
      </c>
      <c r="T55">
        <v>3.1830000000000003</v>
      </c>
      <c r="U55">
        <v>0.23499999999999999</v>
      </c>
      <c r="X55">
        <f t="shared" si="3"/>
        <v>-3.1830000000000003</v>
      </c>
      <c r="Y55">
        <f t="shared" si="4"/>
        <v>-0.23499999999999999</v>
      </c>
    </row>
    <row r="56" spans="1:25" x14ac:dyDescent="0.2">
      <c r="A56"/>
      <c r="S56" s="268">
        <v>38504</v>
      </c>
      <c r="T56">
        <v>3.2149999999999999</v>
      </c>
      <c r="U56">
        <v>0.23</v>
      </c>
      <c r="X56">
        <f t="shared" si="3"/>
        <v>-3.2149999999999999</v>
      </c>
      <c r="Y56">
        <f t="shared" si="4"/>
        <v>-0.23</v>
      </c>
    </row>
    <row r="57" spans="1:25" x14ac:dyDescent="0.2">
      <c r="A57"/>
      <c r="S57" s="268">
        <v>38534</v>
      </c>
      <c r="T57">
        <v>3.2650000000000001</v>
      </c>
      <c r="U57">
        <v>0.23</v>
      </c>
      <c r="X57">
        <f t="shared" si="3"/>
        <v>-3.2650000000000001</v>
      </c>
      <c r="Y57">
        <f t="shared" si="4"/>
        <v>-0.23</v>
      </c>
    </row>
    <row r="58" spans="1:25" x14ac:dyDescent="0.2">
      <c r="A58"/>
      <c r="S58" s="268">
        <v>38565</v>
      </c>
      <c r="T58">
        <v>3.2990000000000004</v>
      </c>
      <c r="U58">
        <v>0.23</v>
      </c>
      <c r="X58">
        <f t="shared" si="3"/>
        <v>-3.2990000000000004</v>
      </c>
      <c r="Y58">
        <f t="shared" si="4"/>
        <v>-0.23</v>
      </c>
    </row>
    <row r="59" spans="1:25" x14ac:dyDescent="0.2">
      <c r="A59"/>
      <c r="S59" s="268">
        <v>38596</v>
      </c>
      <c r="T59">
        <v>3.3120000000000003</v>
      </c>
      <c r="U59">
        <v>0.23</v>
      </c>
      <c r="X59">
        <f t="shared" si="3"/>
        <v>-3.3120000000000003</v>
      </c>
      <c r="Y59">
        <f t="shared" si="4"/>
        <v>-0.23</v>
      </c>
    </row>
    <row r="60" spans="1:25" x14ac:dyDescent="0.2">
      <c r="A60"/>
      <c r="S60" s="268">
        <v>38626</v>
      </c>
      <c r="T60">
        <v>3.3109999999999999</v>
      </c>
      <c r="U60">
        <v>0.23</v>
      </c>
      <c r="X60">
        <f t="shared" si="3"/>
        <v>-3.3109999999999999</v>
      </c>
      <c r="Y60">
        <f t="shared" si="4"/>
        <v>-0.23</v>
      </c>
    </row>
    <row r="61" spans="1:25" x14ac:dyDescent="0.2">
      <c r="A61"/>
      <c r="S61" s="268">
        <v>38657</v>
      </c>
      <c r="T61">
        <v>3.4660000000000002</v>
      </c>
      <c r="U61">
        <v>0.23250000000000001</v>
      </c>
      <c r="X61">
        <f t="shared" si="3"/>
        <v>-3.4660000000000002</v>
      </c>
      <c r="Y61">
        <f t="shared" si="4"/>
        <v>-0.23250000000000001</v>
      </c>
    </row>
    <row r="62" spans="1:25" x14ac:dyDescent="0.2">
      <c r="A62"/>
      <c r="S62" s="268">
        <v>38687</v>
      </c>
      <c r="T62">
        <v>3.6310000000000002</v>
      </c>
      <c r="U62">
        <v>0.23499999999999999</v>
      </c>
      <c r="X62">
        <f t="shared" si="3"/>
        <v>-3.6310000000000002</v>
      </c>
      <c r="Y62">
        <f t="shared" si="4"/>
        <v>-0.23499999999999999</v>
      </c>
    </row>
    <row r="63" spans="1:25" x14ac:dyDescent="0.2">
      <c r="A63"/>
      <c r="S63" s="268">
        <v>38718</v>
      </c>
      <c r="T63">
        <v>3.6910000000000003</v>
      </c>
      <c r="U63">
        <v>0.23749999999999999</v>
      </c>
      <c r="X63">
        <f t="shared" si="3"/>
        <v>-3.6910000000000003</v>
      </c>
      <c r="Y63">
        <f t="shared" si="4"/>
        <v>-0.23749999999999999</v>
      </c>
    </row>
    <row r="64" spans="1:25" x14ac:dyDescent="0.2">
      <c r="A64"/>
      <c r="S64" s="268">
        <v>38749</v>
      </c>
      <c r="T64">
        <v>3.577</v>
      </c>
      <c r="U64">
        <v>0.23749999999999999</v>
      </c>
      <c r="X64">
        <f t="shared" si="3"/>
        <v>-3.577</v>
      </c>
      <c r="Y64">
        <f t="shared" si="4"/>
        <v>-0.23749999999999999</v>
      </c>
    </row>
    <row r="65" spans="1:25" x14ac:dyDescent="0.2">
      <c r="A65"/>
      <c r="S65" s="268">
        <v>38777</v>
      </c>
      <c r="T65">
        <v>3.4449999999999998</v>
      </c>
      <c r="U65">
        <v>0.23749999999999999</v>
      </c>
      <c r="X65">
        <f t="shared" si="3"/>
        <v>-3.4449999999999998</v>
      </c>
      <c r="Y65">
        <f t="shared" si="4"/>
        <v>-0.23749999999999999</v>
      </c>
    </row>
    <row r="66" spans="1:25" x14ac:dyDescent="0.2">
      <c r="A66"/>
      <c r="S66" s="268">
        <v>38808</v>
      </c>
      <c r="T66">
        <v>3.2470000000000003</v>
      </c>
      <c r="U66">
        <v>0.23749999999999999</v>
      </c>
      <c r="X66">
        <f t="shared" si="3"/>
        <v>-3.2470000000000003</v>
      </c>
      <c r="Y66">
        <f t="shared" si="4"/>
        <v>-0.23749999999999999</v>
      </c>
    </row>
    <row r="67" spans="1:25" x14ac:dyDescent="0.2">
      <c r="A67"/>
      <c r="S67" s="268">
        <v>38838</v>
      </c>
      <c r="T67">
        <v>3.2430000000000003</v>
      </c>
      <c r="U67">
        <v>0.23499999999999999</v>
      </c>
      <c r="X67">
        <f t="shared" si="3"/>
        <v>-3.2430000000000003</v>
      </c>
      <c r="Y67">
        <f t="shared" si="4"/>
        <v>-0.23499999999999999</v>
      </c>
    </row>
    <row r="68" spans="1:25" x14ac:dyDescent="0.2">
      <c r="A68"/>
      <c r="S68" s="268">
        <v>38869</v>
      </c>
      <c r="T68">
        <v>3.2749999999999999</v>
      </c>
      <c r="U68">
        <v>0.23499999999999999</v>
      </c>
      <c r="X68">
        <f t="shared" si="3"/>
        <v>-3.2749999999999999</v>
      </c>
      <c r="Y68">
        <f t="shared" si="4"/>
        <v>-0.23499999999999999</v>
      </c>
    </row>
    <row r="69" spans="1:25" x14ac:dyDescent="0.2">
      <c r="A69"/>
      <c r="S69" s="268">
        <v>38899</v>
      </c>
      <c r="T69">
        <v>3.3250000000000002</v>
      </c>
      <c r="U69">
        <v>0.23499999999999999</v>
      </c>
      <c r="X69">
        <f t="shared" si="3"/>
        <v>-3.3250000000000002</v>
      </c>
      <c r="Y69">
        <f t="shared" si="4"/>
        <v>-0.23499999999999999</v>
      </c>
    </row>
    <row r="70" spans="1:25" x14ac:dyDescent="0.2">
      <c r="A70"/>
      <c r="S70" s="268">
        <v>38930</v>
      </c>
      <c r="T70">
        <v>3.359</v>
      </c>
      <c r="U70">
        <v>0.23499999999999999</v>
      </c>
      <c r="X70">
        <f t="shared" si="3"/>
        <v>-3.359</v>
      </c>
      <c r="Y70">
        <f t="shared" si="4"/>
        <v>-0.23499999999999999</v>
      </c>
    </row>
    <row r="71" spans="1:25" x14ac:dyDescent="0.2">
      <c r="A71"/>
      <c r="S71" s="268">
        <v>38961</v>
      </c>
      <c r="T71">
        <v>3.3720000000000003</v>
      </c>
      <c r="U71">
        <v>0.23499999999999999</v>
      </c>
      <c r="X71">
        <f t="shared" si="3"/>
        <v>-3.3720000000000003</v>
      </c>
      <c r="Y71">
        <f t="shared" si="4"/>
        <v>-0.23499999999999999</v>
      </c>
    </row>
    <row r="72" spans="1:25" x14ac:dyDescent="0.2">
      <c r="A72"/>
      <c r="S72" s="268">
        <v>38991</v>
      </c>
      <c r="T72">
        <v>3.371</v>
      </c>
      <c r="U72">
        <v>0.23499999999999999</v>
      </c>
      <c r="X72">
        <f t="shared" si="3"/>
        <v>-3.371</v>
      </c>
      <c r="Y72">
        <f t="shared" si="4"/>
        <v>-0.23499999999999999</v>
      </c>
    </row>
    <row r="73" spans="1:25" x14ac:dyDescent="0.2">
      <c r="A73"/>
      <c r="S73" s="268">
        <v>39022</v>
      </c>
      <c r="T73">
        <v>3.5260000000000002</v>
      </c>
      <c r="U73">
        <v>0.23749999999999999</v>
      </c>
      <c r="X73">
        <f t="shared" si="3"/>
        <v>-3.5260000000000002</v>
      </c>
      <c r="Y73">
        <f t="shared" si="4"/>
        <v>-0.23749999999999999</v>
      </c>
    </row>
    <row r="74" spans="1:25" x14ac:dyDescent="0.2">
      <c r="A74"/>
      <c r="S74" s="268">
        <v>39052</v>
      </c>
      <c r="T74">
        <v>3.6910000000000003</v>
      </c>
      <c r="U74">
        <v>0.24</v>
      </c>
      <c r="X74">
        <f t="shared" si="3"/>
        <v>-3.6910000000000003</v>
      </c>
      <c r="Y74">
        <f t="shared" si="4"/>
        <v>-0.24</v>
      </c>
    </row>
    <row r="75" spans="1:25" x14ac:dyDescent="0.2">
      <c r="A75"/>
      <c r="S75" s="268">
        <v>39083</v>
      </c>
      <c r="T75">
        <v>3.7560000000000002</v>
      </c>
      <c r="U75">
        <v>0.24249999999999999</v>
      </c>
      <c r="X75">
        <f t="shared" si="3"/>
        <v>-3.7560000000000002</v>
      </c>
      <c r="Y75">
        <f t="shared" si="4"/>
        <v>-0.24249999999999999</v>
      </c>
    </row>
    <row r="76" spans="1:25" x14ac:dyDescent="0.2">
      <c r="A76"/>
      <c r="S76" s="268">
        <v>39114</v>
      </c>
      <c r="T76">
        <v>3.6420000000000003</v>
      </c>
      <c r="U76">
        <v>0.23749999999999999</v>
      </c>
      <c r="X76">
        <f t="shared" si="3"/>
        <v>-3.6420000000000003</v>
      </c>
      <c r="Y76">
        <f t="shared" si="4"/>
        <v>-0.23749999999999999</v>
      </c>
    </row>
    <row r="77" spans="1:25" x14ac:dyDescent="0.2">
      <c r="A77"/>
      <c r="S77" s="268">
        <v>39142</v>
      </c>
      <c r="T77">
        <v>3.51</v>
      </c>
      <c r="U77">
        <v>0.23250000000000001</v>
      </c>
      <c r="X77">
        <f t="shared" ref="X77:X140" si="8">AB77-T77</f>
        <v>-3.51</v>
      </c>
      <c r="Y77">
        <f t="shared" ref="Y77:Y140" si="9">AC77-U77</f>
        <v>-0.23250000000000001</v>
      </c>
    </row>
    <row r="78" spans="1:25" x14ac:dyDescent="0.2">
      <c r="A78"/>
      <c r="S78" s="268">
        <v>39173</v>
      </c>
      <c r="T78">
        <v>3.3120000000000003</v>
      </c>
      <c r="U78">
        <v>0.23250000000000001</v>
      </c>
      <c r="X78">
        <f t="shared" si="8"/>
        <v>-3.3120000000000003</v>
      </c>
      <c r="Y78">
        <f t="shared" si="9"/>
        <v>-0.23250000000000001</v>
      </c>
    </row>
    <row r="79" spans="1:25" x14ac:dyDescent="0.2">
      <c r="A79"/>
      <c r="S79" s="268">
        <v>39203</v>
      </c>
      <c r="T79">
        <v>3.3080000000000003</v>
      </c>
      <c r="U79">
        <v>0.23250000000000001</v>
      </c>
      <c r="X79">
        <f t="shared" si="8"/>
        <v>-3.3080000000000003</v>
      </c>
      <c r="Y79">
        <f t="shared" si="9"/>
        <v>-0.23250000000000001</v>
      </c>
    </row>
    <row r="80" spans="1:25" x14ac:dyDescent="0.2">
      <c r="A80"/>
      <c r="S80" s="268">
        <v>39234</v>
      </c>
      <c r="T80">
        <v>3.34</v>
      </c>
      <c r="U80">
        <v>0.23250000000000001</v>
      </c>
      <c r="X80">
        <f t="shared" si="8"/>
        <v>-3.34</v>
      </c>
      <c r="Y80">
        <f t="shared" si="9"/>
        <v>-0.23250000000000001</v>
      </c>
    </row>
    <row r="81" spans="1:25" x14ac:dyDescent="0.2">
      <c r="A81"/>
      <c r="S81" s="268">
        <v>39264</v>
      </c>
      <c r="T81">
        <v>3.39</v>
      </c>
      <c r="U81">
        <v>0.23250000000000001</v>
      </c>
      <c r="X81">
        <f t="shared" si="8"/>
        <v>-3.39</v>
      </c>
      <c r="Y81">
        <f t="shared" si="9"/>
        <v>-0.23250000000000001</v>
      </c>
    </row>
    <row r="82" spans="1:25" x14ac:dyDescent="0.2">
      <c r="A82"/>
      <c r="S82" s="268">
        <v>39295</v>
      </c>
      <c r="T82">
        <v>3.4240000000000004</v>
      </c>
      <c r="U82">
        <v>0.23250000000000001</v>
      </c>
      <c r="X82">
        <f t="shared" si="8"/>
        <v>-3.4240000000000004</v>
      </c>
      <c r="Y82">
        <f t="shared" si="9"/>
        <v>-0.23250000000000001</v>
      </c>
    </row>
    <row r="83" spans="1:25" x14ac:dyDescent="0.2">
      <c r="A83"/>
      <c r="S83" s="268">
        <v>39326</v>
      </c>
      <c r="T83">
        <v>3.4370000000000003</v>
      </c>
      <c r="U83">
        <v>0.23250000000000001</v>
      </c>
      <c r="X83">
        <f t="shared" si="8"/>
        <v>-3.4370000000000003</v>
      </c>
      <c r="Y83">
        <f t="shared" si="9"/>
        <v>-0.23250000000000001</v>
      </c>
    </row>
    <row r="84" spans="1:25" x14ac:dyDescent="0.2">
      <c r="A84"/>
      <c r="S84" s="268">
        <v>39356</v>
      </c>
      <c r="T84">
        <v>3.4359999999999999</v>
      </c>
      <c r="U84">
        <v>0.23250000000000001</v>
      </c>
      <c r="X84">
        <f t="shared" si="8"/>
        <v>-3.4359999999999999</v>
      </c>
      <c r="Y84">
        <f t="shared" si="9"/>
        <v>-0.23250000000000001</v>
      </c>
    </row>
    <row r="85" spans="1:25" x14ac:dyDescent="0.2">
      <c r="A85"/>
      <c r="S85" s="268">
        <v>39387</v>
      </c>
      <c r="T85">
        <v>3.5910000000000002</v>
      </c>
      <c r="U85">
        <v>0.23250000000000001</v>
      </c>
      <c r="X85">
        <f t="shared" si="8"/>
        <v>-3.5910000000000002</v>
      </c>
      <c r="Y85">
        <f t="shared" si="9"/>
        <v>-0.23250000000000001</v>
      </c>
    </row>
    <row r="86" spans="1:25" x14ac:dyDescent="0.2">
      <c r="A86"/>
      <c r="S86" s="268">
        <v>39417</v>
      </c>
      <c r="T86">
        <v>3.7560000000000002</v>
      </c>
      <c r="U86">
        <v>0.23250000000000001</v>
      </c>
      <c r="X86">
        <f t="shared" si="8"/>
        <v>-3.7560000000000002</v>
      </c>
      <c r="Y86">
        <f t="shared" si="9"/>
        <v>-0.23250000000000001</v>
      </c>
    </row>
    <row r="87" spans="1:25" x14ac:dyDescent="0.2">
      <c r="A87"/>
      <c r="S87" s="268">
        <v>39448</v>
      </c>
      <c r="T87">
        <v>3.8260000000000001</v>
      </c>
      <c r="U87">
        <v>0.23250000000000001</v>
      </c>
      <c r="X87">
        <f t="shared" si="8"/>
        <v>-3.8260000000000001</v>
      </c>
      <c r="Y87">
        <f t="shared" si="9"/>
        <v>-0.23250000000000001</v>
      </c>
    </row>
    <row r="88" spans="1:25" x14ac:dyDescent="0.2">
      <c r="A88"/>
      <c r="S88" s="268">
        <v>39479</v>
      </c>
      <c r="T88">
        <v>3.7120000000000002</v>
      </c>
      <c r="U88">
        <v>0.23250000000000001</v>
      </c>
      <c r="X88">
        <f t="shared" si="8"/>
        <v>-3.7120000000000002</v>
      </c>
      <c r="Y88">
        <f t="shared" si="9"/>
        <v>-0.23250000000000001</v>
      </c>
    </row>
    <row r="89" spans="1:25" x14ac:dyDescent="0.2">
      <c r="A89"/>
      <c r="S89" s="268">
        <v>39508</v>
      </c>
      <c r="T89">
        <v>3.58</v>
      </c>
      <c r="U89">
        <v>0.2225</v>
      </c>
      <c r="X89">
        <f t="shared" si="8"/>
        <v>-3.58</v>
      </c>
      <c r="Y89">
        <f t="shared" si="9"/>
        <v>-0.2225</v>
      </c>
    </row>
    <row r="90" spans="1:25" x14ac:dyDescent="0.2">
      <c r="A90"/>
      <c r="S90" s="268">
        <v>39539</v>
      </c>
      <c r="T90">
        <v>3.3820000000000001</v>
      </c>
      <c r="U90">
        <v>0.2225</v>
      </c>
      <c r="X90">
        <f t="shared" si="8"/>
        <v>-3.3820000000000001</v>
      </c>
      <c r="Y90">
        <f t="shared" si="9"/>
        <v>-0.2225</v>
      </c>
    </row>
    <row r="91" spans="1:25" x14ac:dyDescent="0.2">
      <c r="A91"/>
      <c r="S91" s="268">
        <v>39569</v>
      </c>
      <c r="T91">
        <v>3.3780000000000001</v>
      </c>
      <c r="U91">
        <v>0.2225</v>
      </c>
      <c r="X91">
        <f t="shared" si="8"/>
        <v>-3.3780000000000001</v>
      </c>
      <c r="Y91">
        <f t="shared" si="9"/>
        <v>-0.2225</v>
      </c>
    </row>
    <row r="92" spans="1:25" x14ac:dyDescent="0.2">
      <c r="A92"/>
      <c r="S92" s="268">
        <v>39600</v>
      </c>
      <c r="T92">
        <v>3.41</v>
      </c>
      <c r="U92">
        <v>0.2225</v>
      </c>
      <c r="X92">
        <f t="shared" si="8"/>
        <v>-3.41</v>
      </c>
      <c r="Y92">
        <f t="shared" si="9"/>
        <v>-0.2225</v>
      </c>
    </row>
    <row r="93" spans="1:25" x14ac:dyDescent="0.2">
      <c r="A93"/>
      <c r="S93" s="268">
        <v>39630</v>
      </c>
      <c r="T93">
        <v>3.46</v>
      </c>
      <c r="U93">
        <v>0.22</v>
      </c>
      <c r="X93">
        <f t="shared" si="8"/>
        <v>-3.46</v>
      </c>
      <c r="Y93">
        <f t="shared" si="9"/>
        <v>-0.22</v>
      </c>
    </row>
    <row r="94" spans="1:25" x14ac:dyDescent="0.2">
      <c r="A94"/>
      <c r="S94" s="268">
        <v>39661</v>
      </c>
      <c r="T94">
        <v>3.4940000000000002</v>
      </c>
      <c r="U94">
        <v>0.22</v>
      </c>
      <c r="X94">
        <f t="shared" si="8"/>
        <v>-3.4940000000000002</v>
      </c>
      <c r="Y94">
        <f t="shared" si="9"/>
        <v>-0.22</v>
      </c>
    </row>
    <row r="95" spans="1:25" x14ac:dyDescent="0.2">
      <c r="A95"/>
      <c r="S95" s="268">
        <v>39692</v>
      </c>
      <c r="T95">
        <v>3.5070000000000001</v>
      </c>
      <c r="U95">
        <v>0.22</v>
      </c>
      <c r="X95">
        <f t="shared" si="8"/>
        <v>-3.5070000000000001</v>
      </c>
      <c r="Y95">
        <f t="shared" si="9"/>
        <v>-0.22</v>
      </c>
    </row>
    <row r="96" spans="1:25" x14ac:dyDescent="0.2">
      <c r="A96"/>
      <c r="S96" s="268">
        <v>39722</v>
      </c>
      <c r="T96">
        <v>3.5060000000000002</v>
      </c>
      <c r="U96">
        <v>0.22</v>
      </c>
      <c r="X96">
        <f t="shared" si="8"/>
        <v>-3.5060000000000002</v>
      </c>
      <c r="Y96">
        <f t="shared" si="9"/>
        <v>-0.22</v>
      </c>
    </row>
    <row r="97" spans="1:25" x14ac:dyDescent="0.2">
      <c r="A97"/>
      <c r="S97" s="268">
        <v>39753</v>
      </c>
      <c r="T97">
        <v>3.661</v>
      </c>
      <c r="U97">
        <v>0.22</v>
      </c>
      <c r="X97">
        <f t="shared" si="8"/>
        <v>-3.661</v>
      </c>
      <c r="Y97">
        <f t="shared" si="9"/>
        <v>-0.22</v>
      </c>
    </row>
    <row r="98" spans="1:25" x14ac:dyDescent="0.2">
      <c r="A98"/>
      <c r="S98" s="268">
        <v>39783</v>
      </c>
      <c r="T98">
        <v>3.8260000000000001</v>
      </c>
      <c r="U98">
        <v>0.2225</v>
      </c>
      <c r="X98">
        <f t="shared" si="8"/>
        <v>-3.8260000000000001</v>
      </c>
      <c r="Y98">
        <f t="shared" si="9"/>
        <v>-0.2225</v>
      </c>
    </row>
    <row r="99" spans="1:25" x14ac:dyDescent="0.2">
      <c r="A99"/>
      <c r="S99" s="268">
        <v>39814</v>
      </c>
      <c r="T99">
        <v>3.9010000000000002</v>
      </c>
      <c r="U99">
        <v>0.22500000000000001</v>
      </c>
      <c r="X99">
        <f t="shared" si="8"/>
        <v>-3.9010000000000002</v>
      </c>
      <c r="Y99">
        <f t="shared" si="9"/>
        <v>-0.22500000000000001</v>
      </c>
    </row>
    <row r="100" spans="1:25" x14ac:dyDescent="0.2">
      <c r="A100"/>
      <c r="S100" s="268">
        <v>39845</v>
      </c>
      <c r="T100">
        <v>3.7870000000000004</v>
      </c>
      <c r="U100">
        <v>0.22</v>
      </c>
      <c r="X100">
        <f t="shared" si="8"/>
        <v>-3.7870000000000004</v>
      </c>
      <c r="Y100">
        <f t="shared" si="9"/>
        <v>-0.22</v>
      </c>
    </row>
    <row r="101" spans="1:25" x14ac:dyDescent="0.2">
      <c r="A101"/>
      <c r="S101" s="268">
        <v>39873</v>
      </c>
      <c r="T101">
        <v>3.6549999999999998</v>
      </c>
      <c r="U101">
        <v>0.20499999999999999</v>
      </c>
      <c r="X101">
        <f t="shared" si="8"/>
        <v>-3.6549999999999998</v>
      </c>
      <c r="Y101">
        <f t="shared" si="9"/>
        <v>-0.20499999999999999</v>
      </c>
    </row>
    <row r="102" spans="1:25" x14ac:dyDescent="0.2">
      <c r="A102"/>
      <c r="S102" s="268">
        <v>39904</v>
      </c>
      <c r="T102">
        <v>3.4570000000000003</v>
      </c>
      <c r="U102">
        <v>0.19500000000000001</v>
      </c>
      <c r="X102">
        <f t="shared" si="8"/>
        <v>-3.4570000000000003</v>
      </c>
      <c r="Y102">
        <f t="shared" si="9"/>
        <v>-0.19500000000000001</v>
      </c>
    </row>
    <row r="103" spans="1:25" x14ac:dyDescent="0.2">
      <c r="A103"/>
      <c r="S103" s="268">
        <v>39934</v>
      </c>
      <c r="T103">
        <v>3.4530000000000003</v>
      </c>
      <c r="U103">
        <v>0.19500000000000001</v>
      </c>
      <c r="X103">
        <f t="shared" si="8"/>
        <v>-3.4530000000000003</v>
      </c>
      <c r="Y103">
        <f t="shared" si="9"/>
        <v>-0.19500000000000001</v>
      </c>
    </row>
    <row r="104" spans="1:25" x14ac:dyDescent="0.2">
      <c r="A104"/>
      <c r="S104" s="268">
        <v>39965</v>
      </c>
      <c r="T104">
        <v>3.4849999999999999</v>
      </c>
      <c r="U104">
        <v>0.19500000000000001</v>
      </c>
      <c r="X104">
        <f t="shared" si="8"/>
        <v>-3.4849999999999999</v>
      </c>
      <c r="Y104">
        <f t="shared" si="9"/>
        <v>-0.19500000000000001</v>
      </c>
    </row>
    <row r="105" spans="1:25" x14ac:dyDescent="0.2">
      <c r="A105"/>
      <c r="S105" s="268">
        <v>39995</v>
      </c>
      <c r="T105">
        <v>3.5350000000000001</v>
      </c>
      <c r="U105">
        <v>0.19500000000000001</v>
      </c>
      <c r="X105">
        <f t="shared" si="8"/>
        <v>-3.5350000000000001</v>
      </c>
      <c r="Y105">
        <f t="shared" si="9"/>
        <v>-0.19500000000000001</v>
      </c>
    </row>
    <row r="106" spans="1:25" x14ac:dyDescent="0.2">
      <c r="A106"/>
      <c r="S106" s="268">
        <v>40026</v>
      </c>
      <c r="T106">
        <v>3.569</v>
      </c>
      <c r="U106">
        <v>0.19500000000000001</v>
      </c>
      <c r="X106">
        <f t="shared" si="8"/>
        <v>-3.569</v>
      </c>
      <c r="Y106">
        <f t="shared" si="9"/>
        <v>-0.19500000000000001</v>
      </c>
    </row>
    <row r="107" spans="1:25" x14ac:dyDescent="0.2">
      <c r="A107"/>
      <c r="S107" s="268">
        <v>40057</v>
      </c>
      <c r="T107">
        <v>3.5820000000000003</v>
      </c>
      <c r="U107">
        <v>0.19500000000000001</v>
      </c>
      <c r="X107">
        <f t="shared" si="8"/>
        <v>-3.5820000000000003</v>
      </c>
      <c r="Y107">
        <f t="shared" si="9"/>
        <v>-0.19500000000000001</v>
      </c>
    </row>
    <row r="108" spans="1:25" x14ac:dyDescent="0.2">
      <c r="A108"/>
      <c r="S108" s="268">
        <v>40087</v>
      </c>
      <c r="T108">
        <v>3.581</v>
      </c>
      <c r="U108">
        <v>0.19500000000000001</v>
      </c>
      <c r="X108">
        <f t="shared" si="8"/>
        <v>-3.581</v>
      </c>
      <c r="Y108">
        <f t="shared" si="9"/>
        <v>-0.19500000000000001</v>
      </c>
    </row>
    <row r="109" spans="1:25" x14ac:dyDescent="0.2">
      <c r="A109"/>
      <c r="S109" s="268">
        <v>40118</v>
      </c>
      <c r="T109">
        <v>3.7360000000000002</v>
      </c>
      <c r="U109">
        <v>0.19500000000000001</v>
      </c>
      <c r="X109">
        <f t="shared" si="8"/>
        <v>-3.7360000000000002</v>
      </c>
      <c r="Y109">
        <f t="shared" si="9"/>
        <v>-0.19500000000000001</v>
      </c>
    </row>
    <row r="110" spans="1:25" x14ac:dyDescent="0.2">
      <c r="A110"/>
      <c r="S110" s="268">
        <v>40148</v>
      </c>
      <c r="T110">
        <v>3.9010000000000002</v>
      </c>
      <c r="U110">
        <v>0.19500000000000001</v>
      </c>
      <c r="X110">
        <f t="shared" si="8"/>
        <v>-3.9010000000000002</v>
      </c>
      <c r="Y110">
        <f t="shared" si="9"/>
        <v>-0.19500000000000001</v>
      </c>
    </row>
    <row r="111" spans="1:25" x14ac:dyDescent="0.2">
      <c r="A111"/>
      <c r="S111" s="268">
        <v>40179</v>
      </c>
      <c r="T111">
        <v>3.9810000000000003</v>
      </c>
      <c r="U111">
        <v>0.19500000000000001</v>
      </c>
      <c r="X111">
        <f t="shared" si="8"/>
        <v>-3.9810000000000003</v>
      </c>
      <c r="Y111">
        <f t="shared" si="9"/>
        <v>-0.19500000000000001</v>
      </c>
    </row>
    <row r="112" spans="1:25" x14ac:dyDescent="0.2">
      <c r="A112"/>
      <c r="S112" s="268">
        <v>40210</v>
      </c>
      <c r="T112">
        <v>3.867</v>
      </c>
      <c r="U112">
        <v>0.19</v>
      </c>
      <c r="X112">
        <f t="shared" si="8"/>
        <v>-3.867</v>
      </c>
      <c r="Y112">
        <f t="shared" si="9"/>
        <v>-0.19</v>
      </c>
    </row>
    <row r="113" spans="1:25" x14ac:dyDescent="0.2">
      <c r="A113"/>
      <c r="S113" s="268">
        <v>40238</v>
      </c>
      <c r="T113">
        <v>3.7349999999999999</v>
      </c>
      <c r="U113">
        <v>0.1875</v>
      </c>
      <c r="X113">
        <f t="shared" si="8"/>
        <v>-3.7349999999999999</v>
      </c>
      <c r="Y113">
        <f t="shared" si="9"/>
        <v>-0.1875</v>
      </c>
    </row>
    <row r="114" spans="1:25" x14ac:dyDescent="0.2">
      <c r="A114"/>
      <c r="S114" s="268">
        <v>40269</v>
      </c>
      <c r="T114">
        <v>3.5370000000000004</v>
      </c>
      <c r="U114">
        <v>0.185</v>
      </c>
      <c r="X114">
        <f t="shared" si="8"/>
        <v>-3.5370000000000004</v>
      </c>
      <c r="Y114">
        <f t="shared" si="9"/>
        <v>-0.185</v>
      </c>
    </row>
    <row r="115" spans="1:25" x14ac:dyDescent="0.2">
      <c r="A115"/>
      <c r="S115" s="268">
        <v>40299</v>
      </c>
      <c r="T115">
        <v>3.5330000000000004</v>
      </c>
      <c r="U115">
        <v>0.185</v>
      </c>
      <c r="X115">
        <f t="shared" si="8"/>
        <v>-3.5330000000000004</v>
      </c>
      <c r="Y115">
        <f t="shared" si="9"/>
        <v>-0.185</v>
      </c>
    </row>
    <row r="116" spans="1:25" x14ac:dyDescent="0.2">
      <c r="A116"/>
      <c r="S116" s="268">
        <v>40330</v>
      </c>
      <c r="T116">
        <v>3.5649999999999999</v>
      </c>
      <c r="U116">
        <v>0.185</v>
      </c>
      <c r="X116">
        <f t="shared" si="8"/>
        <v>-3.5649999999999999</v>
      </c>
      <c r="Y116">
        <f t="shared" si="9"/>
        <v>-0.185</v>
      </c>
    </row>
    <row r="117" spans="1:25" x14ac:dyDescent="0.2">
      <c r="A117"/>
      <c r="S117" s="268">
        <v>40360</v>
      </c>
      <c r="T117">
        <v>3.6150000000000002</v>
      </c>
      <c r="U117">
        <v>0.185</v>
      </c>
      <c r="X117">
        <f t="shared" si="8"/>
        <v>-3.6150000000000002</v>
      </c>
      <c r="Y117">
        <f t="shared" si="9"/>
        <v>-0.185</v>
      </c>
    </row>
    <row r="118" spans="1:25" x14ac:dyDescent="0.2">
      <c r="A118"/>
      <c r="S118" s="268">
        <v>40391</v>
      </c>
      <c r="T118">
        <v>3.649</v>
      </c>
      <c r="U118">
        <v>0.185</v>
      </c>
      <c r="X118">
        <f t="shared" si="8"/>
        <v>-3.649</v>
      </c>
      <c r="Y118">
        <f t="shared" si="9"/>
        <v>-0.185</v>
      </c>
    </row>
    <row r="119" spans="1:25" x14ac:dyDescent="0.2">
      <c r="A119"/>
      <c r="S119" s="268">
        <v>40422</v>
      </c>
      <c r="T119">
        <v>3.6620000000000004</v>
      </c>
      <c r="U119">
        <v>0.185</v>
      </c>
      <c r="X119">
        <f t="shared" si="8"/>
        <v>-3.6620000000000004</v>
      </c>
      <c r="Y119">
        <f t="shared" si="9"/>
        <v>-0.185</v>
      </c>
    </row>
    <row r="120" spans="1:25" x14ac:dyDescent="0.2">
      <c r="A120"/>
      <c r="S120" s="268">
        <v>40452</v>
      </c>
      <c r="T120">
        <v>3.661</v>
      </c>
      <c r="U120">
        <v>0.185</v>
      </c>
      <c r="X120">
        <f t="shared" si="8"/>
        <v>-3.661</v>
      </c>
      <c r="Y120">
        <f t="shared" si="9"/>
        <v>-0.185</v>
      </c>
    </row>
    <row r="121" spans="1:25" x14ac:dyDescent="0.2">
      <c r="A121"/>
      <c r="S121" s="268">
        <v>40483</v>
      </c>
      <c r="T121">
        <v>3.8160000000000003</v>
      </c>
      <c r="U121">
        <v>0.185</v>
      </c>
      <c r="X121">
        <f t="shared" si="8"/>
        <v>-3.8160000000000003</v>
      </c>
      <c r="Y121">
        <f t="shared" si="9"/>
        <v>-0.185</v>
      </c>
    </row>
    <row r="122" spans="1:25" x14ac:dyDescent="0.2">
      <c r="A122"/>
      <c r="S122" s="268">
        <v>40513</v>
      </c>
      <c r="T122">
        <v>3.9810000000000003</v>
      </c>
      <c r="U122">
        <v>0.185</v>
      </c>
      <c r="X122">
        <f t="shared" si="8"/>
        <v>-3.9810000000000003</v>
      </c>
      <c r="Y122">
        <f t="shared" si="9"/>
        <v>-0.185</v>
      </c>
    </row>
    <row r="123" spans="1:25" x14ac:dyDescent="0.2">
      <c r="A123"/>
      <c r="S123" s="268">
        <v>40544</v>
      </c>
      <c r="T123">
        <v>4.0635000000000003</v>
      </c>
      <c r="U123">
        <v>0.185</v>
      </c>
      <c r="X123">
        <f t="shared" si="8"/>
        <v>-4.0635000000000003</v>
      </c>
      <c r="Y123">
        <f t="shared" si="9"/>
        <v>-0.185</v>
      </c>
    </row>
    <row r="124" spans="1:25" x14ac:dyDescent="0.2">
      <c r="A124"/>
      <c r="S124" s="268">
        <v>40575</v>
      </c>
      <c r="T124">
        <v>3.9495</v>
      </c>
      <c r="U124">
        <v>0.185</v>
      </c>
      <c r="X124">
        <f t="shared" si="8"/>
        <v>-3.9495</v>
      </c>
      <c r="Y124">
        <f t="shared" si="9"/>
        <v>-0.185</v>
      </c>
    </row>
    <row r="125" spans="1:25" x14ac:dyDescent="0.2">
      <c r="A125"/>
      <c r="S125" s="268">
        <v>40603</v>
      </c>
      <c r="T125">
        <v>3.8174999999999999</v>
      </c>
      <c r="U125">
        <v>0.18</v>
      </c>
      <c r="X125">
        <f t="shared" si="8"/>
        <v>-3.8174999999999999</v>
      </c>
      <c r="Y125">
        <f t="shared" si="9"/>
        <v>-0.18</v>
      </c>
    </row>
    <row r="126" spans="1:25" x14ac:dyDescent="0.2">
      <c r="A126"/>
      <c r="S126" s="268">
        <v>40634</v>
      </c>
      <c r="T126">
        <v>3.6195000000000004</v>
      </c>
      <c r="U126">
        <v>0.18</v>
      </c>
      <c r="X126">
        <f t="shared" si="8"/>
        <v>-3.6195000000000004</v>
      </c>
      <c r="Y126">
        <f t="shared" si="9"/>
        <v>-0.18</v>
      </c>
    </row>
    <row r="127" spans="1:25" x14ac:dyDescent="0.2">
      <c r="A127"/>
      <c r="S127" s="268">
        <v>40664</v>
      </c>
      <c r="T127">
        <v>3.6155000000000004</v>
      </c>
      <c r="U127">
        <v>0.18</v>
      </c>
      <c r="X127">
        <f t="shared" si="8"/>
        <v>-3.6155000000000004</v>
      </c>
      <c r="Y127">
        <f t="shared" si="9"/>
        <v>-0.18</v>
      </c>
    </row>
    <row r="128" spans="1:25" x14ac:dyDescent="0.2">
      <c r="A128"/>
      <c r="S128" s="268">
        <v>40695</v>
      </c>
      <c r="T128">
        <v>3.6475</v>
      </c>
      <c r="U128">
        <v>0.18</v>
      </c>
      <c r="X128">
        <f t="shared" si="8"/>
        <v>-3.6475</v>
      </c>
      <c r="Y128">
        <f t="shared" si="9"/>
        <v>-0.18</v>
      </c>
    </row>
    <row r="129" spans="1:25" x14ac:dyDescent="0.2">
      <c r="A129"/>
      <c r="S129" s="268">
        <v>40725</v>
      </c>
      <c r="T129">
        <v>3.6974999999999998</v>
      </c>
      <c r="U129">
        <v>0.18</v>
      </c>
      <c r="X129">
        <f t="shared" si="8"/>
        <v>-3.6974999999999998</v>
      </c>
      <c r="Y129">
        <f t="shared" si="9"/>
        <v>-0.18</v>
      </c>
    </row>
    <row r="130" spans="1:25" x14ac:dyDescent="0.2">
      <c r="A130"/>
      <c r="S130" s="268">
        <v>40756</v>
      </c>
      <c r="T130">
        <v>3.7315</v>
      </c>
      <c r="U130">
        <v>0.18</v>
      </c>
      <c r="X130">
        <f t="shared" si="8"/>
        <v>-3.7315</v>
      </c>
      <c r="Y130">
        <f t="shared" si="9"/>
        <v>-0.18</v>
      </c>
    </row>
    <row r="131" spans="1:25" x14ac:dyDescent="0.2">
      <c r="A131"/>
      <c r="S131" s="268">
        <v>40787</v>
      </c>
      <c r="T131">
        <v>3.7445000000000004</v>
      </c>
      <c r="U131">
        <v>0.18</v>
      </c>
      <c r="X131">
        <f t="shared" si="8"/>
        <v>-3.7445000000000004</v>
      </c>
      <c r="Y131">
        <f t="shared" si="9"/>
        <v>-0.18</v>
      </c>
    </row>
    <row r="132" spans="1:25" x14ac:dyDescent="0.2">
      <c r="A132"/>
      <c r="S132" s="268">
        <v>40817</v>
      </c>
      <c r="T132">
        <v>3.7435</v>
      </c>
      <c r="U132">
        <v>0.18</v>
      </c>
      <c r="X132">
        <f t="shared" si="8"/>
        <v>-3.7435</v>
      </c>
      <c r="Y132">
        <f t="shared" si="9"/>
        <v>-0.18</v>
      </c>
    </row>
    <row r="133" spans="1:25" x14ac:dyDescent="0.2">
      <c r="A133"/>
      <c r="S133" s="268">
        <v>40848</v>
      </c>
      <c r="T133">
        <v>3.8985000000000003</v>
      </c>
      <c r="U133">
        <v>0.18</v>
      </c>
      <c r="X133">
        <f t="shared" si="8"/>
        <v>-3.8985000000000003</v>
      </c>
      <c r="Y133">
        <f t="shared" si="9"/>
        <v>-0.18</v>
      </c>
    </row>
    <row r="134" spans="1:25" x14ac:dyDescent="0.2">
      <c r="A134"/>
      <c r="S134" s="268">
        <v>40878</v>
      </c>
      <c r="T134">
        <v>4.0635000000000003</v>
      </c>
      <c r="U134">
        <v>0.18</v>
      </c>
      <c r="X134">
        <f t="shared" si="8"/>
        <v>-4.0635000000000003</v>
      </c>
      <c r="Y134">
        <f t="shared" si="9"/>
        <v>-0.18</v>
      </c>
    </row>
    <row r="135" spans="1:25" x14ac:dyDescent="0.2">
      <c r="A135"/>
      <c r="S135" s="268">
        <v>40909</v>
      </c>
      <c r="T135">
        <v>4.1485000000000003</v>
      </c>
      <c r="U135">
        <v>0.18</v>
      </c>
      <c r="X135">
        <f t="shared" si="8"/>
        <v>-4.1485000000000003</v>
      </c>
      <c r="Y135">
        <f t="shared" si="9"/>
        <v>-0.18</v>
      </c>
    </row>
    <row r="136" spans="1:25" x14ac:dyDescent="0.2">
      <c r="A136"/>
      <c r="S136" s="268">
        <v>40940</v>
      </c>
      <c r="T136">
        <v>4.0345000000000004</v>
      </c>
      <c r="U136">
        <v>0.17499999999999999</v>
      </c>
      <c r="X136">
        <f t="shared" si="8"/>
        <v>-4.0345000000000004</v>
      </c>
      <c r="Y136">
        <f t="shared" si="9"/>
        <v>-0.17499999999999999</v>
      </c>
    </row>
    <row r="137" spans="1:25" x14ac:dyDescent="0.2">
      <c r="A137"/>
      <c r="S137" s="268">
        <v>40969</v>
      </c>
      <c r="T137">
        <v>3.9024999999999999</v>
      </c>
      <c r="U137">
        <v>0.17</v>
      </c>
      <c r="X137">
        <f t="shared" si="8"/>
        <v>-3.9024999999999999</v>
      </c>
      <c r="Y137">
        <f t="shared" si="9"/>
        <v>-0.17</v>
      </c>
    </row>
    <row r="138" spans="1:25" x14ac:dyDescent="0.2">
      <c r="A138"/>
      <c r="S138" s="268">
        <v>41000</v>
      </c>
      <c r="T138">
        <v>3.7045000000000003</v>
      </c>
      <c r="U138">
        <v>0.17</v>
      </c>
      <c r="X138">
        <f t="shared" si="8"/>
        <v>-3.7045000000000003</v>
      </c>
      <c r="Y138">
        <f t="shared" si="9"/>
        <v>-0.17</v>
      </c>
    </row>
    <row r="139" spans="1:25" x14ac:dyDescent="0.2">
      <c r="A139"/>
      <c r="S139" s="268">
        <v>41030</v>
      </c>
      <c r="T139">
        <v>3.7005000000000003</v>
      </c>
      <c r="U139">
        <v>0.17</v>
      </c>
      <c r="X139">
        <f t="shared" si="8"/>
        <v>-3.7005000000000003</v>
      </c>
      <c r="Y139">
        <f t="shared" si="9"/>
        <v>-0.17</v>
      </c>
    </row>
    <row r="140" spans="1:25" x14ac:dyDescent="0.2">
      <c r="A140"/>
      <c r="S140" s="268">
        <v>41061</v>
      </c>
      <c r="T140">
        <v>3.7324999999999999</v>
      </c>
      <c r="U140">
        <v>0.17</v>
      </c>
      <c r="X140">
        <f t="shared" si="8"/>
        <v>-3.7324999999999999</v>
      </c>
      <c r="Y140">
        <f t="shared" si="9"/>
        <v>-0.17</v>
      </c>
    </row>
    <row r="141" spans="1:25" x14ac:dyDescent="0.2">
      <c r="A141"/>
      <c r="S141" s="268">
        <v>41091</v>
      </c>
      <c r="T141">
        <v>3.7825000000000002</v>
      </c>
      <c r="U141">
        <v>0.17</v>
      </c>
      <c r="X141">
        <f t="shared" ref="X141:X204" si="10">AB141-T141</f>
        <v>-3.7825000000000002</v>
      </c>
      <c r="Y141">
        <f t="shared" ref="Y141:Y204" si="11">AC141-U141</f>
        <v>-0.17</v>
      </c>
    </row>
    <row r="142" spans="1:25" x14ac:dyDescent="0.2">
      <c r="A142"/>
      <c r="S142" s="268">
        <v>41122</v>
      </c>
      <c r="T142">
        <v>3.8165</v>
      </c>
      <c r="U142">
        <v>0.17</v>
      </c>
      <c r="X142">
        <f t="shared" si="10"/>
        <v>-3.8165</v>
      </c>
      <c r="Y142">
        <f t="shared" si="11"/>
        <v>-0.17</v>
      </c>
    </row>
    <row r="143" spans="1:25" x14ac:dyDescent="0.2">
      <c r="A143"/>
      <c r="S143" s="268">
        <v>41153</v>
      </c>
      <c r="T143">
        <v>3.8295000000000003</v>
      </c>
      <c r="U143">
        <v>0.17</v>
      </c>
      <c r="X143">
        <f t="shared" si="10"/>
        <v>-3.8295000000000003</v>
      </c>
      <c r="Y143">
        <f t="shared" si="11"/>
        <v>-0.17</v>
      </c>
    </row>
    <row r="144" spans="1:25" x14ac:dyDescent="0.2">
      <c r="A144"/>
      <c r="S144" s="268">
        <v>41183</v>
      </c>
      <c r="T144">
        <v>3.8285</v>
      </c>
      <c r="U144">
        <v>0.17</v>
      </c>
      <c r="X144">
        <f t="shared" si="10"/>
        <v>-3.8285</v>
      </c>
      <c r="Y144">
        <f t="shared" si="11"/>
        <v>-0.17</v>
      </c>
    </row>
    <row r="145" spans="1:25" x14ac:dyDescent="0.2">
      <c r="A145"/>
      <c r="S145" s="268">
        <v>41214</v>
      </c>
      <c r="T145">
        <v>3.9835000000000003</v>
      </c>
      <c r="U145">
        <v>0.17</v>
      </c>
      <c r="X145">
        <f t="shared" si="10"/>
        <v>-3.9835000000000003</v>
      </c>
      <c r="Y145">
        <f t="shared" si="11"/>
        <v>-0.17</v>
      </c>
    </row>
    <row r="146" spans="1:25" x14ac:dyDescent="0.2">
      <c r="A146"/>
      <c r="S146" s="268">
        <v>41244</v>
      </c>
      <c r="T146">
        <v>4.1485000000000003</v>
      </c>
      <c r="U146">
        <v>0.17</v>
      </c>
      <c r="X146">
        <f t="shared" si="10"/>
        <v>-4.1485000000000003</v>
      </c>
      <c r="Y146">
        <f t="shared" si="11"/>
        <v>-0.17</v>
      </c>
    </row>
    <row r="147" spans="1:25" x14ac:dyDescent="0.2">
      <c r="A147"/>
      <c r="S147" s="268">
        <v>41275</v>
      </c>
      <c r="T147">
        <v>4.2359999999999998</v>
      </c>
      <c r="U147">
        <v>0.17</v>
      </c>
      <c r="X147">
        <f t="shared" si="10"/>
        <v>-4.2359999999999998</v>
      </c>
      <c r="Y147">
        <f t="shared" si="11"/>
        <v>-0.17</v>
      </c>
    </row>
    <row r="148" spans="1:25" x14ac:dyDescent="0.2">
      <c r="A148"/>
      <c r="S148" s="268">
        <v>41306</v>
      </c>
      <c r="T148">
        <v>4.1219999999999999</v>
      </c>
      <c r="U148">
        <v>0.17</v>
      </c>
      <c r="X148">
        <f t="shared" si="10"/>
        <v>-4.1219999999999999</v>
      </c>
      <c r="Y148">
        <f t="shared" si="11"/>
        <v>-0.17</v>
      </c>
    </row>
    <row r="149" spans="1:25" x14ac:dyDescent="0.2">
      <c r="A149"/>
      <c r="S149" s="268">
        <v>41334</v>
      </c>
      <c r="T149">
        <v>3.99</v>
      </c>
      <c r="U149">
        <v>0.17</v>
      </c>
      <c r="X149">
        <f t="shared" si="10"/>
        <v>-3.99</v>
      </c>
      <c r="Y149">
        <f t="shared" si="11"/>
        <v>-0.17</v>
      </c>
    </row>
    <row r="150" spans="1:25" x14ac:dyDescent="0.2">
      <c r="A150"/>
      <c r="S150" s="268">
        <v>41365</v>
      </c>
      <c r="T150">
        <v>3.7920000000000003</v>
      </c>
      <c r="U150">
        <v>0.17</v>
      </c>
      <c r="X150">
        <f t="shared" si="10"/>
        <v>-3.7920000000000003</v>
      </c>
      <c r="Y150">
        <f t="shared" si="11"/>
        <v>-0.17</v>
      </c>
    </row>
    <row r="151" spans="1:25" x14ac:dyDescent="0.2">
      <c r="A151"/>
      <c r="S151" s="268">
        <v>41395</v>
      </c>
      <c r="T151">
        <v>3.7880000000000003</v>
      </c>
      <c r="U151">
        <v>0.17</v>
      </c>
      <c r="X151">
        <f t="shared" si="10"/>
        <v>-3.7880000000000003</v>
      </c>
      <c r="Y151">
        <f t="shared" si="11"/>
        <v>-0.17</v>
      </c>
    </row>
    <row r="152" spans="1:25" x14ac:dyDescent="0.2">
      <c r="A152"/>
      <c r="S152" s="268">
        <v>41426</v>
      </c>
      <c r="T152">
        <v>3.82</v>
      </c>
      <c r="U152">
        <v>0.17</v>
      </c>
      <c r="X152">
        <f t="shared" si="10"/>
        <v>-3.82</v>
      </c>
      <c r="Y152">
        <f t="shared" si="11"/>
        <v>-0.17</v>
      </c>
    </row>
    <row r="153" spans="1:25" x14ac:dyDescent="0.2">
      <c r="A153"/>
      <c r="S153" s="268">
        <v>41456</v>
      </c>
      <c r="T153">
        <v>3.87</v>
      </c>
      <c r="U153">
        <v>0.17</v>
      </c>
      <c r="X153">
        <f t="shared" si="10"/>
        <v>-3.87</v>
      </c>
      <c r="Y153">
        <f t="shared" si="11"/>
        <v>-0.17</v>
      </c>
    </row>
    <row r="154" spans="1:25" x14ac:dyDescent="0.2">
      <c r="A154"/>
      <c r="S154" s="268">
        <v>41487</v>
      </c>
      <c r="T154">
        <v>3.9040000000000004</v>
      </c>
      <c r="U154">
        <v>0.17</v>
      </c>
      <c r="X154">
        <f t="shared" si="10"/>
        <v>-3.9040000000000004</v>
      </c>
      <c r="Y154">
        <f t="shared" si="11"/>
        <v>-0.17</v>
      </c>
    </row>
    <row r="155" spans="1:25" x14ac:dyDescent="0.2">
      <c r="A155"/>
      <c r="S155" s="268">
        <v>41518</v>
      </c>
      <c r="T155">
        <v>3.9170000000000003</v>
      </c>
      <c r="U155">
        <v>0.17</v>
      </c>
      <c r="X155">
        <f t="shared" si="10"/>
        <v>-3.9170000000000003</v>
      </c>
      <c r="Y155">
        <f t="shared" si="11"/>
        <v>-0.17</v>
      </c>
    </row>
    <row r="156" spans="1:25" x14ac:dyDescent="0.2">
      <c r="A156"/>
      <c r="S156" s="268">
        <v>41548</v>
      </c>
      <c r="T156">
        <v>3.9160000000000004</v>
      </c>
      <c r="U156">
        <v>0.17</v>
      </c>
      <c r="X156">
        <f t="shared" si="10"/>
        <v>-3.9160000000000004</v>
      </c>
      <c r="Y156">
        <f t="shared" si="11"/>
        <v>-0.17</v>
      </c>
    </row>
    <row r="157" spans="1:25" x14ac:dyDescent="0.2">
      <c r="A157"/>
      <c r="S157" s="268">
        <v>41579</v>
      </c>
      <c r="T157">
        <v>4.0710000000000006</v>
      </c>
      <c r="U157">
        <v>0.17</v>
      </c>
      <c r="X157">
        <f t="shared" si="10"/>
        <v>-4.0710000000000006</v>
      </c>
      <c r="Y157">
        <f t="shared" si="11"/>
        <v>-0.17</v>
      </c>
    </row>
    <row r="158" spans="1:25" x14ac:dyDescent="0.2">
      <c r="A158"/>
      <c r="S158" s="268">
        <v>41609</v>
      </c>
      <c r="T158">
        <v>4.2359999999999998</v>
      </c>
      <c r="U158">
        <v>0.17</v>
      </c>
      <c r="X158">
        <f t="shared" si="10"/>
        <v>-4.2359999999999998</v>
      </c>
      <c r="Y158">
        <f t="shared" si="11"/>
        <v>-0.17</v>
      </c>
    </row>
    <row r="159" spans="1:25" x14ac:dyDescent="0.2">
      <c r="A159"/>
      <c r="S159" s="268">
        <v>41640</v>
      </c>
      <c r="T159">
        <v>4.3260000000000005</v>
      </c>
      <c r="U159">
        <v>0.17</v>
      </c>
      <c r="X159">
        <f t="shared" si="10"/>
        <v>-4.3260000000000005</v>
      </c>
      <c r="Y159">
        <f t="shared" si="11"/>
        <v>-0.17</v>
      </c>
    </row>
    <row r="160" spans="1:25" x14ac:dyDescent="0.2">
      <c r="A160"/>
      <c r="S160" s="268">
        <v>41671</v>
      </c>
      <c r="T160">
        <v>4.2120000000000006</v>
      </c>
      <c r="U160">
        <v>0.17</v>
      </c>
      <c r="X160">
        <f t="shared" si="10"/>
        <v>-4.2120000000000006</v>
      </c>
      <c r="Y160">
        <f t="shared" si="11"/>
        <v>-0.17</v>
      </c>
    </row>
    <row r="161" spans="1:25" x14ac:dyDescent="0.2">
      <c r="A161"/>
      <c r="S161" s="268">
        <v>41699</v>
      </c>
      <c r="T161">
        <v>4.08</v>
      </c>
      <c r="U161">
        <v>0.17</v>
      </c>
      <c r="X161">
        <f t="shared" si="10"/>
        <v>-4.08</v>
      </c>
      <c r="Y161">
        <f t="shared" si="11"/>
        <v>-0.17</v>
      </c>
    </row>
    <row r="162" spans="1:25" x14ac:dyDescent="0.2">
      <c r="A162"/>
      <c r="S162" s="268">
        <v>41730</v>
      </c>
      <c r="T162">
        <v>3.8820000000000001</v>
      </c>
      <c r="U162">
        <v>0.17</v>
      </c>
      <c r="X162">
        <f t="shared" si="10"/>
        <v>-3.8820000000000001</v>
      </c>
      <c r="Y162">
        <f t="shared" si="11"/>
        <v>-0.17</v>
      </c>
    </row>
    <row r="163" spans="1:25" x14ac:dyDescent="0.2">
      <c r="A163"/>
      <c r="S163" s="268">
        <v>41760</v>
      </c>
      <c r="T163">
        <v>3.8780000000000001</v>
      </c>
      <c r="U163">
        <v>0.17</v>
      </c>
      <c r="X163">
        <f t="shared" si="10"/>
        <v>-3.8780000000000001</v>
      </c>
      <c r="Y163">
        <f t="shared" si="11"/>
        <v>-0.17</v>
      </c>
    </row>
    <row r="164" spans="1:25" x14ac:dyDescent="0.2">
      <c r="A164"/>
      <c r="S164" s="268">
        <v>41791</v>
      </c>
      <c r="T164">
        <v>3.91</v>
      </c>
      <c r="U164">
        <v>0.17</v>
      </c>
      <c r="X164">
        <f t="shared" si="10"/>
        <v>-3.91</v>
      </c>
      <c r="Y164">
        <f t="shared" si="11"/>
        <v>-0.17</v>
      </c>
    </row>
    <row r="165" spans="1:25" x14ac:dyDescent="0.2">
      <c r="A165"/>
      <c r="S165" s="268">
        <v>41821</v>
      </c>
      <c r="T165">
        <v>3.96</v>
      </c>
      <c r="U165">
        <v>0.17</v>
      </c>
      <c r="X165">
        <f t="shared" si="10"/>
        <v>-3.96</v>
      </c>
      <c r="Y165">
        <f t="shared" si="11"/>
        <v>-0.17</v>
      </c>
    </row>
    <row r="166" spans="1:25" x14ac:dyDescent="0.2">
      <c r="A166"/>
      <c r="S166" s="268">
        <v>41852</v>
      </c>
      <c r="T166">
        <v>3.9940000000000002</v>
      </c>
      <c r="U166">
        <v>0.17</v>
      </c>
      <c r="X166">
        <f t="shared" si="10"/>
        <v>-3.9940000000000002</v>
      </c>
      <c r="Y166">
        <f t="shared" si="11"/>
        <v>-0.17</v>
      </c>
    </row>
    <row r="167" spans="1:25" x14ac:dyDescent="0.2">
      <c r="A167"/>
      <c r="S167" s="268">
        <v>41883</v>
      </c>
      <c r="T167">
        <v>4.0070000000000006</v>
      </c>
      <c r="U167">
        <v>0.17</v>
      </c>
      <c r="X167">
        <f t="shared" si="10"/>
        <v>-4.0070000000000006</v>
      </c>
      <c r="Y167">
        <f t="shared" si="11"/>
        <v>-0.17</v>
      </c>
    </row>
    <row r="168" spans="1:25" x14ac:dyDescent="0.2">
      <c r="A168"/>
      <c r="S168" s="268">
        <v>41913</v>
      </c>
      <c r="T168">
        <v>4.0060000000000002</v>
      </c>
      <c r="U168">
        <v>0.17</v>
      </c>
      <c r="X168">
        <f t="shared" si="10"/>
        <v>-4.0060000000000002</v>
      </c>
      <c r="Y168">
        <f t="shared" si="11"/>
        <v>-0.17</v>
      </c>
    </row>
    <row r="169" spans="1:25" x14ac:dyDescent="0.2">
      <c r="A169"/>
      <c r="S169" s="268">
        <v>41944</v>
      </c>
      <c r="T169">
        <v>4.1610000000000005</v>
      </c>
      <c r="U169">
        <v>0.17</v>
      </c>
      <c r="X169">
        <f t="shared" si="10"/>
        <v>-4.1610000000000005</v>
      </c>
      <c r="Y169">
        <f t="shared" si="11"/>
        <v>-0.17</v>
      </c>
    </row>
    <row r="170" spans="1:25" x14ac:dyDescent="0.2">
      <c r="A170"/>
      <c r="S170" s="268">
        <v>41974</v>
      </c>
      <c r="T170">
        <v>4.3260000000000005</v>
      </c>
      <c r="U170">
        <v>0.17</v>
      </c>
      <c r="X170">
        <f t="shared" si="10"/>
        <v>-4.3260000000000005</v>
      </c>
      <c r="Y170">
        <f t="shared" si="11"/>
        <v>-0.17</v>
      </c>
    </row>
    <row r="171" spans="1:25" x14ac:dyDescent="0.2">
      <c r="A171"/>
      <c r="S171" s="268">
        <v>42005</v>
      </c>
      <c r="T171">
        <v>4.4160000000000004</v>
      </c>
      <c r="U171">
        <v>0.17</v>
      </c>
      <c r="X171">
        <f t="shared" si="10"/>
        <v>-4.4160000000000004</v>
      </c>
      <c r="Y171">
        <f t="shared" si="11"/>
        <v>-0.17</v>
      </c>
    </row>
    <row r="172" spans="1:25" x14ac:dyDescent="0.2">
      <c r="A172"/>
      <c r="S172" s="268">
        <v>42036</v>
      </c>
      <c r="T172">
        <v>4.3020000000000005</v>
      </c>
      <c r="U172">
        <v>0.17</v>
      </c>
      <c r="X172">
        <f t="shared" si="10"/>
        <v>-4.3020000000000005</v>
      </c>
      <c r="Y172">
        <f t="shared" si="11"/>
        <v>-0.17</v>
      </c>
    </row>
    <row r="173" spans="1:25" x14ac:dyDescent="0.2">
      <c r="A173"/>
      <c r="S173" s="268">
        <v>42064</v>
      </c>
      <c r="T173">
        <v>4.17</v>
      </c>
      <c r="U173">
        <v>0.17</v>
      </c>
      <c r="X173">
        <f t="shared" si="10"/>
        <v>-4.17</v>
      </c>
      <c r="Y173">
        <f t="shared" si="11"/>
        <v>-0.17</v>
      </c>
    </row>
    <row r="174" spans="1:25" x14ac:dyDescent="0.2">
      <c r="A174"/>
      <c r="S174" s="268">
        <v>42095</v>
      </c>
      <c r="T174">
        <v>3.972</v>
      </c>
      <c r="U174">
        <v>0.17</v>
      </c>
      <c r="X174">
        <f t="shared" si="10"/>
        <v>-3.972</v>
      </c>
      <c r="Y174">
        <f t="shared" si="11"/>
        <v>-0.17</v>
      </c>
    </row>
    <row r="175" spans="1:25" x14ac:dyDescent="0.2">
      <c r="A175"/>
      <c r="S175" s="268">
        <v>42125</v>
      </c>
      <c r="T175">
        <v>3.968</v>
      </c>
      <c r="U175">
        <v>0.17</v>
      </c>
      <c r="X175">
        <f t="shared" si="10"/>
        <v>-3.968</v>
      </c>
      <c r="Y175">
        <f t="shared" si="11"/>
        <v>-0.17</v>
      </c>
    </row>
    <row r="176" spans="1:25" x14ac:dyDescent="0.2">
      <c r="A176"/>
      <c r="S176" s="268">
        <v>42156</v>
      </c>
      <c r="T176">
        <v>4</v>
      </c>
      <c r="U176">
        <v>0.17</v>
      </c>
      <c r="X176">
        <f t="shared" si="10"/>
        <v>-4</v>
      </c>
      <c r="Y176">
        <f t="shared" si="11"/>
        <v>-0.17</v>
      </c>
    </row>
    <row r="177" spans="1:25" x14ac:dyDescent="0.2">
      <c r="A177"/>
      <c r="S177" s="268">
        <v>42186</v>
      </c>
      <c r="T177">
        <v>4.05</v>
      </c>
      <c r="U177">
        <v>0.17</v>
      </c>
      <c r="X177">
        <f t="shared" si="10"/>
        <v>-4.05</v>
      </c>
      <c r="Y177">
        <f t="shared" si="11"/>
        <v>-0.17</v>
      </c>
    </row>
    <row r="178" spans="1:25" x14ac:dyDescent="0.2">
      <c r="A178"/>
      <c r="S178" s="268">
        <v>42217</v>
      </c>
      <c r="T178">
        <v>4.0840000000000005</v>
      </c>
      <c r="U178">
        <v>0.17</v>
      </c>
      <c r="X178">
        <f t="shared" si="10"/>
        <v>-4.0840000000000005</v>
      </c>
      <c r="Y178">
        <f t="shared" si="11"/>
        <v>-0.17</v>
      </c>
    </row>
    <row r="179" spans="1:25" x14ac:dyDescent="0.2">
      <c r="A179"/>
      <c r="S179" s="268">
        <v>42248</v>
      </c>
      <c r="T179">
        <v>4.0970000000000004</v>
      </c>
      <c r="U179">
        <v>0.17</v>
      </c>
      <c r="X179">
        <f t="shared" si="10"/>
        <v>-4.0970000000000004</v>
      </c>
      <c r="Y179">
        <f t="shared" si="11"/>
        <v>-0.17</v>
      </c>
    </row>
    <row r="180" spans="1:25" x14ac:dyDescent="0.2">
      <c r="A180"/>
      <c r="S180" s="268">
        <v>42278</v>
      </c>
      <c r="T180">
        <v>4.0960000000000001</v>
      </c>
      <c r="U180">
        <v>0.17</v>
      </c>
      <c r="X180">
        <f t="shared" si="10"/>
        <v>-4.0960000000000001</v>
      </c>
      <c r="Y180">
        <f t="shared" si="11"/>
        <v>-0.17</v>
      </c>
    </row>
    <row r="181" spans="1:25" x14ac:dyDescent="0.2">
      <c r="A181"/>
      <c r="S181" s="268">
        <v>42309</v>
      </c>
      <c r="T181">
        <v>4.2510000000000003</v>
      </c>
      <c r="U181">
        <v>0.17</v>
      </c>
      <c r="X181">
        <f t="shared" si="10"/>
        <v>-4.2510000000000003</v>
      </c>
      <c r="Y181">
        <f t="shared" si="11"/>
        <v>-0.17</v>
      </c>
    </row>
    <row r="182" spans="1:25" x14ac:dyDescent="0.2">
      <c r="A182"/>
      <c r="S182" s="268">
        <v>42339</v>
      </c>
      <c r="T182">
        <v>4.4160000000000004</v>
      </c>
      <c r="U182">
        <v>0.17</v>
      </c>
      <c r="X182">
        <f t="shared" si="10"/>
        <v>-4.4160000000000004</v>
      </c>
      <c r="Y182">
        <f t="shared" si="11"/>
        <v>-0.17</v>
      </c>
    </row>
    <row r="183" spans="1:25" x14ac:dyDescent="0.2">
      <c r="A183"/>
      <c r="S183" s="268">
        <v>42370</v>
      </c>
      <c r="T183">
        <v>4.5060000000000002</v>
      </c>
      <c r="U183">
        <v>0.17</v>
      </c>
      <c r="X183">
        <f t="shared" si="10"/>
        <v>-4.5060000000000002</v>
      </c>
      <c r="Y183">
        <f t="shared" si="11"/>
        <v>-0.17</v>
      </c>
    </row>
    <row r="184" spans="1:25" x14ac:dyDescent="0.2">
      <c r="A184"/>
      <c r="S184" s="268">
        <v>42401</v>
      </c>
      <c r="T184">
        <v>4.3920000000000003</v>
      </c>
      <c r="U184">
        <v>0.17</v>
      </c>
      <c r="X184">
        <f t="shared" si="10"/>
        <v>-4.3920000000000003</v>
      </c>
      <c r="Y184">
        <f t="shared" si="11"/>
        <v>-0.17</v>
      </c>
    </row>
    <row r="185" spans="1:25" x14ac:dyDescent="0.2">
      <c r="A185"/>
      <c r="S185" s="268">
        <v>42430</v>
      </c>
      <c r="T185">
        <v>4.26</v>
      </c>
      <c r="U185">
        <v>0.17</v>
      </c>
      <c r="X185">
        <f t="shared" si="10"/>
        <v>-4.26</v>
      </c>
      <c r="Y185">
        <f t="shared" si="11"/>
        <v>-0.17</v>
      </c>
    </row>
    <row r="186" spans="1:25" x14ac:dyDescent="0.2">
      <c r="A186"/>
      <c r="S186" s="268">
        <v>42461</v>
      </c>
      <c r="T186">
        <v>4.0620000000000003</v>
      </c>
      <c r="U186">
        <v>0.17</v>
      </c>
      <c r="X186">
        <f t="shared" si="10"/>
        <v>-4.0620000000000003</v>
      </c>
      <c r="Y186">
        <f t="shared" si="11"/>
        <v>-0.17</v>
      </c>
    </row>
    <row r="187" spans="1:25" x14ac:dyDescent="0.2">
      <c r="A187"/>
      <c r="S187" s="268">
        <v>42491</v>
      </c>
      <c r="T187">
        <v>4.0579999999999998</v>
      </c>
      <c r="U187">
        <v>0.17</v>
      </c>
      <c r="X187">
        <f t="shared" si="10"/>
        <v>-4.0579999999999998</v>
      </c>
      <c r="Y187">
        <f t="shared" si="11"/>
        <v>-0.17</v>
      </c>
    </row>
    <row r="188" spans="1:25" x14ac:dyDescent="0.2">
      <c r="A188"/>
      <c r="S188" s="268">
        <v>42522</v>
      </c>
      <c r="T188">
        <v>4.09</v>
      </c>
      <c r="U188">
        <v>0.17</v>
      </c>
      <c r="X188">
        <f t="shared" si="10"/>
        <v>-4.09</v>
      </c>
      <c r="Y188">
        <f t="shared" si="11"/>
        <v>-0.17</v>
      </c>
    </row>
    <row r="189" spans="1:25" x14ac:dyDescent="0.2">
      <c r="A189"/>
      <c r="S189" s="268">
        <v>42552</v>
      </c>
      <c r="T189">
        <v>4.1399999999999997</v>
      </c>
      <c r="U189">
        <v>0.17</v>
      </c>
      <c r="X189">
        <f t="shared" si="10"/>
        <v>-4.1399999999999997</v>
      </c>
      <c r="Y189">
        <f t="shared" si="11"/>
        <v>-0.17</v>
      </c>
    </row>
    <row r="190" spans="1:25" x14ac:dyDescent="0.2">
      <c r="A190"/>
      <c r="S190" s="268">
        <v>42583</v>
      </c>
      <c r="T190">
        <v>4.1740000000000004</v>
      </c>
      <c r="U190">
        <v>0.17</v>
      </c>
      <c r="X190">
        <f t="shared" si="10"/>
        <v>-4.1740000000000004</v>
      </c>
      <c r="Y190">
        <f t="shared" si="11"/>
        <v>-0.17</v>
      </c>
    </row>
    <row r="191" spans="1:25" x14ac:dyDescent="0.2">
      <c r="A191"/>
      <c r="S191" s="268">
        <v>42614</v>
      </c>
      <c r="T191">
        <v>4.1870000000000003</v>
      </c>
      <c r="U191">
        <v>0.17</v>
      </c>
      <c r="X191">
        <f t="shared" si="10"/>
        <v>-4.1870000000000003</v>
      </c>
      <c r="Y191">
        <f t="shared" si="11"/>
        <v>-0.17</v>
      </c>
    </row>
    <row r="192" spans="1:25" x14ac:dyDescent="0.2">
      <c r="A192"/>
      <c r="S192" s="268">
        <v>42644</v>
      </c>
      <c r="T192">
        <v>4.1859999999999999</v>
      </c>
      <c r="U192">
        <v>0.17</v>
      </c>
      <c r="X192">
        <f t="shared" si="10"/>
        <v>-4.1859999999999999</v>
      </c>
      <c r="Y192">
        <f t="shared" si="11"/>
        <v>-0.17</v>
      </c>
    </row>
    <row r="193" spans="1:25" x14ac:dyDescent="0.2">
      <c r="A193"/>
      <c r="S193" s="268">
        <v>42675</v>
      </c>
      <c r="T193">
        <v>4.3410000000000002</v>
      </c>
      <c r="U193">
        <v>0.17</v>
      </c>
      <c r="X193">
        <f t="shared" si="10"/>
        <v>-4.3410000000000002</v>
      </c>
      <c r="Y193">
        <f t="shared" si="11"/>
        <v>-0.17</v>
      </c>
    </row>
    <row r="194" spans="1:25" x14ac:dyDescent="0.2">
      <c r="A194"/>
      <c r="S194" s="268">
        <v>42705</v>
      </c>
      <c r="T194">
        <v>4.5060000000000002</v>
      </c>
      <c r="U194">
        <v>0.17</v>
      </c>
      <c r="X194">
        <f t="shared" si="10"/>
        <v>-4.5060000000000002</v>
      </c>
      <c r="Y194">
        <f t="shared" si="11"/>
        <v>-0.17</v>
      </c>
    </row>
    <row r="195" spans="1:25" x14ac:dyDescent="0.2">
      <c r="A195"/>
      <c r="S195" s="268">
        <v>42736</v>
      </c>
      <c r="T195">
        <v>4.5960000000000001</v>
      </c>
      <c r="U195">
        <v>0.17</v>
      </c>
      <c r="X195">
        <f t="shared" si="10"/>
        <v>-4.5960000000000001</v>
      </c>
      <c r="Y195">
        <f t="shared" si="11"/>
        <v>-0.17</v>
      </c>
    </row>
    <row r="196" spans="1:25" x14ac:dyDescent="0.2">
      <c r="A196"/>
      <c r="S196" s="268">
        <v>42767</v>
      </c>
      <c r="T196">
        <v>4.4820000000000002</v>
      </c>
      <c r="U196">
        <v>0.17</v>
      </c>
      <c r="X196">
        <f t="shared" si="10"/>
        <v>-4.4820000000000002</v>
      </c>
      <c r="Y196">
        <f t="shared" si="11"/>
        <v>-0.17</v>
      </c>
    </row>
    <row r="197" spans="1:25" x14ac:dyDescent="0.2">
      <c r="A197"/>
      <c r="S197" s="268">
        <v>42795</v>
      </c>
      <c r="T197">
        <v>4.3499999999999996</v>
      </c>
      <c r="U197">
        <v>0.17</v>
      </c>
      <c r="X197">
        <f t="shared" si="10"/>
        <v>-4.3499999999999996</v>
      </c>
      <c r="Y197">
        <f t="shared" si="11"/>
        <v>-0.17</v>
      </c>
    </row>
    <row r="198" spans="1:25" x14ac:dyDescent="0.2">
      <c r="A198"/>
      <c r="S198" s="268">
        <v>42826</v>
      </c>
      <c r="T198">
        <v>4.1520000000000001</v>
      </c>
      <c r="U198">
        <v>0.17</v>
      </c>
      <c r="X198">
        <f t="shared" si="10"/>
        <v>-4.1520000000000001</v>
      </c>
      <c r="Y198">
        <f t="shared" si="11"/>
        <v>-0.17</v>
      </c>
    </row>
    <row r="199" spans="1:25" x14ac:dyDescent="0.2">
      <c r="A199"/>
      <c r="S199" s="268">
        <v>42856</v>
      </c>
      <c r="T199">
        <v>4.1480000000000006</v>
      </c>
      <c r="U199">
        <v>0.17</v>
      </c>
      <c r="X199">
        <f t="shared" si="10"/>
        <v>-4.1480000000000006</v>
      </c>
      <c r="Y199">
        <f t="shared" si="11"/>
        <v>-0.17</v>
      </c>
    </row>
    <row r="200" spans="1:25" x14ac:dyDescent="0.2">
      <c r="A200"/>
      <c r="S200" s="268">
        <v>42887</v>
      </c>
      <c r="T200">
        <v>4.18</v>
      </c>
      <c r="U200">
        <v>0.17</v>
      </c>
      <c r="X200">
        <f t="shared" si="10"/>
        <v>-4.18</v>
      </c>
      <c r="Y200">
        <f t="shared" si="11"/>
        <v>-0.17</v>
      </c>
    </row>
    <row r="201" spans="1:25" x14ac:dyDescent="0.2">
      <c r="A201"/>
      <c r="S201" s="268">
        <v>42917</v>
      </c>
      <c r="T201">
        <v>4.2300000000000004</v>
      </c>
      <c r="U201">
        <v>0.17</v>
      </c>
      <c r="X201">
        <f t="shared" si="10"/>
        <v>-4.2300000000000004</v>
      </c>
      <c r="Y201">
        <f t="shared" si="11"/>
        <v>-0.17</v>
      </c>
    </row>
    <row r="202" spans="1:25" x14ac:dyDescent="0.2">
      <c r="A202"/>
      <c r="S202" s="268">
        <v>42948</v>
      </c>
      <c r="T202">
        <v>4.2640000000000002</v>
      </c>
      <c r="U202">
        <v>0.17</v>
      </c>
      <c r="X202">
        <f t="shared" si="10"/>
        <v>-4.2640000000000002</v>
      </c>
      <c r="Y202">
        <f t="shared" si="11"/>
        <v>-0.17</v>
      </c>
    </row>
    <row r="203" spans="1:25" x14ac:dyDescent="0.2">
      <c r="A203"/>
      <c r="S203" s="268">
        <v>42979</v>
      </c>
      <c r="T203">
        <v>4.2770000000000001</v>
      </c>
      <c r="U203">
        <v>0.17</v>
      </c>
      <c r="X203">
        <f t="shared" si="10"/>
        <v>-4.2770000000000001</v>
      </c>
      <c r="Y203">
        <f t="shared" si="11"/>
        <v>-0.17</v>
      </c>
    </row>
    <row r="204" spans="1:25" x14ac:dyDescent="0.2">
      <c r="A204"/>
      <c r="S204" s="268">
        <v>43009</v>
      </c>
      <c r="T204">
        <v>4.2759999999999998</v>
      </c>
      <c r="U204">
        <v>0.17</v>
      </c>
      <c r="X204">
        <f t="shared" si="10"/>
        <v>-4.2759999999999998</v>
      </c>
      <c r="Y204">
        <f t="shared" si="11"/>
        <v>-0.17</v>
      </c>
    </row>
    <row r="205" spans="1:25" x14ac:dyDescent="0.2">
      <c r="A205"/>
      <c r="S205" s="268">
        <v>43040</v>
      </c>
      <c r="T205">
        <v>4.431</v>
      </c>
      <c r="U205">
        <v>0.17</v>
      </c>
      <c r="X205">
        <f t="shared" ref="X205:X268" si="12">AB205-T205</f>
        <v>-4.431</v>
      </c>
      <c r="Y205">
        <f t="shared" ref="Y205:Y268" si="13">AC205-U205</f>
        <v>-0.17</v>
      </c>
    </row>
    <row r="206" spans="1:25" x14ac:dyDescent="0.2">
      <c r="A206"/>
      <c r="S206" s="268">
        <v>43070</v>
      </c>
      <c r="T206">
        <v>4.5960000000000001</v>
      </c>
      <c r="U206">
        <v>0.17</v>
      </c>
      <c r="X206">
        <f t="shared" si="12"/>
        <v>-4.5960000000000001</v>
      </c>
      <c r="Y206">
        <f t="shared" si="13"/>
        <v>-0.17</v>
      </c>
    </row>
    <row r="207" spans="1:25" x14ac:dyDescent="0.2">
      <c r="A207"/>
      <c r="S207" s="268">
        <v>43101</v>
      </c>
      <c r="T207">
        <v>4.6859999999999999</v>
      </c>
      <c r="U207">
        <v>0.17</v>
      </c>
      <c r="X207">
        <f t="shared" si="12"/>
        <v>-4.6859999999999999</v>
      </c>
      <c r="Y207">
        <f t="shared" si="13"/>
        <v>-0.17</v>
      </c>
    </row>
    <row r="208" spans="1:25" x14ac:dyDescent="0.2">
      <c r="A208"/>
      <c r="S208" s="268">
        <v>43132</v>
      </c>
      <c r="T208">
        <v>4.5720000000000001</v>
      </c>
      <c r="U208">
        <v>0.17</v>
      </c>
      <c r="X208">
        <f t="shared" si="12"/>
        <v>-4.5720000000000001</v>
      </c>
      <c r="Y208">
        <f t="shared" si="13"/>
        <v>-0.17</v>
      </c>
    </row>
    <row r="209" spans="1:25" x14ac:dyDescent="0.2">
      <c r="A209"/>
      <c r="S209" s="268">
        <v>43160</v>
      </c>
      <c r="T209">
        <v>4.4400000000000004</v>
      </c>
      <c r="U209">
        <v>0.17</v>
      </c>
      <c r="X209">
        <f t="shared" si="12"/>
        <v>-4.4400000000000004</v>
      </c>
      <c r="Y209">
        <f t="shared" si="13"/>
        <v>-0.17</v>
      </c>
    </row>
    <row r="210" spans="1:25" x14ac:dyDescent="0.2">
      <c r="A210"/>
      <c r="S210" s="268">
        <v>43191</v>
      </c>
      <c r="T210">
        <v>4.242</v>
      </c>
      <c r="U210">
        <v>0.17</v>
      </c>
      <c r="X210">
        <f t="shared" si="12"/>
        <v>-4.242</v>
      </c>
      <c r="Y210">
        <f t="shared" si="13"/>
        <v>-0.17</v>
      </c>
    </row>
    <row r="211" spans="1:25" x14ac:dyDescent="0.2">
      <c r="A211"/>
      <c r="S211" s="268">
        <v>43221</v>
      </c>
      <c r="T211">
        <v>4.2380000000000004</v>
      </c>
      <c r="U211">
        <v>0.17</v>
      </c>
      <c r="X211">
        <f t="shared" si="12"/>
        <v>-4.2380000000000004</v>
      </c>
      <c r="Y211">
        <f t="shared" si="13"/>
        <v>-0.17</v>
      </c>
    </row>
    <row r="212" spans="1:25" x14ac:dyDescent="0.2">
      <c r="A212"/>
      <c r="S212" s="268">
        <v>43252</v>
      </c>
      <c r="T212">
        <v>4.2699999999999996</v>
      </c>
      <c r="U212">
        <v>0.17</v>
      </c>
      <c r="X212">
        <f t="shared" si="12"/>
        <v>-4.2699999999999996</v>
      </c>
      <c r="Y212">
        <f t="shared" si="13"/>
        <v>-0.17</v>
      </c>
    </row>
    <row r="213" spans="1:25" x14ac:dyDescent="0.2">
      <c r="A213"/>
      <c r="S213" s="268">
        <v>43282</v>
      </c>
      <c r="T213">
        <v>4.32</v>
      </c>
      <c r="U213">
        <v>0.17</v>
      </c>
      <c r="X213">
        <f t="shared" si="12"/>
        <v>-4.32</v>
      </c>
      <c r="Y213">
        <f t="shared" si="13"/>
        <v>-0.17</v>
      </c>
    </row>
    <row r="214" spans="1:25" x14ac:dyDescent="0.2">
      <c r="A214"/>
      <c r="S214" s="268">
        <v>43313</v>
      </c>
      <c r="T214">
        <v>4.3540000000000001</v>
      </c>
      <c r="U214">
        <v>0.17</v>
      </c>
      <c r="X214">
        <f t="shared" si="12"/>
        <v>-4.3540000000000001</v>
      </c>
      <c r="Y214">
        <f t="shared" si="13"/>
        <v>-0.17</v>
      </c>
    </row>
    <row r="215" spans="1:25" x14ac:dyDescent="0.2">
      <c r="A215"/>
      <c r="S215" s="268">
        <v>43344</v>
      </c>
      <c r="T215">
        <v>4.367</v>
      </c>
      <c r="U215">
        <v>0.17</v>
      </c>
      <c r="X215">
        <f t="shared" si="12"/>
        <v>-4.367</v>
      </c>
      <c r="Y215">
        <f t="shared" si="13"/>
        <v>-0.17</v>
      </c>
    </row>
    <row r="216" spans="1:25" x14ac:dyDescent="0.2">
      <c r="A216"/>
      <c r="S216" s="268">
        <v>43374</v>
      </c>
      <c r="T216">
        <v>4.3660000000000005</v>
      </c>
      <c r="U216">
        <v>0.17</v>
      </c>
      <c r="X216">
        <f t="shared" si="12"/>
        <v>-4.3660000000000005</v>
      </c>
      <c r="Y216">
        <f t="shared" si="13"/>
        <v>-0.17</v>
      </c>
    </row>
    <row r="217" spans="1:25" x14ac:dyDescent="0.2">
      <c r="A217"/>
      <c r="S217" s="268">
        <v>43405</v>
      </c>
      <c r="T217">
        <v>4.5209999999999999</v>
      </c>
      <c r="U217">
        <v>0.17</v>
      </c>
      <c r="X217">
        <f t="shared" si="12"/>
        <v>-4.5209999999999999</v>
      </c>
      <c r="Y217">
        <f t="shared" si="13"/>
        <v>-0.17</v>
      </c>
    </row>
    <row r="218" spans="1:25" x14ac:dyDescent="0.2">
      <c r="A218"/>
      <c r="S218" s="268">
        <v>43435</v>
      </c>
      <c r="T218">
        <v>4.6859999999999999</v>
      </c>
      <c r="U218">
        <v>0.17</v>
      </c>
      <c r="X218">
        <f t="shared" si="12"/>
        <v>-4.6859999999999999</v>
      </c>
      <c r="Y218">
        <f t="shared" si="13"/>
        <v>-0.17</v>
      </c>
    </row>
    <row r="219" spans="1:25" x14ac:dyDescent="0.2">
      <c r="A219"/>
      <c r="S219" s="268">
        <v>43466</v>
      </c>
      <c r="T219">
        <v>4.7759999999999998</v>
      </c>
      <c r="U219">
        <v>0.17</v>
      </c>
      <c r="X219">
        <f t="shared" si="12"/>
        <v>-4.7759999999999998</v>
      </c>
      <c r="Y219">
        <f t="shared" si="13"/>
        <v>-0.17</v>
      </c>
    </row>
    <row r="220" spans="1:25" x14ac:dyDescent="0.2">
      <c r="A220"/>
      <c r="S220" s="268">
        <v>43497</v>
      </c>
      <c r="T220">
        <v>4.6619999999999999</v>
      </c>
      <c r="U220">
        <v>0.17</v>
      </c>
      <c r="X220">
        <f t="shared" si="12"/>
        <v>-4.6619999999999999</v>
      </c>
      <c r="Y220">
        <f t="shared" si="13"/>
        <v>-0.17</v>
      </c>
    </row>
    <row r="221" spans="1:25" x14ac:dyDescent="0.2">
      <c r="A221"/>
      <c r="S221" s="268">
        <v>43525</v>
      </c>
      <c r="T221">
        <v>4.53</v>
      </c>
      <c r="U221">
        <v>0.17</v>
      </c>
      <c r="X221">
        <f t="shared" si="12"/>
        <v>-4.53</v>
      </c>
      <c r="Y221">
        <f t="shared" si="13"/>
        <v>-0.17</v>
      </c>
    </row>
    <row r="222" spans="1:25" x14ac:dyDescent="0.2">
      <c r="A222"/>
      <c r="S222" s="268">
        <v>43556</v>
      </c>
      <c r="T222">
        <v>4.3319999999999999</v>
      </c>
      <c r="U222">
        <v>0.17</v>
      </c>
      <c r="X222">
        <f t="shared" si="12"/>
        <v>-4.3319999999999999</v>
      </c>
      <c r="Y222">
        <f t="shared" si="13"/>
        <v>-0.17</v>
      </c>
    </row>
    <row r="223" spans="1:25" x14ac:dyDescent="0.2">
      <c r="A223"/>
      <c r="S223" s="268">
        <v>43586</v>
      </c>
      <c r="T223">
        <v>4.3280000000000003</v>
      </c>
      <c r="U223">
        <v>0.17</v>
      </c>
      <c r="X223">
        <f t="shared" si="12"/>
        <v>-4.3280000000000003</v>
      </c>
      <c r="Y223">
        <f t="shared" si="13"/>
        <v>-0.17</v>
      </c>
    </row>
    <row r="224" spans="1:25" x14ac:dyDescent="0.2">
      <c r="A224"/>
      <c r="S224" s="268">
        <v>43617</v>
      </c>
      <c r="T224">
        <v>4.3600000000000003</v>
      </c>
      <c r="U224">
        <v>0.17</v>
      </c>
      <c r="X224">
        <f t="shared" si="12"/>
        <v>-4.3600000000000003</v>
      </c>
      <c r="Y224">
        <f t="shared" si="13"/>
        <v>-0.17</v>
      </c>
    </row>
    <row r="225" spans="1:25" x14ac:dyDescent="0.2">
      <c r="A225"/>
      <c r="S225" s="268">
        <v>43647</v>
      </c>
      <c r="T225">
        <v>4.41</v>
      </c>
      <c r="U225">
        <v>0.17</v>
      </c>
      <c r="X225">
        <f t="shared" si="12"/>
        <v>-4.41</v>
      </c>
      <c r="Y225">
        <f t="shared" si="13"/>
        <v>-0.17</v>
      </c>
    </row>
    <row r="226" spans="1:25" x14ac:dyDescent="0.2">
      <c r="A226"/>
      <c r="S226" s="268">
        <v>43678</v>
      </c>
      <c r="T226">
        <v>4.444</v>
      </c>
      <c r="U226">
        <v>0.17</v>
      </c>
      <c r="X226">
        <f t="shared" si="12"/>
        <v>-4.444</v>
      </c>
      <c r="Y226">
        <f t="shared" si="13"/>
        <v>-0.17</v>
      </c>
    </row>
    <row r="227" spans="1:25" x14ac:dyDescent="0.2">
      <c r="A227"/>
      <c r="S227" s="268">
        <v>43709</v>
      </c>
      <c r="T227">
        <v>4.4569999999999999</v>
      </c>
      <c r="U227">
        <v>0.17</v>
      </c>
      <c r="X227">
        <f t="shared" si="12"/>
        <v>-4.4569999999999999</v>
      </c>
      <c r="Y227">
        <f t="shared" si="13"/>
        <v>-0.17</v>
      </c>
    </row>
    <row r="228" spans="1:25" x14ac:dyDescent="0.2">
      <c r="A228"/>
      <c r="S228" s="268">
        <v>43739</v>
      </c>
      <c r="T228">
        <v>4.4560000000000004</v>
      </c>
      <c r="U228">
        <v>0.17</v>
      </c>
      <c r="X228">
        <f t="shared" si="12"/>
        <v>-4.4560000000000004</v>
      </c>
      <c r="Y228">
        <f t="shared" si="13"/>
        <v>-0.17</v>
      </c>
    </row>
    <row r="229" spans="1:25" x14ac:dyDescent="0.2">
      <c r="A229"/>
      <c r="S229" s="268">
        <v>43770</v>
      </c>
      <c r="T229">
        <v>4.6110000000000007</v>
      </c>
      <c r="U229">
        <v>0.17</v>
      </c>
      <c r="X229">
        <f t="shared" si="12"/>
        <v>-4.6110000000000007</v>
      </c>
      <c r="Y229">
        <f t="shared" si="13"/>
        <v>-0.17</v>
      </c>
    </row>
    <row r="230" spans="1:25" x14ac:dyDescent="0.2">
      <c r="A230"/>
      <c r="S230" s="268">
        <v>43800</v>
      </c>
      <c r="T230">
        <v>4.7759999999999998</v>
      </c>
      <c r="U230">
        <v>0.17</v>
      </c>
      <c r="X230">
        <f t="shared" si="12"/>
        <v>-4.7759999999999998</v>
      </c>
      <c r="Y230">
        <f t="shared" si="13"/>
        <v>-0.17</v>
      </c>
    </row>
    <row r="231" spans="1:25" x14ac:dyDescent="0.2">
      <c r="A231"/>
      <c r="S231" s="268">
        <v>43831</v>
      </c>
      <c r="T231">
        <v>4.8660000000000005</v>
      </c>
      <c r="U231">
        <v>0.17</v>
      </c>
      <c r="X231">
        <f t="shared" si="12"/>
        <v>-4.8660000000000005</v>
      </c>
      <c r="Y231">
        <f t="shared" si="13"/>
        <v>-0.17</v>
      </c>
    </row>
    <row r="232" spans="1:25" x14ac:dyDescent="0.2">
      <c r="A232"/>
      <c r="S232" s="268">
        <v>43862</v>
      </c>
      <c r="T232">
        <v>4.7520000000000007</v>
      </c>
      <c r="U232">
        <v>0.17</v>
      </c>
      <c r="X232">
        <f t="shared" si="12"/>
        <v>-4.7520000000000007</v>
      </c>
      <c r="Y232">
        <f t="shared" si="13"/>
        <v>-0.17</v>
      </c>
    </row>
    <row r="233" spans="1:25" x14ac:dyDescent="0.2">
      <c r="A233"/>
      <c r="S233" s="268">
        <v>43891</v>
      </c>
      <c r="T233">
        <v>4.62</v>
      </c>
      <c r="U233">
        <v>0.17</v>
      </c>
      <c r="X233">
        <f t="shared" si="12"/>
        <v>-4.62</v>
      </c>
      <c r="Y233">
        <f t="shared" si="13"/>
        <v>-0.17</v>
      </c>
    </row>
    <row r="234" spans="1:25" x14ac:dyDescent="0.2">
      <c r="A234"/>
      <c r="S234" s="268">
        <v>43922</v>
      </c>
      <c r="T234">
        <v>4.4220000000000006</v>
      </c>
      <c r="U234">
        <v>0.17</v>
      </c>
      <c r="X234">
        <f t="shared" si="12"/>
        <v>-4.4220000000000006</v>
      </c>
      <c r="Y234">
        <f t="shared" si="13"/>
        <v>-0.17</v>
      </c>
    </row>
    <row r="235" spans="1:25" x14ac:dyDescent="0.2">
      <c r="A235"/>
      <c r="S235" s="268">
        <v>43952</v>
      </c>
      <c r="T235">
        <v>4.4180000000000001</v>
      </c>
      <c r="U235">
        <v>0.17</v>
      </c>
      <c r="X235">
        <f t="shared" si="12"/>
        <v>-4.4180000000000001</v>
      </c>
      <c r="Y235">
        <f t="shared" si="13"/>
        <v>-0.17</v>
      </c>
    </row>
    <row r="236" spans="1:25" x14ac:dyDescent="0.2">
      <c r="A236"/>
      <c r="S236" s="268">
        <v>43983</v>
      </c>
      <c r="T236">
        <v>4.45</v>
      </c>
      <c r="U236">
        <v>0.17</v>
      </c>
      <c r="X236">
        <f t="shared" si="12"/>
        <v>-4.45</v>
      </c>
      <c r="Y236">
        <f t="shared" si="13"/>
        <v>-0.17</v>
      </c>
    </row>
    <row r="237" spans="1:25" x14ac:dyDescent="0.2">
      <c r="A237"/>
      <c r="S237" s="268">
        <v>44013</v>
      </c>
      <c r="T237">
        <v>4.5</v>
      </c>
      <c r="U237">
        <v>0.17</v>
      </c>
      <c r="X237">
        <f t="shared" si="12"/>
        <v>-4.5</v>
      </c>
      <c r="Y237">
        <f t="shared" si="13"/>
        <v>-0.17</v>
      </c>
    </row>
    <row r="238" spans="1:25" x14ac:dyDescent="0.2">
      <c r="A238"/>
      <c r="S238" s="268">
        <v>44044</v>
      </c>
      <c r="T238">
        <v>4.5339999999999998</v>
      </c>
      <c r="U238">
        <v>0.17</v>
      </c>
      <c r="X238">
        <f t="shared" si="12"/>
        <v>-4.5339999999999998</v>
      </c>
      <c r="Y238">
        <f t="shared" si="13"/>
        <v>-0.17</v>
      </c>
    </row>
    <row r="239" spans="1:25" x14ac:dyDescent="0.2">
      <c r="A239"/>
      <c r="S239" s="268">
        <v>44075</v>
      </c>
      <c r="T239">
        <v>4.5470000000000006</v>
      </c>
      <c r="U239">
        <v>0.17</v>
      </c>
      <c r="X239">
        <f t="shared" si="12"/>
        <v>-4.5470000000000006</v>
      </c>
      <c r="Y239">
        <f t="shared" si="13"/>
        <v>-0.17</v>
      </c>
    </row>
    <row r="240" spans="1:25" x14ac:dyDescent="0.2">
      <c r="A240"/>
      <c r="S240" s="268">
        <v>44105</v>
      </c>
      <c r="T240">
        <v>4.5460000000000003</v>
      </c>
      <c r="U240">
        <v>0.17</v>
      </c>
      <c r="X240">
        <f t="shared" si="12"/>
        <v>-4.5460000000000003</v>
      </c>
      <c r="Y240">
        <f t="shared" si="13"/>
        <v>-0.17</v>
      </c>
    </row>
    <row r="241" spans="1:25" x14ac:dyDescent="0.2">
      <c r="A241"/>
      <c r="S241" s="268">
        <v>44136</v>
      </c>
      <c r="T241">
        <v>4.7010000000000005</v>
      </c>
      <c r="U241">
        <v>0.17</v>
      </c>
      <c r="X241">
        <f t="shared" si="12"/>
        <v>-4.7010000000000005</v>
      </c>
      <c r="Y241">
        <f t="shared" si="13"/>
        <v>-0.17</v>
      </c>
    </row>
    <row r="242" spans="1:25" x14ac:dyDescent="0.2">
      <c r="A242"/>
      <c r="S242" s="268">
        <v>44166</v>
      </c>
      <c r="T242">
        <v>4.8660000000000005</v>
      </c>
      <c r="U242">
        <v>0.17</v>
      </c>
      <c r="X242">
        <f t="shared" si="12"/>
        <v>-4.8660000000000005</v>
      </c>
      <c r="Y242">
        <f t="shared" si="13"/>
        <v>-0.17</v>
      </c>
    </row>
    <row r="243" spans="1:25" x14ac:dyDescent="0.2">
      <c r="A243"/>
      <c r="S243" s="268">
        <v>44197</v>
      </c>
      <c r="T243">
        <v>4.9560000000000004</v>
      </c>
      <c r="U243">
        <v>0.17</v>
      </c>
      <c r="X243">
        <f t="shared" si="12"/>
        <v>-4.9560000000000004</v>
      </c>
      <c r="Y243">
        <f t="shared" si="13"/>
        <v>-0.17</v>
      </c>
    </row>
    <row r="244" spans="1:25" x14ac:dyDescent="0.2">
      <c r="A244"/>
      <c r="S244" s="268">
        <v>44228</v>
      </c>
      <c r="T244">
        <v>4.8420000000000005</v>
      </c>
      <c r="U244">
        <v>0.17</v>
      </c>
      <c r="X244">
        <f t="shared" si="12"/>
        <v>-4.8420000000000005</v>
      </c>
      <c r="Y244">
        <f t="shared" si="13"/>
        <v>-0.17</v>
      </c>
    </row>
    <row r="245" spans="1:25" x14ac:dyDescent="0.2">
      <c r="A245"/>
      <c r="S245" s="268">
        <v>44256</v>
      </c>
      <c r="T245">
        <v>4.71</v>
      </c>
      <c r="U245">
        <v>0.17</v>
      </c>
      <c r="X245">
        <f t="shared" si="12"/>
        <v>-4.71</v>
      </c>
      <c r="Y245">
        <f t="shared" si="13"/>
        <v>-0.17</v>
      </c>
    </row>
    <row r="246" spans="1:25" x14ac:dyDescent="0.2">
      <c r="A246"/>
      <c r="S246" s="268">
        <v>44287</v>
      </c>
      <c r="T246">
        <v>4.5120000000000005</v>
      </c>
      <c r="U246">
        <v>0.17</v>
      </c>
      <c r="X246">
        <f t="shared" si="12"/>
        <v>-4.5120000000000005</v>
      </c>
      <c r="Y246">
        <f t="shared" si="13"/>
        <v>-0.17</v>
      </c>
    </row>
    <row r="247" spans="1:25" x14ac:dyDescent="0.2">
      <c r="A247"/>
      <c r="S247" s="268">
        <v>44317</v>
      </c>
      <c r="T247">
        <v>4.508</v>
      </c>
      <c r="U247">
        <v>0.17</v>
      </c>
      <c r="X247">
        <f t="shared" si="12"/>
        <v>-4.508</v>
      </c>
      <c r="Y247">
        <f t="shared" si="13"/>
        <v>-0.17</v>
      </c>
    </row>
    <row r="248" spans="1:25" x14ac:dyDescent="0.2">
      <c r="A248"/>
      <c r="S248" s="268">
        <v>44348</v>
      </c>
      <c r="T248">
        <v>4.54</v>
      </c>
      <c r="U248">
        <v>0.17</v>
      </c>
      <c r="X248">
        <f t="shared" si="12"/>
        <v>-4.54</v>
      </c>
      <c r="Y248">
        <f t="shared" si="13"/>
        <v>-0.17</v>
      </c>
    </row>
    <row r="249" spans="1:25" x14ac:dyDescent="0.2">
      <c r="A249"/>
      <c r="S249" s="268">
        <v>44378</v>
      </c>
      <c r="T249">
        <v>4.59</v>
      </c>
      <c r="U249">
        <v>0.17</v>
      </c>
      <c r="X249">
        <f t="shared" si="12"/>
        <v>-4.59</v>
      </c>
      <c r="Y249">
        <f t="shared" si="13"/>
        <v>-0.17</v>
      </c>
    </row>
    <row r="250" spans="1:25" x14ac:dyDescent="0.2">
      <c r="A250"/>
      <c r="S250" s="268">
        <v>44409</v>
      </c>
      <c r="T250">
        <v>4.6240000000000006</v>
      </c>
      <c r="U250">
        <v>0.17</v>
      </c>
      <c r="X250">
        <f t="shared" si="12"/>
        <v>-4.6240000000000006</v>
      </c>
      <c r="Y250">
        <f t="shared" si="13"/>
        <v>-0.17</v>
      </c>
    </row>
    <row r="251" spans="1:25" x14ac:dyDescent="0.2">
      <c r="A251"/>
      <c r="S251" s="268">
        <v>44440</v>
      </c>
      <c r="T251">
        <v>4.6370000000000005</v>
      </c>
      <c r="U251">
        <v>0.17</v>
      </c>
      <c r="X251">
        <f t="shared" si="12"/>
        <v>-4.6370000000000005</v>
      </c>
      <c r="Y251">
        <f t="shared" si="13"/>
        <v>-0.17</v>
      </c>
    </row>
    <row r="252" spans="1:25" x14ac:dyDescent="0.2">
      <c r="A252"/>
      <c r="S252" s="268">
        <v>44470</v>
      </c>
      <c r="T252">
        <v>4.6360000000000001</v>
      </c>
      <c r="U252">
        <v>0.17</v>
      </c>
      <c r="X252">
        <f t="shared" si="12"/>
        <v>-4.6360000000000001</v>
      </c>
      <c r="Y252">
        <f t="shared" si="13"/>
        <v>-0.17</v>
      </c>
    </row>
    <row r="253" spans="1:25" x14ac:dyDescent="0.2">
      <c r="A253"/>
      <c r="S253" s="268">
        <v>44501</v>
      </c>
      <c r="T253">
        <v>4.7910000000000004</v>
      </c>
      <c r="U253">
        <v>0.17</v>
      </c>
      <c r="X253">
        <f t="shared" si="12"/>
        <v>-4.7910000000000004</v>
      </c>
      <c r="Y253">
        <f t="shared" si="13"/>
        <v>-0.17</v>
      </c>
    </row>
    <row r="254" spans="1:25" x14ac:dyDescent="0.2">
      <c r="A254"/>
      <c r="S254" s="268">
        <v>44531</v>
      </c>
      <c r="T254">
        <v>4.9560000000000004</v>
      </c>
      <c r="U254">
        <v>0.17</v>
      </c>
      <c r="X254">
        <f t="shared" si="12"/>
        <v>-4.9560000000000004</v>
      </c>
      <c r="Y254">
        <f t="shared" si="13"/>
        <v>-0.17</v>
      </c>
    </row>
    <row r="255" spans="1:25" x14ac:dyDescent="0.2">
      <c r="A255"/>
      <c r="S255" s="268">
        <v>44562</v>
      </c>
      <c r="T255">
        <v>5.0460000000000003</v>
      </c>
      <c r="U255">
        <v>0.17</v>
      </c>
      <c r="X255">
        <f t="shared" si="12"/>
        <v>-5.0460000000000003</v>
      </c>
      <c r="Y255">
        <f t="shared" si="13"/>
        <v>-0.17</v>
      </c>
    </row>
    <row r="256" spans="1:25" x14ac:dyDescent="0.2">
      <c r="A256"/>
      <c r="S256" s="268">
        <v>44593</v>
      </c>
      <c r="T256">
        <v>4.9320000000000004</v>
      </c>
      <c r="U256">
        <v>0.17</v>
      </c>
      <c r="X256">
        <f t="shared" si="12"/>
        <v>-4.9320000000000004</v>
      </c>
      <c r="Y256">
        <f t="shared" si="13"/>
        <v>-0.17</v>
      </c>
    </row>
    <row r="257" spans="1:25" x14ac:dyDescent="0.2">
      <c r="A257"/>
      <c r="S257" s="268">
        <v>44621</v>
      </c>
      <c r="T257">
        <v>4.8</v>
      </c>
      <c r="U257">
        <v>0.17</v>
      </c>
      <c r="X257">
        <f t="shared" si="12"/>
        <v>-4.8</v>
      </c>
      <c r="Y257">
        <f t="shared" si="13"/>
        <v>-0.17</v>
      </c>
    </row>
    <row r="258" spans="1:25" x14ac:dyDescent="0.2">
      <c r="A258"/>
      <c r="S258" s="268">
        <v>44652</v>
      </c>
      <c r="T258">
        <v>4.6020000000000003</v>
      </c>
      <c r="U258">
        <v>0.17</v>
      </c>
      <c r="X258">
        <f t="shared" si="12"/>
        <v>-4.6020000000000003</v>
      </c>
      <c r="Y258">
        <f t="shared" si="13"/>
        <v>-0.17</v>
      </c>
    </row>
    <row r="259" spans="1:25" x14ac:dyDescent="0.2">
      <c r="A259"/>
      <c r="S259" s="268">
        <v>44682</v>
      </c>
      <c r="T259">
        <v>4.5979999999999999</v>
      </c>
      <c r="U259">
        <v>0.17</v>
      </c>
      <c r="X259">
        <f t="shared" si="12"/>
        <v>-4.5979999999999999</v>
      </c>
      <c r="Y259">
        <f t="shared" si="13"/>
        <v>-0.17</v>
      </c>
    </row>
    <row r="260" spans="1:25" x14ac:dyDescent="0.2">
      <c r="A260"/>
      <c r="S260" s="268">
        <v>44713</v>
      </c>
      <c r="T260">
        <v>4.63</v>
      </c>
      <c r="U260">
        <v>0.17</v>
      </c>
      <c r="X260">
        <f t="shared" si="12"/>
        <v>-4.63</v>
      </c>
      <c r="Y260">
        <f t="shared" si="13"/>
        <v>-0.17</v>
      </c>
    </row>
    <row r="261" spans="1:25" x14ac:dyDescent="0.2">
      <c r="A261"/>
      <c r="S261" s="268">
        <v>44743</v>
      </c>
      <c r="T261">
        <v>4.68</v>
      </c>
      <c r="U261">
        <v>0.17</v>
      </c>
      <c r="X261">
        <f t="shared" si="12"/>
        <v>-4.68</v>
      </c>
      <c r="Y261">
        <f t="shared" si="13"/>
        <v>-0.17</v>
      </c>
    </row>
    <row r="262" spans="1:25" x14ac:dyDescent="0.2">
      <c r="A262"/>
      <c r="S262" s="268">
        <v>44774</v>
      </c>
      <c r="T262">
        <v>4.7140000000000004</v>
      </c>
      <c r="U262">
        <v>0.17</v>
      </c>
      <c r="X262">
        <f t="shared" si="12"/>
        <v>-4.7140000000000004</v>
      </c>
      <c r="Y262">
        <f t="shared" si="13"/>
        <v>-0.17</v>
      </c>
    </row>
    <row r="263" spans="1:25" x14ac:dyDescent="0.2">
      <c r="A263"/>
      <c r="S263" s="268">
        <v>44805</v>
      </c>
      <c r="T263">
        <v>4.7270000000000003</v>
      </c>
      <c r="U263">
        <v>0.17</v>
      </c>
      <c r="X263">
        <f t="shared" si="12"/>
        <v>-4.7270000000000003</v>
      </c>
      <c r="Y263">
        <f t="shared" si="13"/>
        <v>-0.17</v>
      </c>
    </row>
    <row r="264" spans="1:25" x14ac:dyDescent="0.2">
      <c r="A264"/>
      <c r="S264" s="268">
        <v>44835</v>
      </c>
      <c r="T264">
        <v>4.726</v>
      </c>
      <c r="U264">
        <v>0.17</v>
      </c>
      <c r="X264">
        <f t="shared" si="12"/>
        <v>-4.726</v>
      </c>
      <c r="Y264">
        <f t="shared" si="13"/>
        <v>-0.17</v>
      </c>
    </row>
    <row r="265" spans="1:25" x14ac:dyDescent="0.2">
      <c r="A265"/>
      <c r="S265" s="268">
        <v>44866</v>
      </c>
      <c r="T265">
        <v>4.8810000000000002</v>
      </c>
      <c r="U265">
        <v>0.17</v>
      </c>
      <c r="X265">
        <f t="shared" si="12"/>
        <v>-4.8810000000000002</v>
      </c>
      <c r="Y265">
        <f t="shared" si="13"/>
        <v>-0.17</v>
      </c>
    </row>
    <row r="266" spans="1:25" x14ac:dyDescent="0.2">
      <c r="A266"/>
      <c r="S266" s="268">
        <v>44896</v>
      </c>
      <c r="T266">
        <v>5.0460000000000003</v>
      </c>
      <c r="U266">
        <v>0.17</v>
      </c>
      <c r="X266">
        <f t="shared" si="12"/>
        <v>-5.0460000000000003</v>
      </c>
      <c r="Y266">
        <f t="shared" si="13"/>
        <v>-0.17</v>
      </c>
    </row>
    <row r="267" spans="1:25" x14ac:dyDescent="0.2">
      <c r="A267"/>
      <c r="S267" s="268">
        <v>44927</v>
      </c>
      <c r="T267">
        <v>5.1360000000000001</v>
      </c>
      <c r="U267">
        <v>0.17</v>
      </c>
      <c r="X267">
        <f t="shared" si="12"/>
        <v>-5.1360000000000001</v>
      </c>
      <c r="Y267">
        <f t="shared" si="13"/>
        <v>-0.17</v>
      </c>
    </row>
    <row r="268" spans="1:25" x14ac:dyDescent="0.2">
      <c r="A268"/>
      <c r="S268" s="268">
        <v>44958</v>
      </c>
      <c r="T268">
        <v>5.0220000000000002</v>
      </c>
      <c r="U268">
        <v>0.17</v>
      </c>
      <c r="X268">
        <f t="shared" si="12"/>
        <v>-5.0220000000000002</v>
      </c>
      <c r="Y268">
        <f t="shared" si="13"/>
        <v>-0.17</v>
      </c>
    </row>
    <row r="269" spans="1:25" x14ac:dyDescent="0.2">
      <c r="A269"/>
      <c r="S269" s="268">
        <v>44986</v>
      </c>
      <c r="T269">
        <v>4.8899999999999997</v>
      </c>
      <c r="U269">
        <v>0.17</v>
      </c>
      <c r="X269">
        <f t="shared" ref="X269:X301" si="14">AB269-T269</f>
        <v>-4.8899999999999997</v>
      </c>
      <c r="Y269">
        <f t="shared" ref="Y269:Y301" si="15">AC269-U269</f>
        <v>-0.17</v>
      </c>
    </row>
    <row r="270" spans="1:25" x14ac:dyDescent="0.2">
      <c r="A270"/>
      <c r="S270" s="268">
        <v>45017</v>
      </c>
      <c r="T270">
        <v>4.6920000000000002</v>
      </c>
      <c r="U270">
        <v>0.17</v>
      </c>
      <c r="X270">
        <f t="shared" si="14"/>
        <v>-4.6920000000000002</v>
      </c>
      <c r="Y270">
        <f t="shared" si="15"/>
        <v>-0.17</v>
      </c>
    </row>
    <row r="271" spans="1:25" x14ac:dyDescent="0.2">
      <c r="A271"/>
      <c r="S271" s="268">
        <v>45047</v>
      </c>
      <c r="T271">
        <v>4.6880000000000006</v>
      </c>
      <c r="U271">
        <v>0.17</v>
      </c>
      <c r="X271">
        <f t="shared" si="14"/>
        <v>-4.6880000000000006</v>
      </c>
      <c r="Y271">
        <f t="shared" si="15"/>
        <v>-0.17</v>
      </c>
    </row>
    <row r="272" spans="1:25" x14ac:dyDescent="0.2">
      <c r="A272"/>
      <c r="S272" s="268">
        <v>45078</v>
      </c>
      <c r="T272">
        <v>4.72</v>
      </c>
      <c r="U272">
        <v>0.17</v>
      </c>
      <c r="X272">
        <f t="shared" si="14"/>
        <v>-4.72</v>
      </c>
      <c r="Y272">
        <f t="shared" si="15"/>
        <v>-0.17</v>
      </c>
    </row>
    <row r="273" spans="1:25" x14ac:dyDescent="0.2">
      <c r="A273"/>
      <c r="S273" s="268">
        <v>45108</v>
      </c>
      <c r="T273">
        <v>4.7699999999999996</v>
      </c>
      <c r="U273">
        <v>0.17</v>
      </c>
      <c r="X273">
        <f t="shared" si="14"/>
        <v>-4.7699999999999996</v>
      </c>
      <c r="Y273">
        <f t="shared" si="15"/>
        <v>-0.17</v>
      </c>
    </row>
    <row r="274" spans="1:25" x14ac:dyDescent="0.2">
      <c r="A274"/>
      <c r="S274" s="268">
        <v>45139</v>
      </c>
      <c r="T274">
        <v>4.8040000000000003</v>
      </c>
      <c r="U274">
        <v>0.17</v>
      </c>
      <c r="X274">
        <f t="shared" si="14"/>
        <v>-4.8040000000000003</v>
      </c>
      <c r="Y274">
        <f t="shared" si="15"/>
        <v>-0.17</v>
      </c>
    </row>
    <row r="275" spans="1:25" x14ac:dyDescent="0.2">
      <c r="A275"/>
      <c r="S275" s="268">
        <v>45170</v>
      </c>
      <c r="T275">
        <v>4.8170000000000002</v>
      </c>
      <c r="U275">
        <v>0.17</v>
      </c>
      <c r="X275">
        <f t="shared" si="14"/>
        <v>-4.8170000000000002</v>
      </c>
      <c r="Y275">
        <f t="shared" si="15"/>
        <v>-0.17</v>
      </c>
    </row>
    <row r="276" spans="1:25" x14ac:dyDescent="0.2">
      <c r="A276"/>
      <c r="S276" s="268">
        <v>45200</v>
      </c>
      <c r="T276">
        <v>4.8159999999999998</v>
      </c>
      <c r="U276">
        <v>0.17</v>
      </c>
      <c r="X276">
        <f t="shared" si="14"/>
        <v>-4.8159999999999998</v>
      </c>
      <c r="Y276">
        <f t="shared" si="15"/>
        <v>-0.17</v>
      </c>
    </row>
    <row r="277" spans="1:25" x14ac:dyDescent="0.2">
      <c r="A277"/>
      <c r="S277" s="268">
        <v>45231</v>
      </c>
      <c r="T277">
        <v>4.9710000000000001</v>
      </c>
      <c r="U277">
        <v>0.17</v>
      </c>
      <c r="X277">
        <f t="shared" si="14"/>
        <v>-4.9710000000000001</v>
      </c>
      <c r="Y277">
        <f t="shared" si="15"/>
        <v>-0.17</v>
      </c>
    </row>
    <row r="278" spans="1:25" x14ac:dyDescent="0.2">
      <c r="A278"/>
      <c r="S278" s="268">
        <v>45261</v>
      </c>
      <c r="T278">
        <v>5.1360000000000001</v>
      </c>
      <c r="U278">
        <v>0.17</v>
      </c>
      <c r="X278">
        <f t="shared" si="14"/>
        <v>-5.1360000000000001</v>
      </c>
      <c r="Y278">
        <f t="shared" si="15"/>
        <v>-0.17</v>
      </c>
    </row>
    <row r="279" spans="1:25" x14ac:dyDescent="0.2">
      <c r="A279"/>
      <c r="S279" s="268">
        <v>45292</v>
      </c>
      <c r="T279">
        <v>5.226</v>
      </c>
      <c r="U279">
        <v>0.17</v>
      </c>
      <c r="X279">
        <f t="shared" si="14"/>
        <v>-5.226</v>
      </c>
      <c r="Y279">
        <f t="shared" si="15"/>
        <v>-0.17</v>
      </c>
    </row>
    <row r="280" spans="1:25" x14ac:dyDescent="0.2">
      <c r="A280"/>
      <c r="S280" s="268">
        <v>45323</v>
      </c>
      <c r="T280">
        <v>5.1120000000000001</v>
      </c>
      <c r="U280">
        <v>0.17</v>
      </c>
      <c r="X280">
        <f t="shared" si="14"/>
        <v>-5.1120000000000001</v>
      </c>
      <c r="Y280">
        <f t="shared" si="15"/>
        <v>-0.17</v>
      </c>
    </row>
    <row r="281" spans="1:25" x14ac:dyDescent="0.2">
      <c r="A281"/>
      <c r="S281" s="268">
        <v>45352</v>
      </c>
      <c r="T281">
        <v>4.9800000000000004</v>
      </c>
      <c r="U281">
        <v>0.17</v>
      </c>
      <c r="X281">
        <f t="shared" si="14"/>
        <v>-4.9800000000000004</v>
      </c>
      <c r="Y281">
        <f t="shared" si="15"/>
        <v>-0.17</v>
      </c>
    </row>
    <row r="282" spans="1:25" x14ac:dyDescent="0.2">
      <c r="A282"/>
      <c r="S282" s="268">
        <v>45383</v>
      </c>
      <c r="T282">
        <v>4.782</v>
      </c>
      <c r="U282">
        <v>0.17</v>
      </c>
      <c r="X282">
        <f t="shared" si="14"/>
        <v>-4.782</v>
      </c>
      <c r="Y282">
        <f t="shared" si="15"/>
        <v>-0.17</v>
      </c>
    </row>
    <row r="283" spans="1:25" x14ac:dyDescent="0.2">
      <c r="A283"/>
      <c r="S283" s="268">
        <v>45413</v>
      </c>
      <c r="T283">
        <v>4.7780000000000005</v>
      </c>
      <c r="U283">
        <v>0.17</v>
      </c>
      <c r="X283">
        <f t="shared" si="14"/>
        <v>-4.7780000000000005</v>
      </c>
      <c r="Y283">
        <f t="shared" si="15"/>
        <v>-0.17</v>
      </c>
    </row>
    <row r="284" spans="1:25" x14ac:dyDescent="0.2">
      <c r="A284"/>
      <c r="S284" s="268">
        <v>45444</v>
      </c>
      <c r="T284">
        <v>4.8099999999999996</v>
      </c>
      <c r="U284">
        <v>0.17</v>
      </c>
      <c r="X284">
        <f t="shared" si="14"/>
        <v>-4.8099999999999996</v>
      </c>
      <c r="Y284">
        <f t="shared" si="15"/>
        <v>-0.17</v>
      </c>
    </row>
    <row r="285" spans="1:25" x14ac:dyDescent="0.2">
      <c r="A285"/>
      <c r="S285" s="268">
        <v>45474</v>
      </c>
      <c r="T285">
        <v>4.8600000000000003</v>
      </c>
      <c r="U285">
        <v>0.17</v>
      </c>
      <c r="X285">
        <f t="shared" si="14"/>
        <v>-4.8600000000000003</v>
      </c>
      <c r="Y285">
        <f t="shared" si="15"/>
        <v>-0.17</v>
      </c>
    </row>
    <row r="286" spans="1:25" x14ac:dyDescent="0.2">
      <c r="A286"/>
      <c r="S286" s="268">
        <v>45505</v>
      </c>
      <c r="T286">
        <v>4.8940000000000001</v>
      </c>
      <c r="U286">
        <v>0.17</v>
      </c>
      <c r="X286">
        <f t="shared" si="14"/>
        <v>-4.8940000000000001</v>
      </c>
      <c r="Y286">
        <f t="shared" si="15"/>
        <v>-0.17</v>
      </c>
    </row>
    <row r="287" spans="1:25" x14ac:dyDescent="0.2">
      <c r="A287"/>
      <c r="S287" s="268">
        <v>45536</v>
      </c>
      <c r="T287">
        <v>4.907</v>
      </c>
      <c r="U287">
        <v>0.17</v>
      </c>
      <c r="X287">
        <f t="shared" si="14"/>
        <v>-4.907</v>
      </c>
      <c r="Y287">
        <f t="shared" si="15"/>
        <v>-0.17</v>
      </c>
    </row>
    <row r="288" spans="1:25" x14ac:dyDescent="0.2">
      <c r="A288"/>
      <c r="S288" s="268">
        <v>45566</v>
      </c>
      <c r="T288">
        <v>4.9060000000000006</v>
      </c>
      <c r="U288">
        <v>0.17</v>
      </c>
      <c r="X288">
        <f t="shared" si="14"/>
        <v>-4.9060000000000006</v>
      </c>
      <c r="Y288">
        <f t="shared" si="15"/>
        <v>-0.17</v>
      </c>
    </row>
    <row r="289" spans="1:25" x14ac:dyDescent="0.2">
      <c r="A289"/>
      <c r="S289" s="268">
        <v>45597</v>
      </c>
      <c r="T289">
        <v>5.0609999999999999</v>
      </c>
      <c r="U289">
        <v>0.17</v>
      </c>
      <c r="X289">
        <f t="shared" si="14"/>
        <v>-5.0609999999999999</v>
      </c>
      <c r="Y289">
        <f t="shared" si="15"/>
        <v>-0.17</v>
      </c>
    </row>
    <row r="290" spans="1:25" x14ac:dyDescent="0.2">
      <c r="A290"/>
      <c r="S290" s="268">
        <v>45627</v>
      </c>
      <c r="T290">
        <v>5.226</v>
      </c>
      <c r="U290">
        <v>0.17</v>
      </c>
      <c r="X290">
        <f t="shared" si="14"/>
        <v>-5.226</v>
      </c>
      <c r="Y290">
        <f t="shared" si="15"/>
        <v>-0.17</v>
      </c>
    </row>
    <row r="291" spans="1:25" x14ac:dyDescent="0.2">
      <c r="A291"/>
      <c r="X291">
        <f t="shared" si="14"/>
        <v>0</v>
      </c>
      <c r="Y291">
        <f t="shared" si="15"/>
        <v>0</v>
      </c>
    </row>
    <row r="292" spans="1:25" x14ac:dyDescent="0.2">
      <c r="A292"/>
      <c r="X292">
        <f t="shared" si="14"/>
        <v>0</v>
      </c>
      <c r="Y292">
        <f t="shared" si="15"/>
        <v>0</v>
      </c>
    </row>
    <row r="293" spans="1:25" x14ac:dyDescent="0.2">
      <c r="A293"/>
      <c r="X293">
        <f t="shared" si="14"/>
        <v>0</v>
      </c>
      <c r="Y293">
        <f t="shared" si="15"/>
        <v>0</v>
      </c>
    </row>
    <row r="294" spans="1:25" x14ac:dyDescent="0.2">
      <c r="A294"/>
      <c r="X294">
        <f t="shared" si="14"/>
        <v>0</v>
      </c>
      <c r="Y294">
        <f t="shared" si="15"/>
        <v>0</v>
      </c>
    </row>
    <row r="295" spans="1:25" x14ac:dyDescent="0.2">
      <c r="A295"/>
      <c r="X295">
        <f t="shared" si="14"/>
        <v>0</v>
      </c>
      <c r="Y295">
        <f t="shared" si="15"/>
        <v>0</v>
      </c>
    </row>
    <row r="296" spans="1:25" x14ac:dyDescent="0.2">
      <c r="A296"/>
      <c r="X296">
        <f t="shared" si="14"/>
        <v>0</v>
      </c>
      <c r="Y296">
        <f t="shared" si="15"/>
        <v>0</v>
      </c>
    </row>
    <row r="297" spans="1:25" x14ac:dyDescent="0.2">
      <c r="A297"/>
      <c r="X297">
        <f t="shared" si="14"/>
        <v>0</v>
      </c>
      <c r="Y297">
        <f t="shared" si="15"/>
        <v>0</v>
      </c>
    </row>
    <row r="298" spans="1:25" x14ac:dyDescent="0.2">
      <c r="A298"/>
      <c r="X298">
        <f t="shared" si="14"/>
        <v>0</v>
      </c>
      <c r="Y298">
        <f t="shared" si="15"/>
        <v>0</v>
      </c>
    </row>
    <row r="299" spans="1:25" x14ac:dyDescent="0.2">
      <c r="A299"/>
      <c r="X299">
        <f t="shared" si="14"/>
        <v>0</v>
      </c>
      <c r="Y299">
        <f t="shared" si="15"/>
        <v>0</v>
      </c>
    </row>
    <row r="300" spans="1:25" x14ac:dyDescent="0.2">
      <c r="A300"/>
      <c r="X300">
        <f t="shared" si="14"/>
        <v>0</v>
      </c>
      <c r="Y300">
        <f t="shared" si="15"/>
        <v>0</v>
      </c>
    </row>
    <row r="301" spans="1:25" x14ac:dyDescent="0.2">
      <c r="A301"/>
      <c r="X301">
        <f t="shared" si="14"/>
        <v>0</v>
      </c>
      <c r="Y301">
        <f t="shared" si="15"/>
        <v>0</v>
      </c>
    </row>
    <row r="302" spans="1:25" x14ac:dyDescent="0.2">
      <c r="A302"/>
    </row>
    <row r="303" spans="1:25" x14ac:dyDescent="0.2">
      <c r="A303"/>
    </row>
    <row r="304" spans="1:25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476250</xdr:colOff>
                <xdr:row>5</xdr:row>
                <xdr:rowOff>142875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342900</xdr:colOff>
                    <xdr:row>0</xdr:row>
                    <xdr:rowOff>142875</xdr:rowOff>
                  </from>
                  <to>
                    <xdr:col>3</xdr:col>
                    <xdr:colOff>504825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276225</xdr:colOff>
                    <xdr:row>0</xdr:row>
                    <xdr:rowOff>9525</xdr:rowOff>
                  </from>
                  <to>
                    <xdr:col>16</xdr:col>
                    <xdr:colOff>333375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</cols>
  <sheetData>
    <row r="1" spans="23:30" ht="15.75" x14ac:dyDescent="0.25">
      <c r="X1" s="8" t="s">
        <v>141</v>
      </c>
      <c r="AB1" s="9"/>
      <c r="AC1" s="9"/>
      <c r="AD1" s="9"/>
    </row>
    <row r="2" spans="23:30" x14ac:dyDescent="0.2">
      <c r="X2" s="10" t="s">
        <v>142</v>
      </c>
      <c r="AB2" s="9"/>
      <c r="AC2" s="9"/>
      <c r="AD2" s="9"/>
    </row>
    <row r="3" spans="23:30" x14ac:dyDescent="0.2">
      <c r="X3" s="11" t="s">
        <v>143</v>
      </c>
      <c r="Y3" s="12"/>
      <c r="AB3" s="9"/>
      <c r="AC3" s="9"/>
      <c r="AD3" s="9"/>
    </row>
    <row r="4" spans="23:30" x14ac:dyDescent="0.2">
      <c r="X4" s="11" t="s">
        <v>143</v>
      </c>
      <c r="Y4" s="10" t="s">
        <v>144</v>
      </c>
      <c r="AB4" s="9"/>
      <c r="AC4" s="9"/>
      <c r="AD4" s="9"/>
    </row>
    <row r="5" spans="23:30" x14ac:dyDescent="0.2">
      <c r="X5" s="13">
        <f>[5]Top!$B$5</f>
        <v>37140</v>
      </c>
      <c r="Y5" s="11" t="s">
        <v>145</v>
      </c>
    </row>
    <row r="6" spans="23:30" ht="15.75" x14ac:dyDescent="0.25">
      <c r="X6" s="14">
        <f>W8</f>
        <v>37165</v>
      </c>
      <c r="Y6" s="11" t="s">
        <v>146</v>
      </c>
      <c r="AB6" s="15"/>
      <c r="AC6" s="16"/>
      <c r="AD6" s="16"/>
    </row>
    <row r="7" spans="23:30" x14ac:dyDescent="0.2">
      <c r="AA7" s="7" t="s">
        <v>147</v>
      </c>
      <c r="AB7" s="18" t="s">
        <v>148</v>
      </c>
      <c r="AC7" s="18" t="s">
        <v>47</v>
      </c>
      <c r="AD7" s="18"/>
    </row>
    <row r="8" spans="23:30" x14ac:dyDescent="0.2">
      <c r="W8" s="454">
        <f>DATE(YEAR(X5+31),MONTH(X5+31),1)</f>
        <v>37165</v>
      </c>
      <c r="X8" s="268">
        <v>37165</v>
      </c>
      <c r="Y8">
        <v>3.6727933782635599E-2</v>
      </c>
      <c r="Z8" s="18"/>
      <c r="AA8" s="19">
        <f>YEAR(X8)</f>
        <v>2001</v>
      </c>
      <c r="AB8" s="18">
        <f>MONTH(X8)</f>
        <v>10</v>
      </c>
      <c r="AC8" s="20">
        <f>(1+Y8/2)^(-(DATE(AA9,AB9,20)-[4]TradeSum!$A$3)/182.625)</f>
        <v>0.99255459641088606</v>
      </c>
      <c r="AD8" s="18"/>
    </row>
    <row r="9" spans="23:30" x14ac:dyDescent="0.2">
      <c r="X9" s="268">
        <v>37196</v>
      </c>
      <c r="Y9">
        <v>3.63595764349132E-2</v>
      </c>
      <c r="Z9" s="18"/>
      <c r="AA9" s="19">
        <f t="shared" ref="AA9:AA72" si="0">YEAR(X9)</f>
        <v>2001</v>
      </c>
      <c r="AB9" s="18">
        <f t="shared" ref="AB9:AB72" si="1">MONTH(X9)</f>
        <v>11</v>
      </c>
      <c r="AC9" s="20">
        <f>(1+Y9/2)^(-(DATE(AA10,AB10,20)-[4]TradeSum!$A$3)/182.625)</f>
        <v>0.98969489580859615</v>
      </c>
      <c r="AD9" s="21"/>
    </row>
    <row r="10" spans="23:30" x14ac:dyDescent="0.2">
      <c r="X10" s="268">
        <v>37226</v>
      </c>
      <c r="Y10">
        <v>3.6018724817227503E-2</v>
      </c>
      <c r="Z10" s="18"/>
      <c r="AA10" s="19">
        <f t="shared" si="0"/>
        <v>2001</v>
      </c>
      <c r="AB10" s="18">
        <f t="shared" si="1"/>
        <v>12</v>
      </c>
      <c r="AC10" s="20">
        <f>(1+Y10/2)^(-(DATE(AA11,AB11,20)-[4]TradeSum!$A$3)/182.625)</f>
        <v>0.98679579651441607</v>
      </c>
      <c r="AD10" s="22"/>
    </row>
    <row r="11" spans="23:30" x14ac:dyDescent="0.2">
      <c r="X11" s="268">
        <v>37257</v>
      </c>
      <c r="Y11">
        <v>3.5415338797675701E-2</v>
      </c>
      <c r="Z11" s="18"/>
      <c r="AA11" s="19">
        <f t="shared" si="0"/>
        <v>2002</v>
      </c>
      <c r="AB11" s="18">
        <f t="shared" si="1"/>
        <v>1</v>
      </c>
      <c r="AC11" s="20">
        <f>(1+Y11/2)^(-(DATE(AA12,AB12,20)-[4]TradeSum!$A$3)/182.625)</f>
        <v>0.9840771870806414</v>
      </c>
      <c r="AD11" s="22"/>
    </row>
    <row r="12" spans="23:30" x14ac:dyDescent="0.2">
      <c r="X12" s="268">
        <v>37288</v>
      </c>
      <c r="Y12">
        <v>3.5360827203654299E-2</v>
      </c>
      <c r="Z12" s="18"/>
      <c r="AA12" s="19">
        <f t="shared" si="0"/>
        <v>2002</v>
      </c>
      <c r="AB12" s="18">
        <f t="shared" si="1"/>
        <v>2</v>
      </c>
      <c r="AC12" s="20">
        <f>(1+Y12/2)^(-(DATE(AA13,AB13,20)-[4]TradeSum!$A$3)/182.625)</f>
        <v>0.98146048862368218</v>
      </c>
      <c r="AD12" s="23"/>
    </row>
    <row r="13" spans="23:30" x14ac:dyDescent="0.2">
      <c r="X13" s="268">
        <v>37316</v>
      </c>
      <c r="Y13">
        <v>3.5311590926042406E-2</v>
      </c>
      <c r="Z13" s="18"/>
      <c r="AA13" s="19">
        <f t="shared" si="0"/>
        <v>2002</v>
      </c>
      <c r="AB13" s="18">
        <f t="shared" si="1"/>
        <v>3</v>
      </c>
      <c r="AC13" s="20">
        <f>(1+Y13/2)^(-(DATE(AA14,AB14,20)-[4]TradeSum!$A$3)/182.625)</f>
        <v>0.97857430619923447</v>
      </c>
      <c r="AD13" s="22"/>
    </row>
    <row r="14" spans="23:30" x14ac:dyDescent="0.2">
      <c r="X14" s="268">
        <v>37347</v>
      </c>
      <c r="Y14">
        <v>3.5313978767668203E-2</v>
      </c>
      <c r="Z14" s="18"/>
      <c r="AA14" s="19">
        <f t="shared" si="0"/>
        <v>2002</v>
      </c>
      <c r="AB14" s="18">
        <f t="shared" si="1"/>
        <v>4</v>
      </c>
      <c r="AC14" s="20">
        <f>(1+Y14/2)^(-(DATE(AA15,AB15,20)-[4]TradeSum!$A$3)/182.625)</f>
        <v>0.97576331188144427</v>
      </c>
      <c r="AD14" s="22"/>
    </row>
    <row r="15" spans="23:30" x14ac:dyDescent="0.2">
      <c r="X15" s="268">
        <v>37377</v>
      </c>
      <c r="Y15">
        <v>3.5387931709215198E-2</v>
      </c>
      <c r="Z15" s="18"/>
      <c r="AA15" s="19">
        <f t="shared" si="0"/>
        <v>2002</v>
      </c>
      <c r="AB15" s="18">
        <f t="shared" si="1"/>
        <v>5</v>
      </c>
      <c r="AC15" s="20">
        <f>(1+Y15/2)^(-(DATE(AA16,AB16,20)-[4]TradeSum!$A$3)/182.625)</f>
        <v>0.97281301051345392</v>
      </c>
      <c r="AD15" s="24"/>
    </row>
    <row r="16" spans="23:30" x14ac:dyDescent="0.2">
      <c r="X16" s="268">
        <v>37408</v>
      </c>
      <c r="Y16">
        <v>3.5464349750746305E-2</v>
      </c>
      <c r="Z16" s="18"/>
      <c r="AA16" s="19">
        <f t="shared" si="0"/>
        <v>2002</v>
      </c>
      <c r="AB16" s="18">
        <f t="shared" si="1"/>
        <v>6</v>
      </c>
      <c r="AC16" s="20">
        <f>(1+Y16/2)^(-(DATE(AA17,AB17,20)-[4]TradeSum!$A$3)/182.625)</f>
        <v>0.9699509717884377</v>
      </c>
      <c r="AD16" s="24"/>
    </row>
    <row r="17" spans="24:30" x14ac:dyDescent="0.2">
      <c r="X17" s="268">
        <v>37438</v>
      </c>
      <c r="Y17">
        <v>3.5609691137444596E-2</v>
      </c>
      <c r="Z17" s="18"/>
      <c r="AA17" s="19">
        <f t="shared" si="0"/>
        <v>2002</v>
      </c>
      <c r="AB17" s="18">
        <f t="shared" si="1"/>
        <v>7</v>
      </c>
      <c r="AC17" s="20">
        <f>(1+Y17/2)^(-(DATE(AA18,AB18,20)-[4]TradeSum!$A$3)/182.625)</f>
        <v>0.96692976638675288</v>
      </c>
      <c r="AD17" s="24"/>
    </row>
    <row r="18" spans="24:30" x14ac:dyDescent="0.2">
      <c r="X18" s="268">
        <v>37469</v>
      </c>
      <c r="Y18">
        <v>3.5875861950604604E-2</v>
      </c>
      <c r="Z18" s="18"/>
      <c r="AA18" s="19">
        <f t="shared" si="0"/>
        <v>2002</v>
      </c>
      <c r="AB18" s="18">
        <f t="shared" si="1"/>
        <v>8</v>
      </c>
      <c r="AC18" s="20">
        <f>(1+Y18/2)^(-(DATE(AA19,AB19,20)-[4]TradeSum!$A$3)/182.625)</f>
        <v>0.96377589818915066</v>
      </c>
      <c r="AD18" s="24"/>
    </row>
    <row r="19" spans="24:30" x14ac:dyDescent="0.2">
      <c r="X19" s="268">
        <v>37500</v>
      </c>
      <c r="Y19">
        <v>3.6142032787582795E-2</v>
      </c>
      <c r="Z19" s="18"/>
      <c r="AA19" s="19">
        <f t="shared" si="0"/>
        <v>2002</v>
      </c>
      <c r="AB19" s="18">
        <f t="shared" si="1"/>
        <v>9</v>
      </c>
      <c r="AC19" s="20">
        <f>(1+Y19/2)^(-(DATE(AA20,AB20,20)-[4]TradeSum!$A$3)/182.625)</f>
        <v>0.96068392174608619</v>
      </c>
      <c r="AD19" s="24"/>
    </row>
    <row r="20" spans="24:30" x14ac:dyDescent="0.2">
      <c r="X20" s="268">
        <v>37530</v>
      </c>
      <c r="Y20">
        <v>3.6455538794898996E-2</v>
      </c>
      <c r="Z20" s="18"/>
      <c r="AA20" s="19">
        <f t="shared" si="0"/>
        <v>2002</v>
      </c>
      <c r="AB20" s="18">
        <f t="shared" si="1"/>
        <v>10</v>
      </c>
      <c r="AC20" s="20">
        <f>(1+Y20/2)^(-(DATE(AA21,AB21,20)-[4]TradeSum!$A$3)/182.625)</f>
        <v>0.95741256964685173</v>
      </c>
      <c r="AD20" s="24"/>
    </row>
    <row r="21" spans="24:30" x14ac:dyDescent="0.2">
      <c r="X21" s="268">
        <v>37561</v>
      </c>
      <c r="Y21">
        <v>3.6859081468767901E-2</v>
      </c>
      <c r="Z21" s="18"/>
      <c r="AA21" s="19">
        <f t="shared" si="0"/>
        <v>2002</v>
      </c>
      <c r="AB21" s="18">
        <f t="shared" si="1"/>
        <v>11</v>
      </c>
      <c r="AC21" s="20">
        <f>(1+Y21/2)^(-(DATE(AA22,AB22,20)-[4]TradeSum!$A$3)/182.625)</f>
        <v>0.95408917815003869</v>
      </c>
      <c r="AD21" s="24"/>
    </row>
    <row r="22" spans="24:30" x14ac:dyDescent="0.2">
      <c r="X22" s="268">
        <v>37591</v>
      </c>
      <c r="Y22">
        <v>3.7249606689131499E-2</v>
      </c>
      <c r="Z22" s="18"/>
      <c r="AA22" s="19">
        <f t="shared" si="0"/>
        <v>2002</v>
      </c>
      <c r="AB22" s="18">
        <f t="shared" si="1"/>
        <v>12</v>
      </c>
      <c r="AC22" s="20">
        <f>(1+Y22/2)^(-(DATE(AA23,AB23,20)-[4]TradeSum!$A$3)/182.625)</f>
        <v>0.95063610347622851</v>
      </c>
      <c r="AD22" s="24"/>
    </row>
    <row r="23" spans="24:30" x14ac:dyDescent="0.2">
      <c r="X23" s="268">
        <v>37622</v>
      </c>
      <c r="Y23">
        <v>3.7695878873062999E-2</v>
      </c>
      <c r="Z23" s="18"/>
      <c r="AA23" s="19">
        <f t="shared" si="0"/>
        <v>2003</v>
      </c>
      <c r="AB23" s="18">
        <f t="shared" si="1"/>
        <v>1</v>
      </c>
      <c r="AC23" s="20">
        <f>(1+Y23/2)^(-(DATE(AA24,AB24,20)-[4]TradeSum!$A$3)/182.625)</f>
        <v>0.94705850164383509</v>
      </c>
      <c r="AD23" s="24"/>
    </row>
    <row r="24" spans="24:30" x14ac:dyDescent="0.2">
      <c r="X24" s="268">
        <v>37653</v>
      </c>
      <c r="Y24">
        <v>3.8194036835399507E-2</v>
      </c>
      <c r="Z24" s="18"/>
      <c r="AA24" s="19">
        <f t="shared" si="0"/>
        <v>2003</v>
      </c>
      <c r="AB24" s="18">
        <f t="shared" si="1"/>
        <v>2</v>
      </c>
      <c r="AC24" s="20">
        <f>(1+Y24/2)^(-(DATE(AA25,AB25,20)-[4]TradeSum!$A$3)/182.625)</f>
        <v>0.94364350339681324</v>
      </c>
      <c r="AD24" s="24"/>
    </row>
    <row r="25" spans="24:30" x14ac:dyDescent="0.2">
      <c r="X25" s="268">
        <v>37681</v>
      </c>
      <c r="Y25">
        <v>3.8643986034301303E-2</v>
      </c>
      <c r="Z25" s="18"/>
      <c r="AA25" s="19">
        <f t="shared" si="0"/>
        <v>2003</v>
      </c>
      <c r="AB25" s="18">
        <f t="shared" si="1"/>
        <v>3</v>
      </c>
      <c r="AC25" s="20">
        <f>(1+Y25/2)^(-(DATE(AA26,AB26,20)-[4]TradeSum!$A$3)/182.625)</f>
        <v>0.93994656739890692</v>
      </c>
      <c r="AD25" s="24"/>
    </row>
    <row r="26" spans="24:30" x14ac:dyDescent="0.2">
      <c r="X26" s="268">
        <v>37712</v>
      </c>
      <c r="Y26">
        <v>3.9132538309243396E-2</v>
      </c>
      <c r="Z26" s="18"/>
      <c r="AA26" s="19">
        <f t="shared" si="0"/>
        <v>2003</v>
      </c>
      <c r="AB26" s="18">
        <f t="shared" si="1"/>
        <v>4</v>
      </c>
      <c r="AC26" s="20">
        <f>(1+Y26/2)^(-(DATE(AA27,AB27,20)-[4]TradeSum!$A$3)/182.625)</f>
        <v>0.9362330825622539</v>
      </c>
      <c r="AD26" s="24"/>
    </row>
    <row r="27" spans="24:30" x14ac:dyDescent="0.2">
      <c r="X27" s="268">
        <v>37742</v>
      </c>
      <c r="Y27">
        <v>3.9587570762225105E-2</v>
      </c>
      <c r="Z27" s="18"/>
      <c r="AA27" s="19">
        <f t="shared" si="0"/>
        <v>2003</v>
      </c>
      <c r="AB27" s="18">
        <f t="shared" si="1"/>
        <v>5</v>
      </c>
      <c r="AC27" s="20">
        <f>(1+Y27/2)^(-(DATE(AA28,AB28,20)-[4]TradeSum!$A$3)/182.625)</f>
        <v>0.93241560000426249</v>
      </c>
      <c r="AD27" s="24"/>
    </row>
    <row r="28" spans="24:30" x14ac:dyDescent="0.2">
      <c r="X28" s="268">
        <v>37773</v>
      </c>
      <c r="Y28">
        <v>4.0057771036637199E-2</v>
      </c>
      <c r="Z28" s="18"/>
      <c r="AA28" s="19">
        <f t="shared" si="0"/>
        <v>2003</v>
      </c>
      <c r="AB28" s="18">
        <f t="shared" si="1"/>
        <v>6</v>
      </c>
      <c r="AC28" s="20">
        <f>(1+Y28/2)^(-(DATE(AA29,AB29,20)-[4]TradeSum!$A$3)/182.625)</f>
        <v>0.92861852935735956</v>
      </c>
      <c r="AD28" s="24"/>
    </row>
    <row r="29" spans="24:30" x14ac:dyDescent="0.2">
      <c r="X29" s="268">
        <v>37803</v>
      </c>
      <c r="Y29">
        <v>4.0512258666317399E-2</v>
      </c>
      <c r="Z29" s="18"/>
      <c r="AA29" s="19">
        <f t="shared" si="0"/>
        <v>2003</v>
      </c>
      <c r="AB29" s="18">
        <f t="shared" si="1"/>
        <v>7</v>
      </c>
      <c r="AC29" s="20">
        <f>(1+Y29/2)^(-(DATE(AA30,AB30,20)-[4]TradeSum!$A$3)/182.625)</f>
        <v>0.92469329425747382</v>
      </c>
      <c r="AD29" s="24"/>
    </row>
    <row r="30" spans="24:30" x14ac:dyDescent="0.2">
      <c r="X30" s="268">
        <v>37834</v>
      </c>
      <c r="Y30">
        <v>4.0981122992333099E-2</v>
      </c>
      <c r="Z30" s="18"/>
      <c r="AA30" s="19">
        <f t="shared" si="0"/>
        <v>2003</v>
      </c>
      <c r="AB30" s="18">
        <f t="shared" si="1"/>
        <v>8</v>
      </c>
      <c r="AC30" s="20">
        <f>(1+Y30/2)^(-(DATE(AA31,AB31,20)-[4]TradeSum!$A$3)/182.625)</f>
        <v>0.92068878453030767</v>
      </c>
      <c r="AD30" s="24"/>
    </row>
    <row r="31" spans="24:30" x14ac:dyDescent="0.2">
      <c r="X31" s="268">
        <v>37865</v>
      </c>
      <c r="Y31">
        <v>4.1449987392072202E-2</v>
      </c>
      <c r="Z31" s="18"/>
      <c r="AA31" s="19">
        <f t="shared" si="0"/>
        <v>2003</v>
      </c>
      <c r="AB31" s="18">
        <f t="shared" si="1"/>
        <v>9</v>
      </c>
      <c r="AC31" s="20">
        <f>(1+Y31/2)^(-(DATE(AA32,AB32,20)-[4]TradeSum!$A$3)/182.625)</f>
        <v>0.91673328819057276</v>
      </c>
      <c r="AD31" s="24"/>
    </row>
    <row r="32" spans="24:30" x14ac:dyDescent="0.2">
      <c r="X32" s="268">
        <v>37895</v>
      </c>
      <c r="Y32">
        <v>4.1894180887050804E-2</v>
      </c>
      <c r="Z32" s="18"/>
      <c r="AA32" s="19">
        <f t="shared" si="0"/>
        <v>2003</v>
      </c>
      <c r="AB32" s="18">
        <f t="shared" si="1"/>
        <v>10</v>
      </c>
      <c r="AC32" s="20">
        <f>(1+Y32/2)^(-(DATE(AA33,AB33,20)-[4]TradeSum!$A$3)/182.625)</f>
        <v>0.91267105843069118</v>
      </c>
      <c r="AD32" s="24"/>
    </row>
    <row r="33" spans="24:30" x14ac:dyDescent="0.2">
      <c r="X33" s="268">
        <v>37926</v>
      </c>
      <c r="Y33">
        <v>4.2341223726106901E-2</v>
      </c>
      <c r="Z33" s="18"/>
      <c r="AA33" s="19">
        <f t="shared" si="0"/>
        <v>2003</v>
      </c>
      <c r="AB33" s="18">
        <f t="shared" si="1"/>
        <v>11</v>
      </c>
      <c r="AC33" s="20">
        <f>(1+Y33/2)^(-(DATE(AA34,AB34,20)-[4]TradeSum!$A$3)/182.625)</f>
        <v>0.90865834333486328</v>
      </c>
      <c r="AD33" s="24"/>
    </row>
    <row r="34" spans="24:30" x14ac:dyDescent="0.2">
      <c r="X34" s="268">
        <v>37956</v>
      </c>
      <c r="Y34">
        <v>4.2773845892189098E-2</v>
      </c>
      <c r="Z34" s="18"/>
      <c r="AA34" s="19">
        <f t="shared" si="0"/>
        <v>2003</v>
      </c>
      <c r="AB34" s="18">
        <f t="shared" si="1"/>
        <v>12</v>
      </c>
      <c r="AC34" s="20">
        <f>(1+Y34/2)^(-(DATE(AA35,AB35,20)-[4]TradeSum!$A$3)/182.625)</f>
        <v>0.90452384405477593</v>
      </c>
      <c r="AD34" s="24"/>
    </row>
    <row r="35" spans="24:30" x14ac:dyDescent="0.2">
      <c r="X35" s="268">
        <v>37987</v>
      </c>
      <c r="Y35">
        <v>4.3214125189537704E-2</v>
      </c>
      <c r="Z35" s="18"/>
      <c r="AA35" s="19">
        <f t="shared" si="0"/>
        <v>2004</v>
      </c>
      <c r="AB35" s="18">
        <f t="shared" si="1"/>
        <v>1</v>
      </c>
      <c r="AC35" s="20">
        <f>(1+Y35/2)^(-(DATE(AA36,AB36,20)-[4]TradeSum!$A$3)/182.625)</f>
        <v>0.90032704046417211</v>
      </c>
      <c r="AD35" s="24"/>
    </row>
    <row r="36" spans="24:30" x14ac:dyDescent="0.2">
      <c r="X36" s="268">
        <v>38018</v>
      </c>
      <c r="Y36">
        <v>4.3647189965724503E-2</v>
      </c>
      <c r="Z36" s="18"/>
      <c r="AA36" s="19">
        <f t="shared" si="0"/>
        <v>2004</v>
      </c>
      <c r="AB36" s="18">
        <f t="shared" si="1"/>
        <v>2</v>
      </c>
      <c r="AC36" s="20">
        <f>(1+Y36/2)^(-(DATE(AA37,AB37,20)-[4]TradeSum!$A$3)/182.625)</f>
        <v>0.8963123211219497</v>
      </c>
      <c r="AD36" s="24"/>
    </row>
    <row r="37" spans="24:30" x14ac:dyDescent="0.2">
      <c r="X37" s="268">
        <v>38047</v>
      </c>
      <c r="Y37">
        <v>4.4052315135796806E-2</v>
      </c>
      <c r="Z37" s="18"/>
      <c r="AA37" s="19">
        <f t="shared" si="0"/>
        <v>2004</v>
      </c>
      <c r="AB37" s="18">
        <f t="shared" si="1"/>
        <v>3</v>
      </c>
      <c r="AC37" s="20">
        <f>(1+Y37/2)^(-(DATE(AA38,AB38,20)-[4]TradeSum!$A$3)/182.625)</f>
        <v>0.89210655360418001</v>
      </c>
      <c r="AD37" s="24"/>
    </row>
    <row r="38" spans="24:30" x14ac:dyDescent="0.2">
      <c r="X38" s="268">
        <v>38078</v>
      </c>
      <c r="Y38">
        <v>4.4455731687859296E-2</v>
      </c>
      <c r="Z38" s="18"/>
      <c r="AA38" s="19">
        <f t="shared" si="0"/>
        <v>2004</v>
      </c>
      <c r="AB38" s="18">
        <f t="shared" si="1"/>
        <v>4</v>
      </c>
      <c r="AC38" s="20">
        <f>(1+Y38/2)^(-(DATE(AA39,AB39,20)-[4]TradeSum!$A$3)/182.625)</f>
        <v>0.88797186248714488</v>
      </c>
      <c r="AD38" s="24"/>
    </row>
    <row r="39" spans="24:30" x14ac:dyDescent="0.2">
      <c r="X39" s="268">
        <v>38108</v>
      </c>
      <c r="Y39">
        <v>4.4815530107010601E-2</v>
      </c>
      <c r="Z39" s="18"/>
      <c r="AA39" s="19">
        <f t="shared" si="0"/>
        <v>2004</v>
      </c>
      <c r="AB39" s="18">
        <f t="shared" si="1"/>
        <v>5</v>
      </c>
      <c r="AC39" s="20">
        <f>(1+Y39/2)^(-(DATE(AA40,AB40,20)-[4]TradeSum!$A$3)/182.625)</f>
        <v>0.88379696363742133</v>
      </c>
      <c r="AD39" s="24"/>
    </row>
    <row r="40" spans="24:30" x14ac:dyDescent="0.2">
      <c r="X40" s="268">
        <v>38139</v>
      </c>
      <c r="Y40">
        <v>4.5187321852323305E-2</v>
      </c>
      <c r="Z40" s="18"/>
      <c r="AA40" s="19">
        <f t="shared" si="0"/>
        <v>2004</v>
      </c>
      <c r="AB40" s="18">
        <f t="shared" si="1"/>
        <v>6</v>
      </c>
      <c r="AC40" s="20">
        <f>(1+Y40/2)^(-(DATE(AA41,AB41,20)-[4]TradeSum!$A$3)/182.625)</f>
        <v>0.87966728428355223</v>
      </c>
      <c r="AD40" s="24"/>
    </row>
    <row r="41" spans="24:30" x14ac:dyDescent="0.2">
      <c r="X41" s="268">
        <v>38169</v>
      </c>
      <c r="Y41">
        <v>4.5533628113487302E-2</v>
      </c>
      <c r="Z41" s="18"/>
      <c r="AA41" s="19">
        <f t="shared" si="0"/>
        <v>2004</v>
      </c>
      <c r="AB41" s="18">
        <f t="shared" si="1"/>
        <v>7</v>
      </c>
      <c r="AC41" s="20">
        <f>(1+Y41/2)^(-(DATE(AA42,AB42,20)-[4]TradeSum!$A$3)/182.625)</f>
        <v>0.87546124443682927</v>
      </c>
      <c r="AD41" s="24"/>
    </row>
    <row r="42" spans="24:30" x14ac:dyDescent="0.2">
      <c r="X42" s="268">
        <v>38200</v>
      </c>
      <c r="Y42">
        <v>4.5876670055580202E-2</v>
      </c>
      <c r="Z42" s="18"/>
      <c r="AA42" s="19">
        <f t="shared" si="0"/>
        <v>2004</v>
      </c>
      <c r="AB42" s="18">
        <f t="shared" si="1"/>
        <v>8</v>
      </c>
      <c r="AC42" s="20">
        <f>(1+Y42/2)^(-(DATE(AA43,AB43,20)-[4]TradeSum!$A$3)/182.625)</f>
        <v>0.87123383610996497</v>
      </c>
      <c r="AD42" s="24"/>
    </row>
    <row r="43" spans="24:30" x14ac:dyDescent="0.2">
      <c r="X43" s="268">
        <v>38231</v>
      </c>
      <c r="Y43">
        <v>4.6219712037042407E-2</v>
      </c>
      <c r="Z43" s="18"/>
      <c r="AA43" s="19">
        <f t="shared" si="0"/>
        <v>2004</v>
      </c>
      <c r="AB43" s="18">
        <f t="shared" si="1"/>
        <v>9</v>
      </c>
      <c r="AC43" s="20">
        <f>(1+Y43/2)^(-(DATE(AA44,AB44,20)-[4]TradeSum!$A$3)/182.625)</f>
        <v>0.86708610334705938</v>
      </c>
      <c r="AD43" s="24"/>
    </row>
    <row r="44" spans="24:30" x14ac:dyDescent="0.2">
      <c r="X44" s="268">
        <v>38261</v>
      </c>
      <c r="Y44">
        <v>4.6537942019871298E-2</v>
      </c>
      <c r="Z44" s="18"/>
      <c r="AA44" s="19">
        <f t="shared" si="0"/>
        <v>2004</v>
      </c>
      <c r="AB44" s="18">
        <f t="shared" si="1"/>
        <v>10</v>
      </c>
      <c r="AC44" s="20">
        <f>(1+Y44/2)^(-(DATE(AA45,AB45,20)-[4]TradeSum!$A$3)/182.625)</f>
        <v>0.86286907665744417</v>
      </c>
      <c r="AD44" s="24"/>
    </row>
    <row r="45" spans="24:30" x14ac:dyDescent="0.2">
      <c r="X45" s="268">
        <v>38292</v>
      </c>
      <c r="Y45">
        <v>4.68535641465073E-2</v>
      </c>
      <c r="Z45" s="18"/>
      <c r="AA45" s="19">
        <f t="shared" si="0"/>
        <v>2004</v>
      </c>
      <c r="AB45" s="18">
        <f t="shared" si="1"/>
        <v>11</v>
      </c>
      <c r="AC45" s="20">
        <f>(1+Y45/2)^(-(DATE(AA46,AB46,20)-[4]TradeSum!$A$3)/182.625)</f>
        <v>0.85874344490290377</v>
      </c>
      <c r="AD45" s="24"/>
    </row>
    <row r="46" spans="24:30" x14ac:dyDescent="0.2">
      <c r="X46" s="268">
        <v>38322</v>
      </c>
      <c r="Y46">
        <v>4.7159004945937597E-2</v>
      </c>
      <c r="Z46" s="18"/>
      <c r="AA46" s="19">
        <f t="shared" si="0"/>
        <v>2004</v>
      </c>
      <c r="AB46" s="18">
        <f t="shared" si="1"/>
        <v>12</v>
      </c>
      <c r="AC46" s="20">
        <f>(1+Y46/2)^(-(DATE(AA47,AB47,20)-[4]TradeSum!$A$3)/182.625)</f>
        <v>0.8545139703631689</v>
      </c>
      <c r="AD46" s="24"/>
    </row>
    <row r="47" spans="24:30" x14ac:dyDescent="0.2">
      <c r="X47" s="268">
        <v>38353</v>
      </c>
      <c r="Y47">
        <v>4.7469003050307504E-2</v>
      </c>
      <c r="Z47" s="18"/>
      <c r="AA47" s="19">
        <f t="shared" si="0"/>
        <v>2005</v>
      </c>
      <c r="AB47" s="18">
        <f t="shared" si="1"/>
        <v>1</v>
      </c>
      <c r="AC47" s="20">
        <f>(1+Y47/2)^(-(DATE(AA48,AB48,20)-[4]TradeSum!$A$3)/182.625)</f>
        <v>0.85024929655585502</v>
      </c>
      <c r="AD47" s="24"/>
    </row>
    <row r="48" spans="24:30" x14ac:dyDescent="0.2">
      <c r="X48" s="268">
        <v>38384</v>
      </c>
      <c r="Y48">
        <v>4.7774369584604202E-2</v>
      </c>
      <c r="Z48" s="18"/>
      <c r="AA48" s="19">
        <f t="shared" si="0"/>
        <v>2005</v>
      </c>
      <c r="AB48" s="18">
        <f t="shared" si="1"/>
        <v>2</v>
      </c>
      <c r="AC48" s="20">
        <f>(1+Y48/2)^(-(DATE(AA49,AB49,20)-[4]TradeSum!$A$3)/182.625)</f>
        <v>0.84630423316319969</v>
      </c>
      <c r="AD48" s="24"/>
    </row>
    <row r="49" spans="24:30" x14ac:dyDescent="0.2">
      <c r="X49" s="268">
        <v>38412</v>
      </c>
      <c r="Y49">
        <v>4.8050184545597799E-2</v>
      </c>
      <c r="Z49" s="18"/>
      <c r="AA49" s="19">
        <f t="shared" si="0"/>
        <v>2005</v>
      </c>
      <c r="AB49" s="18">
        <f t="shared" si="1"/>
        <v>3</v>
      </c>
      <c r="AC49" s="20">
        <f>(1+Y49/2)^(-(DATE(AA50,AB50,20)-[4]TradeSum!$A$3)/182.625)</f>
        <v>0.84209839660439334</v>
      </c>
      <c r="AD49" s="24"/>
    </row>
    <row r="50" spans="24:30" x14ac:dyDescent="0.2">
      <c r="X50" s="268">
        <v>38443</v>
      </c>
      <c r="Y50">
        <v>4.8334287128667199E-2</v>
      </c>
      <c r="Z50" s="18"/>
      <c r="AA50" s="19">
        <f t="shared" si="0"/>
        <v>2005</v>
      </c>
      <c r="AB50" s="18">
        <f t="shared" si="1"/>
        <v>4</v>
      </c>
      <c r="AC50" s="20">
        <f>(1+Y50/2)^(-(DATE(AA51,AB51,20)-[4]TradeSum!$A$3)/182.625)</f>
        <v>0.83795971047107431</v>
      </c>
      <c r="AD50" s="24"/>
    </row>
    <row r="51" spans="24:30" x14ac:dyDescent="0.2">
      <c r="X51" s="268">
        <v>38473</v>
      </c>
      <c r="Y51">
        <v>4.8590594925488804E-2</v>
      </c>
      <c r="Z51" s="18"/>
      <c r="AA51" s="19">
        <f t="shared" si="0"/>
        <v>2005</v>
      </c>
      <c r="AB51" s="18">
        <f t="shared" si="1"/>
        <v>5</v>
      </c>
      <c r="AC51" s="20">
        <f>(1+Y51/2)^(-(DATE(AA52,AB52,20)-[4]TradeSum!$A$3)/182.625)</f>
        <v>0.83377949832270437</v>
      </c>
      <c r="AD51" s="24"/>
    </row>
    <row r="52" spans="24:30" x14ac:dyDescent="0.2">
      <c r="X52" s="268">
        <v>38504</v>
      </c>
      <c r="Y52">
        <v>4.8855446338596398E-2</v>
      </c>
      <c r="Z52" s="18"/>
      <c r="AA52" s="19">
        <f t="shared" si="0"/>
        <v>2005</v>
      </c>
      <c r="AB52" s="18">
        <f t="shared" si="1"/>
        <v>6</v>
      </c>
      <c r="AC52" s="20">
        <f>(1+Y52/2)^(-(DATE(AA53,AB53,20)-[4]TradeSum!$A$3)/182.625)</f>
        <v>0.82966785054008241</v>
      </c>
      <c r="AD52" s="24"/>
    </row>
    <row r="53" spans="24:30" x14ac:dyDescent="0.2">
      <c r="X53" s="268">
        <v>38534</v>
      </c>
      <c r="Y53">
        <v>4.9102957298906402E-2</v>
      </c>
      <c r="Z53" s="18"/>
      <c r="AA53" s="19">
        <f t="shared" si="0"/>
        <v>2005</v>
      </c>
      <c r="AB53" s="18">
        <f t="shared" si="1"/>
        <v>7</v>
      </c>
      <c r="AC53" s="20">
        <f>(1+Y53/2)^(-(DATE(AA54,AB54,20)-[4]TradeSum!$A$3)/182.625)</f>
        <v>0.82548708336782106</v>
      </c>
      <c r="AD53" s="24"/>
    </row>
    <row r="54" spans="24:30" x14ac:dyDescent="0.2">
      <c r="X54" s="268">
        <v>38565</v>
      </c>
      <c r="Y54">
        <v>4.9350252578422196E-2</v>
      </c>
      <c r="Z54" s="18"/>
      <c r="AA54" s="19">
        <f t="shared" si="0"/>
        <v>2005</v>
      </c>
      <c r="AB54" s="18">
        <f t="shared" si="1"/>
        <v>8</v>
      </c>
      <c r="AC54" s="20">
        <f>(1+Y54/2)^(-(DATE(AA55,AB55,20)-[4]TradeSum!$A$3)/182.625)</f>
        <v>0.8212944964979334</v>
      </c>
      <c r="AD54" s="24"/>
    </row>
    <row r="55" spans="24:30" x14ac:dyDescent="0.2">
      <c r="X55" s="268">
        <v>38596</v>
      </c>
      <c r="Y55">
        <v>4.9597547878363506E-2</v>
      </c>
      <c r="Z55" s="18"/>
      <c r="AA55" s="19">
        <f t="shared" si="0"/>
        <v>2005</v>
      </c>
      <c r="AB55" s="18">
        <f t="shared" si="1"/>
        <v>9</v>
      </c>
      <c r="AC55" s="20">
        <f>(1+Y55/2)^(-(DATE(AA56,AB56,20)-[4]TradeSum!$A$3)/182.625)</f>
        <v>0.817199432441718</v>
      </c>
      <c r="AD55" s="24"/>
    </row>
    <row r="56" spans="24:30" x14ac:dyDescent="0.2">
      <c r="X56" s="268">
        <v>38626</v>
      </c>
      <c r="Y56">
        <v>4.9808127948038905E-2</v>
      </c>
      <c r="Z56" s="18"/>
      <c r="AA56" s="19">
        <f t="shared" si="0"/>
        <v>2005</v>
      </c>
      <c r="AB56" s="18">
        <f t="shared" si="1"/>
        <v>10</v>
      </c>
      <c r="AC56" s="20">
        <f>(1+Y56/2)^(-(DATE(AA57,AB57,20)-[4]TradeSum!$A$3)/182.625)</f>
        <v>0.81310554160515058</v>
      </c>
      <c r="AD56" s="24"/>
    </row>
    <row r="57" spans="24:30" x14ac:dyDescent="0.2">
      <c r="X57" s="268">
        <v>38657</v>
      </c>
      <c r="Y57">
        <v>4.9999743441910799E-2</v>
      </c>
      <c r="Z57" s="18"/>
      <c r="AA57" s="19">
        <f t="shared" si="0"/>
        <v>2005</v>
      </c>
      <c r="AB57" s="18">
        <f t="shared" si="1"/>
        <v>11</v>
      </c>
      <c r="AC57" s="20">
        <f>(1+Y57/2)^(-(DATE(AA58,AB58,20)-[4]TradeSum!$A$3)/182.625)</f>
        <v>0.80917763521170982</v>
      </c>
      <c r="AD57" s="24"/>
    </row>
    <row r="58" spans="24:30" x14ac:dyDescent="0.2">
      <c r="X58" s="268">
        <v>38687</v>
      </c>
      <c r="Y58">
        <v>5.01851778024918E-2</v>
      </c>
      <c r="Z58" s="18"/>
      <c r="AA58" s="19">
        <f t="shared" si="0"/>
        <v>2005</v>
      </c>
      <c r="AB58" s="18">
        <f t="shared" si="1"/>
        <v>12</v>
      </c>
      <c r="AC58" s="20">
        <f>(1+Y58/2)^(-(DATE(AA59,AB59,20)-[4]TradeSum!$A$3)/182.625)</f>
        <v>0.8051559816576771</v>
      </c>
      <c r="AD58" s="24"/>
    </row>
    <row r="59" spans="24:30" x14ac:dyDescent="0.2">
      <c r="X59" s="268">
        <v>38718</v>
      </c>
      <c r="Y59">
        <v>5.0376793320485301E-2</v>
      </c>
      <c r="Z59" s="18"/>
      <c r="AA59" s="19">
        <f t="shared" si="0"/>
        <v>2006</v>
      </c>
      <c r="AB59" s="18">
        <f t="shared" si="1"/>
        <v>1</v>
      </c>
      <c r="AC59" s="20">
        <f>(1+Y59/2)^(-(DATE(AA60,AB60,20)-[4]TradeSum!$A$3)/182.625)</f>
        <v>0.80110824386175239</v>
      </c>
      <c r="AD59" s="24"/>
    </row>
    <row r="60" spans="24:30" x14ac:dyDescent="0.2">
      <c r="X60" s="268">
        <v>38749</v>
      </c>
      <c r="Y60">
        <v>5.0568408850735699E-2</v>
      </c>
      <c r="Z60" s="18"/>
      <c r="AA60" s="19">
        <f t="shared" si="0"/>
        <v>2006</v>
      </c>
      <c r="AB60" s="18">
        <f t="shared" si="1"/>
        <v>2</v>
      </c>
      <c r="AC60" s="20">
        <f>(1+Y60/2)^(-(DATE(AA61,AB61,20)-[4]TradeSum!$A$3)/182.625)</f>
        <v>0.79738263376601348</v>
      </c>
      <c r="AD60" s="24"/>
    </row>
    <row r="61" spans="24:30" x14ac:dyDescent="0.2">
      <c r="X61" s="268">
        <v>38777</v>
      </c>
      <c r="Y61">
        <v>5.0741480953108799E-2</v>
      </c>
      <c r="Z61" s="18"/>
      <c r="AA61" s="19">
        <f t="shared" si="0"/>
        <v>2006</v>
      </c>
      <c r="AB61" s="18">
        <f t="shared" si="1"/>
        <v>3</v>
      </c>
      <c r="AC61" s="20">
        <f>(1+Y61/2)^(-(DATE(AA62,AB62,20)-[4]TradeSum!$A$3)/182.625)</f>
        <v>0.79339124593433563</v>
      </c>
      <c r="AD61" s="24"/>
    </row>
    <row r="62" spans="24:30" x14ac:dyDescent="0.2">
      <c r="X62" s="268">
        <v>38808</v>
      </c>
      <c r="Y62">
        <v>5.0933096506683199E-2</v>
      </c>
      <c r="Z62" s="18"/>
      <c r="AA62" s="19">
        <f t="shared" si="0"/>
        <v>2006</v>
      </c>
      <c r="AB62" s="18">
        <f t="shared" si="1"/>
        <v>4</v>
      </c>
      <c r="AC62" s="20">
        <f>(1+Y62/2)^(-(DATE(AA63,AB63,20)-[4]TradeSum!$A$3)/182.625)</f>
        <v>0.78943883083495014</v>
      </c>
      <c r="AD62" s="24"/>
    </row>
    <row r="63" spans="24:30" x14ac:dyDescent="0.2">
      <c r="X63" s="268">
        <v>38838</v>
      </c>
      <c r="Y63">
        <v>5.1118530925035703E-2</v>
      </c>
      <c r="Z63" s="18"/>
      <c r="AA63" s="19">
        <f t="shared" si="0"/>
        <v>2006</v>
      </c>
      <c r="AB63" s="18">
        <f t="shared" si="1"/>
        <v>5</v>
      </c>
      <c r="AC63" s="20">
        <f>(1+Y63/2)^(-(DATE(AA64,AB64,20)-[4]TradeSum!$A$3)/182.625)</f>
        <v>0.78539615659208628</v>
      </c>
      <c r="AD63" s="24"/>
    </row>
    <row r="64" spans="24:30" x14ac:dyDescent="0.2">
      <c r="X64" s="268">
        <v>38869</v>
      </c>
      <c r="Y64">
        <v>5.1310146502721005E-2</v>
      </c>
      <c r="Z64" s="18"/>
      <c r="AA64" s="19">
        <f t="shared" si="0"/>
        <v>2006</v>
      </c>
      <c r="AB64" s="18">
        <f t="shared" si="1"/>
        <v>6</v>
      </c>
      <c r="AC64" s="20">
        <f>(1+Y64/2)^(-(DATE(AA65,AB65,20)-[4]TradeSum!$A$3)/182.625)</f>
        <v>0.78143571281247415</v>
      </c>
      <c r="AD64" s="24"/>
    </row>
    <row r="65" spans="24:30" x14ac:dyDescent="0.2">
      <c r="X65" s="268">
        <v>38899</v>
      </c>
      <c r="Y65">
        <v>5.14955809444042E-2</v>
      </c>
      <c r="Z65" s="18"/>
      <c r="AA65" s="19">
        <f t="shared" si="0"/>
        <v>2006</v>
      </c>
      <c r="AB65" s="18">
        <f t="shared" si="1"/>
        <v>7</v>
      </c>
      <c r="AC65" s="20">
        <f>(1+Y65/2)^(-(DATE(AA66,AB66,20)-[4]TradeSum!$A$3)/182.625)</f>
        <v>0.77738641494343319</v>
      </c>
      <c r="AD65" s="24"/>
    </row>
    <row r="66" spans="24:30" x14ac:dyDescent="0.2">
      <c r="X66" s="268">
        <v>38930</v>
      </c>
      <c r="Y66">
        <v>5.16871965461956E-2</v>
      </c>
      <c r="Z66" s="18"/>
      <c r="AA66" s="19">
        <f t="shared" si="0"/>
        <v>2006</v>
      </c>
      <c r="AB66" s="18">
        <f t="shared" si="1"/>
        <v>8</v>
      </c>
      <c r="AC66" s="20">
        <f>(1+Y66/2)^(-(DATE(AA67,AB67,20)-[4]TradeSum!$A$3)/182.625)</f>
        <v>0.77331095759124291</v>
      </c>
      <c r="AD66" s="24"/>
    </row>
    <row r="67" spans="24:30" x14ac:dyDescent="0.2">
      <c r="X67" s="268">
        <v>38961</v>
      </c>
      <c r="Y67">
        <v>5.1878812160235807E-2</v>
      </c>
      <c r="Z67" s="18"/>
      <c r="AA67" s="19">
        <f t="shared" si="0"/>
        <v>2006</v>
      </c>
      <c r="AB67" s="18">
        <f t="shared" si="1"/>
        <v>9</v>
      </c>
      <c r="AC67" s="20">
        <f>(1+Y67/2)^(-(DATE(AA68,AB68,20)-[4]TradeSum!$A$3)/182.625)</f>
        <v>0.76934041680903009</v>
      </c>
      <c r="AD67" s="24"/>
    </row>
    <row r="68" spans="24:30" x14ac:dyDescent="0.2">
      <c r="X68" s="268">
        <v>38991</v>
      </c>
      <c r="Y68">
        <v>5.2026960397764103E-2</v>
      </c>
      <c r="Z68" s="18"/>
      <c r="AA68" s="19">
        <f t="shared" si="0"/>
        <v>2006</v>
      </c>
      <c r="AB68" s="18">
        <f t="shared" si="1"/>
        <v>10</v>
      </c>
      <c r="AC68" s="20">
        <f>(1+Y68/2)^(-(DATE(AA69,AB69,20)-[4]TradeSum!$A$3)/182.625)</f>
        <v>0.76542789462515781</v>
      </c>
      <c r="AD68" s="24"/>
    </row>
    <row r="69" spans="24:30" x14ac:dyDescent="0.2">
      <c r="X69" s="268">
        <v>39022</v>
      </c>
      <c r="Y69">
        <v>5.2160782359776302E-2</v>
      </c>
      <c r="Z69" s="18"/>
      <c r="AA69" s="19">
        <f t="shared" si="0"/>
        <v>2006</v>
      </c>
      <c r="AB69" s="18">
        <f t="shared" si="1"/>
        <v>11</v>
      </c>
      <c r="AC69" s="20">
        <f>(1+Y69/2)^(-(DATE(AA70,AB70,20)-[4]TradeSum!$A$3)/182.625)</f>
        <v>0.76168026083905926</v>
      </c>
      <c r="AD69" s="24"/>
    </row>
    <row r="70" spans="24:30" x14ac:dyDescent="0.2">
      <c r="X70" s="268">
        <v>39052</v>
      </c>
      <c r="Y70">
        <v>5.2290287489991504E-2</v>
      </c>
      <c r="Z70" s="18"/>
      <c r="AA70" s="19">
        <f t="shared" si="0"/>
        <v>2006</v>
      </c>
      <c r="AB70" s="18">
        <f t="shared" si="1"/>
        <v>12</v>
      </c>
      <c r="AC70" s="20">
        <f>(1+Y70/2)^(-(DATE(AA71,AB71,20)-[4]TradeSum!$A$3)/182.625)</f>
        <v>0.75784478184576798</v>
      </c>
      <c r="AD70" s="24"/>
    </row>
    <row r="71" spans="24:30" x14ac:dyDescent="0.2">
      <c r="X71" s="268">
        <v>39083</v>
      </c>
      <c r="Y71">
        <v>5.2424109463756502E-2</v>
      </c>
      <c r="Z71" s="18"/>
      <c r="AA71" s="19">
        <f t="shared" si="0"/>
        <v>2007</v>
      </c>
      <c r="AB71" s="18">
        <f t="shared" si="1"/>
        <v>1</v>
      </c>
      <c r="AC71" s="20">
        <f>(1+Y71/2)^(-(DATE(AA72,AB72,20)-[4]TradeSum!$A$3)/182.625)</f>
        <v>0.75399518855668823</v>
      </c>
      <c r="AD71" s="24"/>
    </row>
    <row r="72" spans="24:30" x14ac:dyDescent="0.2">
      <c r="X72" s="268">
        <v>39114</v>
      </c>
      <c r="Y72">
        <v>5.2557931443494105E-2</v>
      </c>
      <c r="Z72" s="18"/>
      <c r="AA72" s="19">
        <f t="shared" si="0"/>
        <v>2007</v>
      </c>
      <c r="AB72" s="18">
        <f t="shared" si="1"/>
        <v>2</v>
      </c>
      <c r="AC72" s="20">
        <f>(1+Y72/2)^(-(DATE(AA73,AB73,20)-[4]TradeSum!$A$3)/182.625)</f>
        <v>0.75046829537306492</v>
      </c>
      <c r="AD72" s="24"/>
    </row>
    <row r="73" spans="24:30" x14ac:dyDescent="0.2">
      <c r="X73" s="268">
        <v>39142</v>
      </c>
      <c r="Y73">
        <v>5.2678802914196701E-2</v>
      </c>
      <c r="Z73" s="18"/>
      <c r="AA73" s="19">
        <f t="shared" ref="AA73:AA136" si="2">YEAR(X73)</f>
        <v>2007</v>
      </c>
      <c r="AB73" s="18">
        <f t="shared" ref="AB73:AB136" si="3">MONTH(X73)</f>
        <v>3</v>
      </c>
      <c r="AC73" s="20">
        <f>(1+Y73/2)^(-(DATE(AA74,AB74,20)-[4]TradeSum!$A$3)/182.625)</f>
        <v>0.74667691757088683</v>
      </c>
      <c r="AD73" s="24"/>
    </row>
    <row r="74" spans="24:30" x14ac:dyDescent="0.2">
      <c r="X74" s="268">
        <v>39173</v>
      </c>
      <c r="Y74">
        <v>5.2812624905299407E-2</v>
      </c>
      <c r="Z74" s="18"/>
      <c r="AA74" s="19">
        <f t="shared" si="2"/>
        <v>2007</v>
      </c>
      <c r="AB74" s="18">
        <f t="shared" si="3"/>
        <v>4</v>
      </c>
      <c r="AC74" s="20">
        <f>(1+Y74/2)^(-(DATE(AA75,AB75,20)-[4]TradeSum!$A$3)/182.625)</f>
        <v>0.74294244085995753</v>
      </c>
      <c r="AD74" s="24"/>
    </row>
    <row r="75" spans="24:30" x14ac:dyDescent="0.2">
      <c r="X75" s="268">
        <v>39203</v>
      </c>
      <c r="Y75">
        <v>5.2942130063665001E-2</v>
      </c>
      <c r="Z75" s="18"/>
      <c r="AA75" s="19">
        <f t="shared" si="2"/>
        <v>2007</v>
      </c>
      <c r="AB75" s="18">
        <f t="shared" si="3"/>
        <v>5</v>
      </c>
      <c r="AC75" s="20">
        <f>(1+Y75/2)^(-(DATE(AA76,AB76,20)-[4]TradeSum!$A$3)/182.625)</f>
        <v>0.73912307339260708</v>
      </c>
      <c r="AD75" s="24"/>
    </row>
    <row r="76" spans="24:30" x14ac:dyDescent="0.2">
      <c r="X76" s="268">
        <v>39234</v>
      </c>
      <c r="Y76">
        <v>5.3075952066516906E-2</v>
      </c>
      <c r="Z76" s="18"/>
      <c r="AA76" s="19">
        <f t="shared" si="2"/>
        <v>2007</v>
      </c>
      <c r="AB76" s="18">
        <f t="shared" si="3"/>
        <v>6</v>
      </c>
      <c r="AC76" s="20">
        <f>(1+Y76/2)^(-(DATE(AA77,AB77,20)-[4]TradeSum!$A$3)/182.625)</f>
        <v>0.73539493870757378</v>
      </c>
      <c r="AD76" s="24"/>
    </row>
    <row r="77" spans="24:30" x14ac:dyDescent="0.2">
      <c r="X77" s="268">
        <v>39264</v>
      </c>
      <c r="Y77">
        <v>5.3205457236252099E-2</v>
      </c>
      <c r="Z77" s="18"/>
      <c r="AA77" s="19">
        <f t="shared" si="2"/>
        <v>2007</v>
      </c>
      <c r="AB77" s="18">
        <f t="shared" si="3"/>
        <v>7</v>
      </c>
      <c r="AC77" s="20">
        <f>(1+Y77/2)^(-(DATE(AA78,AB78,20)-[4]TradeSum!$A$3)/182.625)</f>
        <v>0.73158309737311622</v>
      </c>
      <c r="AD77" s="24"/>
    </row>
    <row r="78" spans="24:30" x14ac:dyDescent="0.2">
      <c r="X78" s="268">
        <v>39295</v>
      </c>
      <c r="Y78">
        <v>5.3339279250852002E-2</v>
      </c>
      <c r="Z78" s="18"/>
      <c r="AA78" s="19">
        <f t="shared" si="2"/>
        <v>2007</v>
      </c>
      <c r="AB78" s="18">
        <f t="shared" si="3"/>
        <v>8</v>
      </c>
      <c r="AC78" s="20">
        <f>(1+Y78/2)^(-(DATE(AA79,AB79,20)-[4]TradeSum!$A$3)/182.625)</f>
        <v>0.72775699106374958</v>
      </c>
      <c r="AD78" s="24"/>
    </row>
    <row r="79" spans="24:30" x14ac:dyDescent="0.2">
      <c r="X79" s="268">
        <v>39326</v>
      </c>
      <c r="Y79">
        <v>5.3473101271421401E-2</v>
      </c>
      <c r="Z79" s="18"/>
      <c r="AA79" s="19">
        <f t="shared" si="2"/>
        <v>2007</v>
      </c>
      <c r="AB79" s="18">
        <f t="shared" si="3"/>
        <v>9</v>
      </c>
      <c r="AC79" s="20">
        <f>(1+Y79/2)^(-(DATE(AA80,AB80,20)-[4]TradeSum!$A$3)/182.625)</f>
        <v>0.72403951475885509</v>
      </c>
      <c r="AD79" s="24"/>
    </row>
    <row r="80" spans="24:30" x14ac:dyDescent="0.2">
      <c r="X80" s="268">
        <v>39356</v>
      </c>
      <c r="Y80">
        <v>5.3602606458301498E-2</v>
      </c>
      <c r="Z80" s="18"/>
      <c r="AA80" s="19">
        <f t="shared" si="2"/>
        <v>2007</v>
      </c>
      <c r="AB80" s="18">
        <f t="shared" si="3"/>
        <v>10</v>
      </c>
      <c r="AC80" s="20">
        <f>(1+Y80/2)^(-(DATE(AA81,AB81,20)-[4]TradeSum!$A$3)/182.625)</f>
        <v>0.72024010681096529</v>
      </c>
      <c r="AD80" s="24"/>
    </row>
    <row r="81" spans="24:30" x14ac:dyDescent="0.2">
      <c r="X81" s="268">
        <v>39387</v>
      </c>
      <c r="Y81">
        <v>5.3736428490616599E-2</v>
      </c>
      <c r="Z81" s="18"/>
      <c r="AA81" s="19">
        <f t="shared" si="2"/>
        <v>2007</v>
      </c>
      <c r="AB81" s="18">
        <f t="shared" si="3"/>
        <v>11</v>
      </c>
      <c r="AC81" s="20">
        <f>(1+Y81/2)^(-(DATE(AA82,AB82,20)-[4]TradeSum!$A$3)/182.625)</f>
        <v>0.7165304107718713</v>
      </c>
      <c r="AD81" s="24"/>
    </row>
    <row r="82" spans="24:30" x14ac:dyDescent="0.2">
      <c r="X82" s="268">
        <v>39417</v>
      </c>
      <c r="Y82">
        <v>5.3865933688861799E-2</v>
      </c>
      <c r="Z82" s="18"/>
      <c r="AA82" s="19">
        <f t="shared" si="2"/>
        <v>2007</v>
      </c>
      <c r="AB82" s="18">
        <f t="shared" si="3"/>
        <v>12</v>
      </c>
      <c r="AC82" s="20">
        <f>(1+Y82/2)^(-(DATE(AA83,AB83,20)-[4]TradeSum!$A$3)/182.625)</f>
        <v>0.71273995251813582</v>
      </c>
      <c r="AD82" s="24"/>
    </row>
    <row r="83" spans="24:30" x14ac:dyDescent="0.2">
      <c r="X83" s="268">
        <v>39448</v>
      </c>
      <c r="Y83">
        <v>5.3999755732920797E-2</v>
      </c>
      <c r="Z83" s="18"/>
      <c r="AA83" s="19">
        <f t="shared" si="2"/>
        <v>2008</v>
      </c>
      <c r="AB83" s="18">
        <f t="shared" si="3"/>
        <v>1</v>
      </c>
      <c r="AC83" s="20">
        <f>(1+Y83/2)^(-(DATE(AA84,AB84,20)-[4]TradeSum!$A$3)/182.625)</f>
        <v>0.7089351672257167</v>
      </c>
      <c r="AD83" s="24"/>
    </row>
    <row r="84" spans="24:30" x14ac:dyDescent="0.2">
      <c r="X84" s="268">
        <v>39479</v>
      </c>
      <c r="Y84">
        <v>5.4133577782947501E-2</v>
      </c>
      <c r="Z84" s="18"/>
      <c r="AA84" s="19">
        <f t="shared" si="2"/>
        <v>2008</v>
      </c>
      <c r="AB84" s="18">
        <f t="shared" si="3"/>
        <v>2</v>
      </c>
      <c r="AC84" s="20">
        <f>(1+Y84/2)^(-(DATE(AA85,AB85,20)-[4]TradeSum!$A$3)/182.625)</f>
        <v>0.70534140181625138</v>
      </c>
      <c r="AD84" s="24"/>
    </row>
    <row r="85" spans="24:30" x14ac:dyDescent="0.2">
      <c r="X85" s="268">
        <v>39508</v>
      </c>
      <c r="Y85">
        <v>5.42587661577296E-2</v>
      </c>
      <c r="Z85" s="18"/>
      <c r="AA85" s="19">
        <f t="shared" si="2"/>
        <v>2008</v>
      </c>
      <c r="AB85" s="18">
        <f t="shared" si="3"/>
        <v>3</v>
      </c>
      <c r="AC85" s="20">
        <f>(1+Y85/2)^(-(DATE(AA86,AB86,20)-[4]TradeSum!$A$3)/182.625)</f>
        <v>0.70158469504025089</v>
      </c>
      <c r="AD85" s="24"/>
    </row>
    <row r="86" spans="24:30" x14ac:dyDescent="0.2">
      <c r="X86" s="268">
        <v>39539</v>
      </c>
      <c r="Y86">
        <v>5.4392588219305302E-2</v>
      </c>
      <c r="Z86" s="18"/>
      <c r="AA86" s="19">
        <f t="shared" si="2"/>
        <v>2008</v>
      </c>
      <c r="AB86" s="18">
        <f t="shared" si="3"/>
        <v>4</v>
      </c>
      <c r="AC86" s="20">
        <f>(1+Y86/2)^(-(DATE(AA87,AB87,20)-[4]TradeSum!$A$3)/182.625)</f>
        <v>0.69789680152929268</v>
      </c>
      <c r="AD86" s="24"/>
    </row>
    <row r="87" spans="24:30" x14ac:dyDescent="0.2">
      <c r="X87" s="268">
        <v>39569</v>
      </c>
      <c r="Y87">
        <v>5.4522093445866102E-2</v>
      </c>
      <c r="Z87" s="18"/>
      <c r="AA87" s="19">
        <f t="shared" si="2"/>
        <v>2008</v>
      </c>
      <c r="AB87" s="18">
        <f t="shared" si="3"/>
        <v>5</v>
      </c>
      <c r="AC87" s="20">
        <f>(1+Y87/2)^(-(DATE(AA88,AB88,20)-[4]TradeSum!$A$3)/182.625)</f>
        <v>0.69413103252179442</v>
      </c>
      <c r="AD87" s="24"/>
    </row>
    <row r="88" spans="24:30" x14ac:dyDescent="0.2">
      <c r="X88" s="268">
        <v>39600</v>
      </c>
      <c r="Y88">
        <v>5.4655915519182099E-2</v>
      </c>
      <c r="Z88" s="18"/>
      <c r="AA88" s="19">
        <f t="shared" si="2"/>
        <v>2008</v>
      </c>
      <c r="AB88" s="18">
        <f t="shared" si="3"/>
        <v>6</v>
      </c>
      <c r="AC88" s="20">
        <f>(1+Y88/2)^(-(DATE(AA89,AB89,20)-[4]TradeSum!$A$3)/182.625)</f>
        <v>0.69045283654908818</v>
      </c>
      <c r="AD88" s="24"/>
    </row>
    <row r="89" spans="24:30" x14ac:dyDescent="0.2">
      <c r="X89" s="268">
        <v>39630</v>
      </c>
      <c r="Y89">
        <v>5.4785420757103701E-2</v>
      </c>
      <c r="Z89" s="18"/>
      <c r="AA89" s="19">
        <f t="shared" si="2"/>
        <v>2008</v>
      </c>
      <c r="AB89" s="18">
        <f t="shared" si="3"/>
        <v>7</v>
      </c>
      <c r="AC89" s="20">
        <f>(1+Y89/2)^(-(DATE(AA90,AB90,20)-[4]TradeSum!$A$3)/182.625)</f>
        <v>0.68669791216134901</v>
      </c>
      <c r="AD89" s="24"/>
    </row>
    <row r="90" spans="24:30" x14ac:dyDescent="0.2">
      <c r="X90" s="268">
        <v>39661</v>
      </c>
      <c r="Y90">
        <v>5.4919242842158301E-2</v>
      </c>
      <c r="Z90" s="18"/>
      <c r="AA90" s="19">
        <f t="shared" si="2"/>
        <v>2008</v>
      </c>
      <c r="AB90" s="18">
        <f t="shared" si="3"/>
        <v>8</v>
      </c>
      <c r="AC90" s="20">
        <f>(1+Y90/2)^(-(DATE(AA91,AB91,20)-[4]TradeSum!$A$3)/182.625)</f>
        <v>0.6829286354836307</v>
      </c>
      <c r="AD90" s="24"/>
    </row>
    <row r="91" spans="24:30" x14ac:dyDescent="0.2">
      <c r="X91" s="268">
        <v>39692</v>
      </c>
      <c r="Y91">
        <v>5.5053064933177999E-2</v>
      </c>
      <c r="Z91" s="18"/>
      <c r="AA91" s="19">
        <f t="shared" si="2"/>
        <v>2008</v>
      </c>
      <c r="AB91" s="18">
        <f t="shared" si="3"/>
        <v>9</v>
      </c>
      <c r="AC91" s="20">
        <f>(1+Y91/2)^(-(DATE(AA92,AB92,20)-[4]TradeSum!$A$3)/182.625)</f>
        <v>0.679266065657119</v>
      </c>
      <c r="AD91" s="24"/>
    </row>
    <row r="92" spans="24:30" x14ac:dyDescent="0.2">
      <c r="X92" s="268">
        <v>39722</v>
      </c>
      <c r="Y92">
        <v>5.5143179268796395E-2</v>
      </c>
      <c r="Z92" s="18"/>
      <c r="AA92" s="19">
        <f t="shared" si="2"/>
        <v>2008</v>
      </c>
      <c r="AB92" s="18">
        <f t="shared" si="3"/>
        <v>10</v>
      </c>
      <c r="AC92" s="20">
        <f>(1+Y92/2)^(-(DATE(AA93,AB93,20)-[4]TradeSum!$A$3)/182.625)</f>
        <v>0.6757151135710957</v>
      </c>
      <c r="AD92" s="24"/>
    </row>
    <row r="93" spans="24:30" x14ac:dyDescent="0.2">
      <c r="X93" s="268">
        <v>39753</v>
      </c>
      <c r="Y93">
        <v>5.5218852868032603E-2</v>
      </c>
      <c r="Z93" s="18"/>
      <c r="AA93" s="19">
        <f t="shared" si="2"/>
        <v>2008</v>
      </c>
      <c r="AB93" s="18">
        <f t="shared" si="3"/>
        <v>11</v>
      </c>
      <c r="AC93" s="20">
        <f>(1+Y93/2)^(-(DATE(AA94,AB94,20)-[4]TradeSum!$A$3)/182.625)</f>
        <v>0.67234186914257754</v>
      </c>
      <c r="AD93" s="24"/>
    </row>
    <row r="94" spans="24:30" x14ac:dyDescent="0.2">
      <c r="X94" s="268">
        <v>39783</v>
      </c>
      <c r="Y94">
        <v>5.5292085385238103E-2</v>
      </c>
      <c r="Z94" s="18"/>
      <c r="AA94" s="19">
        <f t="shared" si="2"/>
        <v>2008</v>
      </c>
      <c r="AB94" s="18">
        <f t="shared" si="3"/>
        <v>12</v>
      </c>
      <c r="AC94" s="20">
        <f>(1+Y94/2)^(-(DATE(AA95,AB95,20)-[4]TradeSum!$A$3)/182.625)</f>
        <v>0.66888920659905837</v>
      </c>
      <c r="AD94" s="24"/>
    </row>
    <row r="95" spans="24:30" x14ac:dyDescent="0.2">
      <c r="X95" s="268">
        <v>39814</v>
      </c>
      <c r="Y95">
        <v>5.53677589882264E-2</v>
      </c>
      <c r="Z95" s="18"/>
      <c r="AA95" s="19">
        <f t="shared" si="2"/>
        <v>2009</v>
      </c>
      <c r="AB95" s="18">
        <f t="shared" si="3"/>
        <v>1</v>
      </c>
      <c r="AC95" s="20">
        <f>(1+Y95/2)^(-(DATE(AA96,AB96,20)-[4]TradeSum!$A$3)/182.625)</f>
        <v>0.6654344489761197</v>
      </c>
      <c r="AD95" s="24"/>
    </row>
    <row r="96" spans="24:30" x14ac:dyDescent="0.2">
      <c r="X96" s="268">
        <v>39845</v>
      </c>
      <c r="Y96">
        <v>5.5443432593122101E-2</v>
      </c>
      <c r="Z96" s="18"/>
      <c r="AA96" s="19">
        <f t="shared" si="2"/>
        <v>2009</v>
      </c>
      <c r="AB96" s="18">
        <f t="shared" si="3"/>
        <v>2</v>
      </c>
      <c r="AC96" s="20">
        <f>(1+Y96/2)^(-(DATE(AA97,AB97,20)-[4]TradeSum!$A$3)/182.625)</f>
        <v>0.66228669939628637</v>
      </c>
      <c r="AD96" s="24"/>
    </row>
    <row r="97" spans="24:30" x14ac:dyDescent="0.2">
      <c r="X97" s="268">
        <v>39873</v>
      </c>
      <c r="Y97">
        <v>5.5511782947570407E-2</v>
      </c>
      <c r="Z97" s="18"/>
      <c r="AA97" s="19">
        <f t="shared" si="2"/>
        <v>2009</v>
      </c>
      <c r="AB97" s="18">
        <f t="shared" si="3"/>
        <v>3</v>
      </c>
      <c r="AC97" s="20">
        <f>(1+Y97/2)^(-(DATE(AA98,AB98,20)-[4]TradeSum!$A$3)/182.625)</f>
        <v>0.65888576945079658</v>
      </c>
      <c r="AD97" s="24"/>
    </row>
    <row r="98" spans="24:30" x14ac:dyDescent="0.2">
      <c r="X98" s="268">
        <v>39904</v>
      </c>
      <c r="Y98">
        <v>5.5587456556095205E-2</v>
      </c>
      <c r="Z98" s="18"/>
      <c r="AA98" s="19">
        <f t="shared" si="2"/>
        <v>2009</v>
      </c>
      <c r="AB98" s="18">
        <f t="shared" si="3"/>
        <v>4</v>
      </c>
      <c r="AC98" s="20">
        <f>(1+Y98/2)^(-(DATE(AA99,AB99,20)-[4]TradeSum!$A$3)/182.625)</f>
        <v>0.65555733317776499</v>
      </c>
      <c r="AD98" s="24"/>
    </row>
    <row r="99" spans="24:30" x14ac:dyDescent="0.2">
      <c r="X99" s="268">
        <v>39934</v>
      </c>
      <c r="Y99">
        <v>5.5660689082289903E-2</v>
      </c>
      <c r="Z99" s="18"/>
      <c r="AA99" s="19">
        <f t="shared" si="2"/>
        <v>2009</v>
      </c>
      <c r="AB99" s="18">
        <f t="shared" si="3"/>
        <v>5</v>
      </c>
      <c r="AC99" s="20">
        <f>(1+Y99/2)^(-(DATE(AA100,AB100,20)-[4]TradeSum!$A$3)/182.625)</f>
        <v>0.65215186180884288</v>
      </c>
      <c r="AD99" s="24"/>
    </row>
    <row r="100" spans="24:30" x14ac:dyDescent="0.2">
      <c r="X100" s="268">
        <v>39965</v>
      </c>
      <c r="Y100">
        <v>5.5736362694566798E-2</v>
      </c>
      <c r="Z100" s="18"/>
      <c r="AA100" s="19">
        <f t="shared" si="2"/>
        <v>2009</v>
      </c>
      <c r="AB100" s="18">
        <f t="shared" si="3"/>
        <v>6</v>
      </c>
      <c r="AC100" s="20">
        <f>(1+Y100/2)^(-(DATE(AA101,AB101,20)-[4]TradeSum!$A$3)/182.625)</f>
        <v>0.64884177003306864</v>
      </c>
      <c r="AD100" s="24"/>
    </row>
    <row r="101" spans="24:30" x14ac:dyDescent="0.2">
      <c r="X101" s="268">
        <v>39995</v>
      </c>
      <c r="Y101">
        <v>5.5809595224392002E-2</v>
      </c>
      <c r="Z101" s="18"/>
      <c r="AA101" s="19">
        <f t="shared" si="2"/>
        <v>2009</v>
      </c>
      <c r="AB101" s="18">
        <f t="shared" si="3"/>
        <v>7</v>
      </c>
      <c r="AC101" s="20">
        <f>(1+Y101/2)^(-(DATE(AA102,AB102,20)-[4]TradeSum!$A$3)/182.625)</f>
        <v>0.6454555936609947</v>
      </c>
      <c r="AD101" s="24"/>
    </row>
    <row r="102" spans="24:30" x14ac:dyDescent="0.2">
      <c r="X102" s="268">
        <v>40026</v>
      </c>
      <c r="Y102">
        <v>5.5885268840420596E-2</v>
      </c>
      <c r="Z102" s="18"/>
      <c r="AA102" s="19">
        <f t="shared" si="2"/>
        <v>2009</v>
      </c>
      <c r="AB102" s="18">
        <f t="shared" si="3"/>
        <v>8</v>
      </c>
      <c r="AC102" s="20">
        <f>(1+Y102/2)^(-(DATE(AA103,AB103,20)-[4]TradeSum!$A$3)/182.625)</f>
        <v>0.64206708053258443</v>
      </c>
      <c r="AD102" s="24"/>
    </row>
    <row r="103" spans="24:30" x14ac:dyDescent="0.2">
      <c r="X103" s="268">
        <v>40057</v>
      </c>
      <c r="Y103">
        <v>5.5960942458355603E-2</v>
      </c>
      <c r="Z103" s="18"/>
      <c r="AA103" s="19">
        <f t="shared" si="2"/>
        <v>2009</v>
      </c>
      <c r="AB103" s="18">
        <f t="shared" si="3"/>
        <v>9</v>
      </c>
      <c r="AC103" s="20">
        <f>(1+Y103/2)^(-(DATE(AA104,AB104,20)-[4]TradeSum!$A$3)/182.625)</f>
        <v>0.63878490758041329</v>
      </c>
      <c r="AD103" s="24"/>
    </row>
    <row r="104" spans="24:30" x14ac:dyDescent="0.2">
      <c r="X104" s="268">
        <v>40087</v>
      </c>
      <c r="Y104">
        <v>5.6034174993656399E-2</v>
      </c>
      <c r="Z104" s="18"/>
      <c r="AA104" s="19">
        <f t="shared" si="2"/>
        <v>2009</v>
      </c>
      <c r="AB104" s="18">
        <f t="shared" si="3"/>
        <v>10</v>
      </c>
      <c r="AC104" s="20">
        <f>(1+Y104/2)^(-(DATE(AA105,AB105,20)-[4]TradeSum!$A$3)/182.625)</f>
        <v>0.63542807023647185</v>
      </c>
      <c r="AD104" s="24"/>
    </row>
    <row r="105" spans="24:30" x14ac:dyDescent="0.2">
      <c r="X105" s="268">
        <v>40118</v>
      </c>
      <c r="Y105">
        <v>5.61098486153431E-2</v>
      </c>
      <c r="Z105" s="18"/>
      <c r="AA105" s="19">
        <f t="shared" si="2"/>
        <v>2009</v>
      </c>
      <c r="AB105" s="18">
        <f t="shared" si="3"/>
        <v>11</v>
      </c>
      <c r="AC105" s="20">
        <f>(1+Y105/2)^(-(DATE(AA106,AB106,20)-[4]TradeSum!$A$3)/182.625)</f>
        <v>0.63216456954989675</v>
      </c>
      <c r="AD105" s="24"/>
    </row>
    <row r="106" spans="24:30" x14ac:dyDescent="0.2">
      <c r="X106" s="268">
        <v>40148</v>
      </c>
      <c r="Y106">
        <v>5.6183081154273805E-2</v>
      </c>
      <c r="Z106" s="18"/>
      <c r="AA106" s="19">
        <f t="shared" si="2"/>
        <v>2009</v>
      </c>
      <c r="AB106" s="18">
        <f t="shared" si="3"/>
        <v>12</v>
      </c>
      <c r="AC106" s="20">
        <f>(1+Y106/2)^(-(DATE(AA107,AB107,20)-[4]TradeSum!$A$3)/182.625)</f>
        <v>0.62882733725184947</v>
      </c>
      <c r="AD106" s="24"/>
    </row>
    <row r="107" spans="24:30" x14ac:dyDescent="0.2">
      <c r="X107" s="268">
        <v>40179</v>
      </c>
      <c r="Y107">
        <v>5.6258754779711304E-2</v>
      </c>
      <c r="Z107" s="18"/>
      <c r="AA107" s="19">
        <f t="shared" si="2"/>
        <v>2010</v>
      </c>
      <c r="AB107" s="18">
        <f t="shared" si="3"/>
        <v>1</v>
      </c>
      <c r="AC107" s="20">
        <f>(1+Y107/2)^(-(DATE(AA108,AB108,20)-[4]TradeSum!$A$3)/182.625)</f>
        <v>0.62548761260047969</v>
      </c>
      <c r="AD107" s="24"/>
    </row>
    <row r="108" spans="24:30" x14ac:dyDescent="0.2">
      <c r="X108" s="268">
        <v>40210</v>
      </c>
      <c r="Y108">
        <v>5.6334428407055305E-2</v>
      </c>
      <c r="Z108" s="18"/>
      <c r="AA108" s="19">
        <f t="shared" si="2"/>
        <v>2010</v>
      </c>
      <c r="AB108" s="18">
        <f t="shared" si="3"/>
        <v>2</v>
      </c>
      <c r="AC108" s="20">
        <f>(1+Y108/2)^(-(DATE(AA109,AB109,20)-[4]TradeSum!$A$3)/182.625)</f>
        <v>0.6224418274076523</v>
      </c>
      <c r="AD108" s="24"/>
    </row>
    <row r="109" spans="24:30" x14ac:dyDescent="0.2">
      <c r="X109" s="268">
        <v>40238</v>
      </c>
      <c r="Y109">
        <v>5.6402778781777997E-2</v>
      </c>
      <c r="Z109" s="18"/>
      <c r="AA109" s="19">
        <f t="shared" si="2"/>
        <v>2010</v>
      </c>
      <c r="AB109" s="18">
        <f t="shared" si="3"/>
        <v>3</v>
      </c>
      <c r="AC109" s="20">
        <f>(1+Y109/2)^(-(DATE(AA110,AB110,20)-[4]TradeSum!$A$3)/182.625)</f>
        <v>0.61915895535916332</v>
      </c>
      <c r="AD109" s="24"/>
    </row>
    <row r="110" spans="24:30" x14ac:dyDescent="0.2">
      <c r="X110" s="268">
        <v>40269</v>
      </c>
      <c r="Y110">
        <v>5.6478452412749298E-2</v>
      </c>
      <c r="Z110" s="18"/>
      <c r="AA110" s="19">
        <f t="shared" si="2"/>
        <v>2010</v>
      </c>
      <c r="AB110" s="18">
        <f t="shared" si="3"/>
        <v>4</v>
      </c>
      <c r="AC110" s="20">
        <f>(1+Y110/2)^(-(DATE(AA111,AB111,20)-[4]TradeSum!$A$3)/182.625)</f>
        <v>0.61594219881196377</v>
      </c>
      <c r="AD110" s="24"/>
    </row>
    <row r="111" spans="24:30" x14ac:dyDescent="0.2">
      <c r="X111" s="268">
        <v>40299</v>
      </c>
      <c r="Y111">
        <v>5.6551684960665302E-2</v>
      </c>
      <c r="Z111" s="18"/>
      <c r="AA111" s="19">
        <f t="shared" si="2"/>
        <v>2010</v>
      </c>
      <c r="AB111" s="18">
        <f t="shared" si="3"/>
        <v>5</v>
      </c>
      <c r="AC111" s="20">
        <f>(1+Y111/2)^(-(DATE(AA112,AB112,20)-[4]TradeSum!$A$3)/182.625)</f>
        <v>0.61265398906475754</v>
      </c>
      <c r="AD111" s="24"/>
    </row>
    <row r="112" spans="24:30" x14ac:dyDescent="0.2">
      <c r="X112" s="268">
        <v>40330</v>
      </c>
      <c r="Y112">
        <v>5.6627358595386902E-2</v>
      </c>
      <c r="Z112" s="18"/>
      <c r="AA112" s="19">
        <f t="shared" si="2"/>
        <v>2010</v>
      </c>
      <c r="AB112" s="18">
        <f t="shared" si="3"/>
        <v>6</v>
      </c>
      <c r="AC112" s="20">
        <f>(1+Y112/2)^(-(DATE(AA113,AB113,20)-[4]TradeSum!$A$3)/182.625)</f>
        <v>0.60945631653910448</v>
      </c>
      <c r="AD112" s="24"/>
    </row>
    <row r="113" spans="24:30" x14ac:dyDescent="0.2">
      <c r="X113" s="268">
        <v>40360</v>
      </c>
      <c r="Y113">
        <v>5.6700591146932502E-2</v>
      </c>
      <c r="Z113" s="18"/>
      <c r="AA113" s="19">
        <f t="shared" si="2"/>
        <v>2010</v>
      </c>
      <c r="AB113" s="18">
        <f t="shared" si="3"/>
        <v>7</v>
      </c>
      <c r="AC113" s="20">
        <f>(1+Y113/2)^(-(DATE(AA114,AB114,20)-[4]TradeSum!$A$3)/182.625)</f>
        <v>0.60618809881870106</v>
      </c>
      <c r="AD113" s="24"/>
    </row>
    <row r="114" spans="24:30" x14ac:dyDescent="0.2">
      <c r="X114" s="268">
        <v>40391</v>
      </c>
      <c r="Y114">
        <v>5.6776264785403999E-2</v>
      </c>
      <c r="Z114" s="18"/>
      <c r="AA114" s="19">
        <f t="shared" si="2"/>
        <v>2010</v>
      </c>
      <c r="AB114" s="18">
        <f t="shared" si="3"/>
        <v>8</v>
      </c>
      <c r="AC114" s="20">
        <f>(1+Y114/2)^(-(DATE(AA115,AB115,20)-[4]TradeSum!$A$3)/182.625)</f>
        <v>0.60291719788029974</v>
      </c>
      <c r="AD114" s="24"/>
    </row>
    <row r="115" spans="24:30" x14ac:dyDescent="0.2">
      <c r="X115" s="268">
        <v>40422</v>
      </c>
      <c r="Y115">
        <v>5.6851938425781505E-2</v>
      </c>
      <c r="Z115" s="18"/>
      <c r="AA115" s="19">
        <f t="shared" si="2"/>
        <v>2010</v>
      </c>
      <c r="AB115" s="18">
        <f t="shared" si="3"/>
        <v>9</v>
      </c>
      <c r="AC115" s="20">
        <f>(1+Y115/2)^(-(DATE(AA116,AB116,20)-[4]TradeSum!$A$3)/182.625)</f>
        <v>0.59974851355944359</v>
      </c>
      <c r="AD115" s="24"/>
    </row>
    <row r="116" spans="24:30" x14ac:dyDescent="0.2">
      <c r="X116" s="268">
        <v>40452</v>
      </c>
      <c r="Y116">
        <v>5.6925170982799998E-2</v>
      </c>
      <c r="Z116" s="18"/>
      <c r="AA116" s="19">
        <f t="shared" si="2"/>
        <v>2010</v>
      </c>
      <c r="AB116" s="18">
        <f t="shared" si="3"/>
        <v>10</v>
      </c>
      <c r="AC116" s="20">
        <f>(1+Y116/2)^(-(DATE(AA117,AB117,20)-[4]TradeSum!$A$3)/182.625)</f>
        <v>0.59651063992961595</v>
      </c>
      <c r="AD116" s="24"/>
    </row>
    <row r="117" spans="24:30" x14ac:dyDescent="0.2">
      <c r="X117" s="268">
        <v>40483</v>
      </c>
      <c r="Y117">
        <v>5.7000844626927401E-2</v>
      </c>
      <c r="Z117" s="18"/>
      <c r="AA117" s="19">
        <f t="shared" si="2"/>
        <v>2010</v>
      </c>
      <c r="AB117" s="18">
        <f t="shared" si="3"/>
        <v>11</v>
      </c>
      <c r="AC117" s="20">
        <f>(1+Y117/2)^(-(DATE(AA118,AB118,20)-[4]TradeSum!$A$3)/182.625)</f>
        <v>0.59336130662090181</v>
      </c>
      <c r="AD117" s="24"/>
    </row>
    <row r="118" spans="24:30" x14ac:dyDescent="0.2">
      <c r="X118" s="268">
        <v>40513</v>
      </c>
      <c r="Y118">
        <v>5.7074077187574603E-2</v>
      </c>
      <c r="Z118" s="18"/>
      <c r="AA118" s="19">
        <f t="shared" si="2"/>
        <v>2010</v>
      </c>
      <c r="AB118" s="18">
        <f t="shared" si="3"/>
        <v>12</v>
      </c>
      <c r="AC118" s="20">
        <f>(1+Y118/2)^(-(DATE(AA119,AB119,20)-[4]TradeSum!$A$3)/182.625)</f>
        <v>0.59014367399825873</v>
      </c>
      <c r="AD118" s="24"/>
    </row>
    <row r="119" spans="24:30" x14ac:dyDescent="0.2">
      <c r="X119" s="268">
        <v>40544</v>
      </c>
      <c r="Y119">
        <v>5.7149750835450999E-2</v>
      </c>
      <c r="Z119" s="18"/>
      <c r="AA119" s="19">
        <f t="shared" si="2"/>
        <v>2011</v>
      </c>
      <c r="AB119" s="18">
        <f t="shared" si="3"/>
        <v>1</v>
      </c>
      <c r="AC119" s="20">
        <f>(1+Y119/2)^(-(DATE(AA120,AB120,20)-[4]TradeSum!$A$3)/182.625)</f>
        <v>0.5869232374025154</v>
      </c>
      <c r="AD119" s="24"/>
    </row>
    <row r="120" spans="24:30" x14ac:dyDescent="0.2">
      <c r="X120" s="268">
        <v>40575</v>
      </c>
      <c r="Y120">
        <v>5.7225424485232997E-2</v>
      </c>
      <c r="Z120" s="18"/>
      <c r="AA120" s="19">
        <f t="shared" si="2"/>
        <v>2011</v>
      </c>
      <c r="AB120" s="18">
        <f t="shared" si="3"/>
        <v>2</v>
      </c>
      <c r="AC120" s="20">
        <f>(1+Y120/2)^(-(DATE(AA121,AB121,20)-[4]TradeSum!$A$3)/182.625)</f>
        <v>0.58398367012384078</v>
      </c>
      <c r="AD120" s="24"/>
    </row>
    <row r="121" spans="24:30" x14ac:dyDescent="0.2">
      <c r="X121" s="268">
        <v>40603</v>
      </c>
      <c r="Y121">
        <v>5.7293774880221804E-2</v>
      </c>
      <c r="Z121" s="18"/>
      <c r="AA121" s="19">
        <f t="shared" si="2"/>
        <v>2011</v>
      </c>
      <c r="AB121" s="18">
        <f t="shared" si="3"/>
        <v>3</v>
      </c>
      <c r="AC121" s="20">
        <f>(1+Y121/2)^(-(DATE(AA122,AB122,20)-[4]TradeSum!$A$3)/182.625)</f>
        <v>0.5808224933906081</v>
      </c>
      <c r="AD121" s="24"/>
    </row>
    <row r="122" spans="24:30" x14ac:dyDescent="0.2">
      <c r="X122" s="268">
        <v>40634</v>
      </c>
      <c r="Y122">
        <v>5.7369448533629804E-2</v>
      </c>
      <c r="Z122" s="18"/>
      <c r="AA122" s="19">
        <f t="shared" si="2"/>
        <v>2011</v>
      </c>
      <c r="AB122" s="18">
        <f t="shared" si="3"/>
        <v>4</v>
      </c>
      <c r="AC122" s="20">
        <f>(1+Y122/2)^(-(DATE(AA123,AB123,20)-[4]TradeSum!$A$3)/182.625)</f>
        <v>0.57772148138754731</v>
      </c>
      <c r="AD122" s="24"/>
    </row>
    <row r="123" spans="24:30" x14ac:dyDescent="0.2">
      <c r="X123" s="268">
        <v>40664</v>
      </c>
      <c r="Y123">
        <v>5.7442681103258203E-2</v>
      </c>
      <c r="Z123" s="18"/>
      <c r="AA123" s="19">
        <f t="shared" si="2"/>
        <v>2011</v>
      </c>
      <c r="AB123" s="18">
        <f t="shared" si="3"/>
        <v>5</v>
      </c>
      <c r="AC123" s="20">
        <f>(1+Y123/2)^(-(DATE(AA124,AB124,20)-[4]TradeSum!$A$3)/182.625)</f>
        <v>0.57455434215472623</v>
      </c>
      <c r="AD123" s="24"/>
    </row>
    <row r="124" spans="24:30" x14ac:dyDescent="0.2">
      <c r="X124" s="268">
        <v>40695</v>
      </c>
      <c r="Y124">
        <v>5.7518354760415204E-2</v>
      </c>
      <c r="Z124" s="18"/>
      <c r="AA124" s="19">
        <f t="shared" si="2"/>
        <v>2011</v>
      </c>
      <c r="AB124" s="18">
        <f t="shared" si="3"/>
        <v>6</v>
      </c>
      <c r="AC124" s="20">
        <f>(1+Y124/2)^(-(DATE(AA125,AB125,20)-[4]TradeSum!$A$3)/182.625)</f>
        <v>0.5714730100435198</v>
      </c>
      <c r="AD124" s="24"/>
    </row>
    <row r="125" spans="24:30" x14ac:dyDescent="0.2">
      <c r="X125" s="268">
        <v>40725</v>
      </c>
      <c r="Y125">
        <v>5.7591587333671E-2</v>
      </c>
      <c r="Z125" s="18"/>
      <c r="AA125" s="19">
        <f t="shared" si="2"/>
        <v>2011</v>
      </c>
      <c r="AB125" s="18">
        <f t="shared" si="3"/>
        <v>7</v>
      </c>
      <c r="AC125" s="20">
        <f>(1+Y125/2)^(-(DATE(AA126,AB126,20)-[4]TradeSum!$A$3)/182.625)</f>
        <v>0.56832641560804154</v>
      </c>
      <c r="AD125" s="24"/>
    </row>
    <row r="126" spans="24:30" x14ac:dyDescent="0.2">
      <c r="X126" s="268">
        <v>40756</v>
      </c>
      <c r="Y126">
        <v>5.7667260994576496E-2</v>
      </c>
      <c r="Z126" s="18"/>
      <c r="AA126" s="19">
        <f t="shared" si="2"/>
        <v>2011</v>
      </c>
      <c r="AB126" s="18">
        <f t="shared" si="3"/>
        <v>8</v>
      </c>
      <c r="AC126" s="20">
        <f>(1+Y126/2)^(-(DATE(AA127,AB127,20)-[4]TradeSum!$A$3)/182.625)</f>
        <v>0.56517687211881584</v>
      </c>
      <c r="AD126" s="24"/>
    </row>
    <row r="127" spans="24:30" x14ac:dyDescent="0.2">
      <c r="X127" s="268">
        <v>40787</v>
      </c>
      <c r="Y127">
        <v>5.77429346573868E-2</v>
      </c>
      <c r="Z127" s="18"/>
      <c r="AA127" s="19">
        <f t="shared" si="2"/>
        <v>2011</v>
      </c>
      <c r="AB127" s="18">
        <f t="shared" si="3"/>
        <v>9</v>
      </c>
      <c r="AC127" s="20">
        <f>(1+Y127/2)^(-(DATE(AA128,AB128,20)-[4]TradeSum!$A$3)/182.625)</f>
        <v>0.56212538243317745</v>
      </c>
      <c r="AD127" s="24"/>
    </row>
    <row r="128" spans="24:30" x14ac:dyDescent="0.2">
      <c r="X128" s="268">
        <v>40817</v>
      </c>
      <c r="Y128">
        <v>5.7793911352967103E-2</v>
      </c>
      <c r="Z128" s="18"/>
      <c r="AA128" s="19">
        <f t="shared" si="2"/>
        <v>2011</v>
      </c>
      <c r="AB128" s="18">
        <f t="shared" si="3"/>
        <v>10</v>
      </c>
      <c r="AC128" s="20">
        <f>(1+Y128/2)^(-(DATE(AA129,AB129,20)-[4]TradeSum!$A$3)/182.625)</f>
        <v>0.55913331891543117</v>
      </c>
      <c r="AD128" s="24"/>
    </row>
    <row r="129" spans="24:30" x14ac:dyDescent="0.2">
      <c r="X129" s="268">
        <v>40848</v>
      </c>
      <c r="Y129">
        <v>5.78332727880091E-2</v>
      </c>
      <c r="Z129" s="18"/>
      <c r="AA129" s="19">
        <f t="shared" si="2"/>
        <v>2011</v>
      </c>
      <c r="AB129" s="18">
        <f t="shared" si="3"/>
        <v>11</v>
      </c>
      <c r="AC129" s="20">
        <f>(1+Y129/2)^(-(DATE(AA130,AB130,20)-[4]TradeSum!$A$3)/182.625)</f>
        <v>0.55630393944815926</v>
      </c>
      <c r="AD129" s="24"/>
    </row>
    <row r="130" spans="24:30" x14ac:dyDescent="0.2">
      <c r="X130" s="268">
        <v>40878</v>
      </c>
      <c r="Y130">
        <v>5.7871364499830304E-2</v>
      </c>
      <c r="Z130" s="18"/>
      <c r="AA130" s="19">
        <f t="shared" si="2"/>
        <v>2011</v>
      </c>
      <c r="AB130" s="18">
        <f t="shared" si="3"/>
        <v>12</v>
      </c>
      <c r="AC130" s="20">
        <f>(1+Y130/2)^(-(DATE(AA131,AB131,20)-[4]TradeSum!$A$3)/182.625)</f>
        <v>0.55340603954148526</v>
      </c>
      <c r="AD130" s="24"/>
    </row>
    <row r="131" spans="24:30" x14ac:dyDescent="0.2">
      <c r="X131" s="268">
        <v>40909</v>
      </c>
      <c r="Y131">
        <v>5.7910725935885796E-2</v>
      </c>
      <c r="Z131" s="18"/>
      <c r="AA131" s="19">
        <f t="shared" si="2"/>
        <v>2012</v>
      </c>
      <c r="AB131" s="18">
        <f t="shared" si="3"/>
        <v>1</v>
      </c>
      <c r="AC131" s="20">
        <f>(1+Y131/2)^(-(DATE(AA132,AB132,20)-[4]TradeSum!$A$3)/182.625)</f>
        <v>0.55051267674527349</v>
      </c>
      <c r="AD131" s="24"/>
    </row>
    <row r="132" spans="24:30" x14ac:dyDescent="0.2">
      <c r="X132" s="268">
        <v>40940</v>
      </c>
      <c r="Y132">
        <v>5.7950087372456799E-2</v>
      </c>
      <c r="Z132" s="18"/>
      <c r="AA132" s="19">
        <f t="shared" si="2"/>
        <v>2012</v>
      </c>
      <c r="AB132" s="18">
        <f t="shared" si="3"/>
        <v>2</v>
      </c>
      <c r="AC132" s="20">
        <f>(1+Y132/2)^(-(DATE(AA133,AB133,20)-[4]TradeSum!$A$3)/182.625)</f>
        <v>0.5478022190809555</v>
      </c>
      <c r="AD132" s="24"/>
    </row>
    <row r="133" spans="24:30" x14ac:dyDescent="0.2">
      <c r="X133" s="268">
        <v>40969</v>
      </c>
      <c r="Y133">
        <v>5.7986909361973399E-2</v>
      </c>
      <c r="Z133" s="18"/>
      <c r="AA133" s="19">
        <f t="shared" si="2"/>
        <v>2012</v>
      </c>
      <c r="AB133" s="18">
        <f t="shared" si="3"/>
        <v>3</v>
      </c>
      <c r="AC133" s="20">
        <f>(1+Y133/2)^(-(DATE(AA134,AB134,20)-[4]TradeSum!$A$3)/182.625)</f>
        <v>0.54494548266447185</v>
      </c>
      <c r="AD133" s="24"/>
    </row>
    <row r="134" spans="24:30" x14ac:dyDescent="0.2">
      <c r="X134" s="268">
        <v>41000</v>
      </c>
      <c r="Y134">
        <v>5.8026270799541799E-2</v>
      </c>
      <c r="Z134" s="18"/>
      <c r="AA134" s="19">
        <f t="shared" si="2"/>
        <v>2012</v>
      </c>
      <c r="AB134" s="18">
        <f t="shared" si="3"/>
        <v>4</v>
      </c>
      <c r="AC134" s="20">
        <f>(1+Y134/2)^(-(DATE(AA135,AB135,20)-[4]TradeSum!$A$3)/182.625)</f>
        <v>0.54217093418652873</v>
      </c>
      <c r="AD134" s="24"/>
    </row>
    <row r="135" spans="24:30" x14ac:dyDescent="0.2">
      <c r="X135" s="268">
        <v>41030</v>
      </c>
      <c r="Y135">
        <v>5.8064362513807803E-2</v>
      </c>
      <c r="Z135" s="18"/>
      <c r="AA135" s="19">
        <f t="shared" si="2"/>
        <v>2012</v>
      </c>
      <c r="AB135" s="18">
        <f t="shared" si="3"/>
        <v>5</v>
      </c>
      <c r="AC135" s="20">
        <f>(1+Y135/2)^(-(DATE(AA136,AB136,20)-[4]TradeSum!$A$3)/182.625)</f>
        <v>0.53932978103763529</v>
      </c>
      <c r="AD135" s="24"/>
    </row>
    <row r="136" spans="24:30" x14ac:dyDescent="0.2">
      <c r="X136" s="268">
        <v>41061</v>
      </c>
      <c r="Y136">
        <v>5.8103723952390503E-2</v>
      </c>
      <c r="Z136" s="18"/>
      <c r="AA136" s="19">
        <f t="shared" si="2"/>
        <v>2012</v>
      </c>
      <c r="AB136" s="18">
        <f t="shared" si="3"/>
        <v>6</v>
      </c>
      <c r="AC136" s="20">
        <f>(1+Y136/2)^(-(DATE(AA137,AB137,20)-[4]TradeSum!$A$3)/182.625)</f>
        <v>0.53657708766781498</v>
      </c>
      <c r="AD136" s="24"/>
    </row>
    <row r="137" spans="24:30" x14ac:dyDescent="0.2">
      <c r="X137" s="268">
        <v>41091</v>
      </c>
      <c r="Y137">
        <v>5.8141815667637903E-2</v>
      </c>
      <c r="Z137" s="18"/>
      <c r="AA137" s="19">
        <f t="shared" ref="AA137:AA200" si="4">YEAR(X137)</f>
        <v>2012</v>
      </c>
      <c r="AB137" s="18">
        <f t="shared" ref="AB137:AB200" si="5">MONTH(X137)</f>
        <v>7</v>
      </c>
      <c r="AC137" s="20">
        <f>(1+Y137/2)^(-(DATE(AA138,AB138,20)-[4]TradeSum!$A$3)/182.625)</f>
        <v>0.53375854660496391</v>
      </c>
      <c r="AD137" s="24"/>
    </row>
    <row r="138" spans="24:30" x14ac:dyDescent="0.2">
      <c r="X138" s="268">
        <v>41122</v>
      </c>
      <c r="Y138">
        <v>5.8181177107234007E-2</v>
      </c>
      <c r="Z138" s="18"/>
      <c r="AA138" s="19">
        <f t="shared" si="4"/>
        <v>2012</v>
      </c>
      <c r="AB138" s="18">
        <f t="shared" si="5"/>
        <v>8</v>
      </c>
      <c r="AC138" s="20">
        <f>(1+Y138/2)^(-(DATE(AA139,AB139,20)-[4]TradeSum!$A$3)/182.625)</f>
        <v>0.53094424701410703</v>
      </c>
      <c r="AD138" s="24"/>
    </row>
    <row r="139" spans="24:30" x14ac:dyDescent="0.2">
      <c r="X139" s="268">
        <v>41153</v>
      </c>
      <c r="Y139">
        <v>5.8220538547345296E-2</v>
      </c>
      <c r="Z139" s="18"/>
      <c r="AA139" s="19">
        <f t="shared" si="4"/>
        <v>2012</v>
      </c>
      <c r="AB139" s="18">
        <f t="shared" si="5"/>
        <v>9</v>
      </c>
      <c r="AC139" s="20">
        <f>(1+Y139/2)^(-(DATE(AA140,AB140,20)-[4]TradeSum!$A$3)/182.625)</f>
        <v>0.52822435110693144</v>
      </c>
      <c r="AD139" s="24"/>
    </row>
    <row r="140" spans="24:30" x14ac:dyDescent="0.2">
      <c r="X140" s="268">
        <v>41183</v>
      </c>
      <c r="Y140">
        <v>5.8258630264072402E-2</v>
      </c>
      <c r="Z140" s="18"/>
      <c r="AA140" s="19">
        <f t="shared" si="4"/>
        <v>2012</v>
      </c>
      <c r="AB140" s="18">
        <f t="shared" si="5"/>
        <v>10</v>
      </c>
      <c r="AC140" s="20">
        <f>(1+Y140/2)^(-(DATE(AA141,AB141,20)-[4]TradeSum!$A$3)/182.625)</f>
        <v>0.52543973644845487</v>
      </c>
      <c r="AD140" s="24"/>
    </row>
    <row r="141" spans="24:30" x14ac:dyDescent="0.2">
      <c r="X141" s="268">
        <v>41214</v>
      </c>
      <c r="Y141">
        <v>5.8297991705197602E-2</v>
      </c>
      <c r="Z141" s="18"/>
      <c r="AA141" s="19">
        <f t="shared" si="4"/>
        <v>2012</v>
      </c>
      <c r="AB141" s="18">
        <f t="shared" si="5"/>
        <v>11</v>
      </c>
      <c r="AC141" s="20">
        <f>(1+Y141/2)^(-(DATE(AA142,AB142,20)-[4]TradeSum!$A$3)/182.625)</f>
        <v>0.52274147661780912</v>
      </c>
      <c r="AD141" s="24"/>
    </row>
    <row r="142" spans="24:30" x14ac:dyDescent="0.2">
      <c r="X142" s="268">
        <v>41244</v>
      </c>
      <c r="Y142">
        <v>5.8336083422906096E-2</v>
      </c>
      <c r="Z142" s="18"/>
      <c r="AA142" s="19">
        <f t="shared" si="4"/>
        <v>2012</v>
      </c>
      <c r="AB142" s="18">
        <f t="shared" si="5"/>
        <v>12</v>
      </c>
      <c r="AC142" s="20">
        <f>(1+Y142/2)^(-(DATE(AA143,AB143,20)-[4]TradeSum!$A$3)/182.625)</f>
        <v>0.51997923818350267</v>
      </c>
      <c r="AD142" s="24"/>
    </row>
    <row r="143" spans="24:30" x14ac:dyDescent="0.2">
      <c r="X143" s="268">
        <v>41275</v>
      </c>
      <c r="Y143">
        <v>5.8375444865045104E-2</v>
      </c>
      <c r="Z143" s="18"/>
      <c r="AA143" s="19">
        <f t="shared" si="4"/>
        <v>2013</v>
      </c>
      <c r="AB143" s="18">
        <f t="shared" si="5"/>
        <v>1</v>
      </c>
      <c r="AC143" s="20">
        <f>(1+Y143/2)^(-(DATE(AA144,AB144,20)-[4]TradeSum!$A$3)/182.625)</f>
        <v>0.51722103885045057</v>
      </c>
      <c r="AD143" s="24"/>
    </row>
    <row r="144" spans="24:30" x14ac:dyDescent="0.2">
      <c r="X144" s="268">
        <v>41306</v>
      </c>
      <c r="Y144">
        <v>5.8414806307699206E-2</v>
      </c>
      <c r="Z144" s="18"/>
      <c r="AA144" s="19">
        <f t="shared" si="4"/>
        <v>2013</v>
      </c>
      <c r="AB144" s="18">
        <f t="shared" si="5"/>
        <v>2</v>
      </c>
      <c r="AC144" s="20">
        <f>(1+Y144/2)^(-(DATE(AA145,AB145,20)-[4]TradeSum!$A$3)/182.625)</f>
        <v>0.51471749712003556</v>
      </c>
      <c r="AD144" s="24"/>
    </row>
    <row r="145" spans="24:30" x14ac:dyDescent="0.2">
      <c r="X145" s="268">
        <v>41334</v>
      </c>
      <c r="Y145">
        <v>5.84503585789262E-2</v>
      </c>
      <c r="Z145" s="18"/>
      <c r="AA145" s="19">
        <f t="shared" si="4"/>
        <v>2013</v>
      </c>
      <c r="AB145" s="18">
        <f t="shared" si="5"/>
        <v>3</v>
      </c>
      <c r="AC145" s="20">
        <f>(1+Y145/2)^(-(DATE(AA146,AB146,20)-[4]TradeSum!$A$3)/182.625)</f>
        <v>0.51200274778082089</v>
      </c>
      <c r="AD145" s="24"/>
    </row>
    <row r="146" spans="24:30" x14ac:dyDescent="0.2">
      <c r="X146" s="268">
        <v>41365</v>
      </c>
      <c r="Y146">
        <v>5.84897200225609E-2</v>
      </c>
      <c r="Z146" s="18"/>
      <c r="AA146" s="19">
        <f t="shared" si="4"/>
        <v>2013</v>
      </c>
      <c r="AB146" s="18">
        <f t="shared" si="5"/>
        <v>4</v>
      </c>
      <c r="AC146" s="20">
        <f>(1+Y146/2)^(-(DATE(AA147,AB147,20)-[4]TradeSum!$A$3)/182.625)</f>
        <v>0.50935766338488342</v>
      </c>
      <c r="AD146" s="24"/>
    </row>
    <row r="147" spans="24:30" x14ac:dyDescent="0.2">
      <c r="X147" s="268">
        <v>41395</v>
      </c>
      <c r="Y147">
        <v>5.8527811742697701E-2</v>
      </c>
      <c r="Z147" s="18"/>
      <c r="AA147" s="19">
        <f t="shared" si="4"/>
        <v>2013</v>
      </c>
      <c r="AB147" s="18">
        <f t="shared" si="5"/>
        <v>5</v>
      </c>
      <c r="AC147" s="20">
        <f>(1+Y147/2)^(-(DATE(AA148,AB148,20)-[4]TradeSum!$A$3)/182.625)</f>
        <v>0.50665040402569772</v>
      </c>
      <c r="AD147" s="24"/>
    </row>
    <row r="148" spans="24:30" x14ac:dyDescent="0.2">
      <c r="X148" s="268">
        <v>41426</v>
      </c>
      <c r="Y148">
        <v>5.8567173187345799E-2</v>
      </c>
      <c r="Z148" s="18"/>
      <c r="AA148" s="19">
        <f t="shared" si="4"/>
        <v>2013</v>
      </c>
      <c r="AB148" s="18">
        <f t="shared" si="5"/>
        <v>6</v>
      </c>
      <c r="AC148" s="20">
        <f>(1+Y148/2)^(-(DATE(AA149,AB149,20)-[4]TradeSum!$A$3)/182.625)</f>
        <v>0.50402664466767721</v>
      </c>
      <c r="AD148" s="24"/>
    </row>
    <row r="149" spans="24:30" x14ac:dyDescent="0.2">
      <c r="X149" s="268">
        <v>41456</v>
      </c>
      <c r="Y149">
        <v>5.86052649084641E-2</v>
      </c>
      <c r="Z149" s="18"/>
      <c r="AA149" s="19">
        <f t="shared" si="4"/>
        <v>2013</v>
      </c>
      <c r="AB149" s="18">
        <f t="shared" si="5"/>
        <v>7</v>
      </c>
      <c r="AC149" s="20">
        <f>(1+Y149/2)^(-(DATE(AA150,AB150,20)-[4]TradeSum!$A$3)/182.625)</f>
        <v>0.50134142753541822</v>
      </c>
      <c r="AD149" s="24"/>
    </row>
    <row r="150" spans="24:30" x14ac:dyDescent="0.2">
      <c r="X150" s="268">
        <v>41487</v>
      </c>
      <c r="Y150">
        <v>5.8644626354126005E-2</v>
      </c>
      <c r="Z150" s="18"/>
      <c r="AA150" s="19">
        <f t="shared" si="4"/>
        <v>2013</v>
      </c>
      <c r="AB150" s="18">
        <f t="shared" si="5"/>
        <v>8</v>
      </c>
      <c r="AC150" s="20">
        <f>(1+Y150/2)^(-(DATE(AA151,AB151,20)-[4]TradeSum!$A$3)/182.625)</f>
        <v>0.49865998236389864</v>
      </c>
      <c r="AD150" s="24"/>
    </row>
    <row r="151" spans="24:30" x14ac:dyDescent="0.2">
      <c r="X151" s="268">
        <v>41518</v>
      </c>
      <c r="Y151">
        <v>5.8683987800303206E-2</v>
      </c>
      <c r="Z151" s="18"/>
      <c r="AA151" s="19">
        <f t="shared" si="4"/>
        <v>2013</v>
      </c>
      <c r="AB151" s="18">
        <f t="shared" si="5"/>
        <v>9</v>
      </c>
      <c r="AC151" s="20">
        <f>(1+Y151/2)^(-(DATE(AA152,AB152,20)-[4]TradeSum!$A$3)/182.625)</f>
        <v>0.49606821296321912</v>
      </c>
      <c r="AD151" s="24"/>
    </row>
    <row r="152" spans="24:30" x14ac:dyDescent="0.2">
      <c r="X152" s="268">
        <v>41548</v>
      </c>
      <c r="Y152">
        <v>5.8722079522900601E-2</v>
      </c>
      <c r="Z152" s="18"/>
      <c r="AA152" s="19">
        <f t="shared" si="4"/>
        <v>2013</v>
      </c>
      <c r="AB152" s="18">
        <f t="shared" si="5"/>
        <v>10</v>
      </c>
      <c r="AC152" s="20">
        <f>(1+Y152/2)^(-(DATE(AA153,AB153,20)-[4]TradeSum!$A$3)/182.625)</f>
        <v>0.49341605511570413</v>
      </c>
      <c r="AD152" s="24"/>
    </row>
    <row r="153" spans="24:30" x14ac:dyDescent="0.2">
      <c r="X153" s="268">
        <v>41579</v>
      </c>
      <c r="Y153">
        <v>5.87614409700912E-2</v>
      </c>
      <c r="Z153" s="18"/>
      <c r="AA153" s="19">
        <f t="shared" si="4"/>
        <v>2013</v>
      </c>
      <c r="AB153" s="18">
        <f t="shared" si="5"/>
        <v>11</v>
      </c>
      <c r="AC153" s="20">
        <f>(1+Y153/2)^(-(DATE(AA154,AB154,20)-[4]TradeSum!$A$3)/182.625)</f>
        <v>0.49084538118518795</v>
      </c>
      <c r="AD153" s="24"/>
    </row>
    <row r="154" spans="24:30" x14ac:dyDescent="0.2">
      <c r="X154" s="268">
        <v>41609</v>
      </c>
      <c r="Y154">
        <v>5.87995326936697E-2</v>
      </c>
      <c r="Z154" s="18"/>
      <c r="AA154" s="19">
        <f t="shared" si="4"/>
        <v>2013</v>
      </c>
      <c r="AB154" s="18">
        <f t="shared" si="5"/>
        <v>12</v>
      </c>
      <c r="AC154" s="20">
        <f>(1+Y154/2)^(-(DATE(AA155,AB155,20)-[4]TradeSum!$A$3)/182.625)</f>
        <v>0.48821501969190545</v>
      </c>
      <c r="AD154" s="24"/>
    </row>
    <row r="155" spans="24:30" x14ac:dyDescent="0.2">
      <c r="X155" s="268">
        <v>41640</v>
      </c>
      <c r="Y155">
        <v>5.8838894141873599E-2</v>
      </c>
      <c r="Z155" s="18"/>
      <c r="AA155" s="19">
        <f t="shared" si="4"/>
        <v>2014</v>
      </c>
      <c r="AB155" s="18">
        <f t="shared" si="5"/>
        <v>1</v>
      </c>
      <c r="AC155" s="20">
        <f>(1+Y155/2)^(-(DATE(AA156,AB156,20)-[4]TradeSum!$A$3)/182.625)</f>
        <v>0.48558824660271699</v>
      </c>
      <c r="AD155" s="24"/>
    </row>
    <row r="156" spans="24:30" x14ac:dyDescent="0.2">
      <c r="X156" s="268">
        <v>41671</v>
      </c>
      <c r="Y156">
        <v>5.8878255590592697E-2</v>
      </c>
      <c r="Z156" s="18"/>
      <c r="AA156" s="19">
        <f t="shared" si="4"/>
        <v>2014</v>
      </c>
      <c r="AB156" s="18">
        <f t="shared" si="5"/>
        <v>2</v>
      </c>
      <c r="AC156" s="20">
        <f>(1+Y156/2)^(-(DATE(AA157,AB157,20)-[4]TradeSum!$A$3)/182.625)</f>
        <v>0.48320272435696671</v>
      </c>
      <c r="AD156" s="24"/>
    </row>
    <row r="157" spans="24:30" x14ac:dyDescent="0.2">
      <c r="X157" s="268">
        <v>41699</v>
      </c>
      <c r="Y157">
        <v>5.8913807867298405E-2</v>
      </c>
      <c r="Z157" s="18"/>
      <c r="AA157" s="19">
        <f t="shared" si="4"/>
        <v>2014</v>
      </c>
      <c r="AB157" s="18">
        <f t="shared" si="5"/>
        <v>3</v>
      </c>
      <c r="AC157" s="20">
        <f>(1+Y157/2)^(-(DATE(AA158,AB158,20)-[4]TradeSum!$A$3)/182.625)</f>
        <v>0.48061928064764309</v>
      </c>
      <c r="AD157" s="24"/>
    </row>
    <row r="158" spans="24:30" x14ac:dyDescent="0.2">
      <c r="X158" s="268">
        <v>41730</v>
      </c>
      <c r="Y158">
        <v>5.8953169316997601E-2</v>
      </c>
      <c r="Z158" s="18"/>
      <c r="AA158" s="19">
        <f t="shared" si="4"/>
        <v>2014</v>
      </c>
      <c r="AB158" s="18">
        <f t="shared" si="5"/>
        <v>4</v>
      </c>
      <c r="AC158" s="20">
        <f>(1+Y158/2)^(-(DATE(AA159,AB159,20)-[4]TradeSum!$A$3)/182.625)</f>
        <v>0.47810042681401815</v>
      </c>
      <c r="AD158" s="24"/>
    </row>
    <row r="159" spans="24:30" x14ac:dyDescent="0.2">
      <c r="X159" s="268">
        <v>41760</v>
      </c>
      <c r="Y159">
        <v>5.8991261043003902E-2</v>
      </c>
      <c r="Z159" s="18"/>
      <c r="AA159" s="19">
        <f t="shared" si="4"/>
        <v>2014</v>
      </c>
      <c r="AB159" s="18">
        <f t="shared" si="5"/>
        <v>5</v>
      </c>
      <c r="AC159" s="20">
        <f>(1+Y159/2)^(-(DATE(AA160,AB160,20)-[4]TradeSum!$A$3)/182.625)</f>
        <v>0.47552359277384404</v>
      </c>
      <c r="AD159" s="24"/>
    </row>
    <row r="160" spans="24:30" x14ac:dyDescent="0.2">
      <c r="X160" s="268">
        <v>41791</v>
      </c>
      <c r="Y160">
        <v>5.9030622493716899E-2</v>
      </c>
      <c r="Z160" s="18"/>
      <c r="AA160" s="19">
        <f t="shared" si="4"/>
        <v>2014</v>
      </c>
      <c r="AB160" s="18">
        <f t="shared" si="5"/>
        <v>6</v>
      </c>
      <c r="AC160" s="20">
        <f>(1+Y160/2)^(-(DATE(AA161,AB161,20)-[4]TradeSum!$A$3)/182.625)</f>
        <v>0.47302550979666824</v>
      </c>
      <c r="AD160" s="24"/>
    </row>
    <row r="161" spans="24:30" x14ac:dyDescent="0.2">
      <c r="X161" s="268">
        <v>41821</v>
      </c>
      <c r="Y161">
        <v>5.9068714220703804E-2</v>
      </c>
      <c r="Z161" s="18"/>
      <c r="AA161" s="19">
        <f t="shared" si="4"/>
        <v>2014</v>
      </c>
      <c r="AB161" s="18">
        <f t="shared" si="5"/>
        <v>7</v>
      </c>
      <c r="AC161" s="20">
        <f>(1+Y161/2)^(-(DATE(AA162,AB162,20)-[4]TradeSum!$A$3)/182.625)</f>
        <v>0.47047012527507082</v>
      </c>
      <c r="AD161" s="24"/>
    </row>
    <row r="162" spans="24:30" x14ac:dyDescent="0.2">
      <c r="X162" s="268">
        <v>41852</v>
      </c>
      <c r="Y162">
        <v>5.9108075672430302E-2</v>
      </c>
      <c r="Z162" s="18"/>
      <c r="AA162" s="19">
        <f t="shared" si="4"/>
        <v>2014</v>
      </c>
      <c r="AB162" s="18">
        <f t="shared" si="5"/>
        <v>8</v>
      </c>
      <c r="AC162" s="20">
        <f>(1+Y162/2)^(-(DATE(AA163,AB163,20)-[4]TradeSum!$A$3)/182.625)</f>
        <v>0.46791808710956245</v>
      </c>
      <c r="AD162" s="24"/>
    </row>
    <row r="163" spans="24:30" x14ac:dyDescent="0.2">
      <c r="X163" s="268">
        <v>41883</v>
      </c>
      <c r="Y163">
        <v>5.9147437124671798E-2</v>
      </c>
      <c r="Z163" s="18"/>
      <c r="AA163" s="19">
        <f t="shared" si="4"/>
        <v>2014</v>
      </c>
      <c r="AB163" s="18">
        <f t="shared" si="5"/>
        <v>9</v>
      </c>
      <c r="AC163" s="20">
        <f>(1+Y163/2)^(-(DATE(AA164,AB164,20)-[4]TradeSum!$A$3)/182.625)</f>
        <v>0.465451151329354</v>
      </c>
      <c r="AD163" s="24"/>
    </row>
    <row r="164" spans="24:30" x14ac:dyDescent="0.2">
      <c r="X164" s="268">
        <v>41913</v>
      </c>
      <c r="Y164">
        <v>5.9185528853137596E-2</v>
      </c>
      <c r="Z164" s="18"/>
      <c r="AA164" s="19">
        <f t="shared" si="4"/>
        <v>2014</v>
      </c>
      <c r="AB164" s="18">
        <f t="shared" si="5"/>
        <v>10</v>
      </c>
      <c r="AC164" s="20">
        <f>(1+Y164/2)^(-(DATE(AA165,AB165,20)-[4]TradeSum!$A$3)/182.625)</f>
        <v>0.46292792563039992</v>
      </c>
      <c r="AD164" s="24"/>
    </row>
    <row r="165" spans="24:30" x14ac:dyDescent="0.2">
      <c r="X165" s="268">
        <v>41944</v>
      </c>
      <c r="Y165">
        <v>5.9224890306393004E-2</v>
      </c>
      <c r="Z165" s="18"/>
      <c r="AA165" s="19">
        <f t="shared" si="4"/>
        <v>2014</v>
      </c>
      <c r="AB165" s="18">
        <f t="shared" si="5"/>
        <v>11</v>
      </c>
      <c r="AC165" s="20">
        <f>(1+Y165/2)^(-(DATE(AA166,AB166,20)-[4]TradeSum!$A$3)/182.625)</f>
        <v>0.46048152206911352</v>
      </c>
      <c r="AD165" s="24"/>
    </row>
    <row r="166" spans="24:30" x14ac:dyDescent="0.2">
      <c r="X166" s="268">
        <v>41974</v>
      </c>
      <c r="Y166">
        <v>5.9262982035839198E-2</v>
      </c>
      <c r="Z166" s="18"/>
      <c r="AA166" s="19">
        <f t="shared" si="4"/>
        <v>2014</v>
      </c>
      <c r="AB166" s="18">
        <f t="shared" si="5"/>
        <v>12</v>
      </c>
      <c r="AC166" s="20">
        <f>(1+Y166/2)^(-(DATE(AA167,AB167,20)-[4]TradeSum!$A$3)/182.625)</f>
        <v>0.45797949148356654</v>
      </c>
      <c r="AD166" s="24"/>
    </row>
    <row r="167" spans="24:30" x14ac:dyDescent="0.2">
      <c r="X167" s="268">
        <v>42005</v>
      </c>
      <c r="Y167">
        <v>5.9302343490107705E-2</v>
      </c>
      <c r="Z167" s="18"/>
      <c r="AA167" s="19">
        <f t="shared" si="4"/>
        <v>2015</v>
      </c>
      <c r="AB167" s="18">
        <f t="shared" si="5"/>
        <v>1</v>
      </c>
      <c r="AC167" s="20">
        <f>(1+Y167/2)^(-(DATE(AA168,AB168,20)-[4]TradeSum!$A$3)/182.625)</f>
        <v>0.45548064111823194</v>
      </c>
      <c r="AD167" s="24"/>
    </row>
    <row r="168" spans="24:30" x14ac:dyDescent="0.2">
      <c r="X168" s="268">
        <v>42036</v>
      </c>
      <c r="Y168">
        <v>5.9341704944890807E-2</v>
      </c>
      <c r="Z168" s="18"/>
      <c r="AA168" s="19">
        <f t="shared" si="4"/>
        <v>2015</v>
      </c>
      <c r="AB168" s="18">
        <f t="shared" si="5"/>
        <v>2</v>
      </c>
      <c r="AC168" s="20">
        <f>(1+Y168/2)^(-(DATE(AA169,AB169,20)-[4]TradeSum!$A$3)/182.625)</f>
        <v>0.45321012150522616</v>
      </c>
      <c r="AD168" s="24"/>
    </row>
    <row r="169" spans="24:30" x14ac:dyDescent="0.2">
      <c r="X169" s="268">
        <v>42064</v>
      </c>
      <c r="Y169">
        <v>5.9377257227073398E-2</v>
      </c>
      <c r="Z169" s="18"/>
      <c r="AA169" s="19">
        <f t="shared" si="4"/>
        <v>2015</v>
      </c>
      <c r="AB169" s="18">
        <f t="shared" si="5"/>
        <v>3</v>
      </c>
      <c r="AC169" s="20">
        <f>(1+Y169/2)^(-(DATE(AA170,AB170,20)-[4]TradeSum!$A$3)/182.625)</f>
        <v>0.45075430225677521</v>
      </c>
      <c r="AD169" s="24"/>
    </row>
    <row r="170" spans="24:30" x14ac:dyDescent="0.2">
      <c r="X170" s="268">
        <v>42095</v>
      </c>
      <c r="Y170">
        <v>5.9416618682836202E-2</v>
      </c>
      <c r="Z170" s="18"/>
      <c r="AA170" s="19">
        <f t="shared" si="4"/>
        <v>2015</v>
      </c>
      <c r="AB170" s="18">
        <f t="shared" si="5"/>
        <v>4</v>
      </c>
      <c r="AC170" s="20">
        <f>(1+Y170/2)^(-(DATE(AA171,AB171,20)-[4]TradeSum!$A$3)/182.625)</f>
        <v>0.44835830988169756</v>
      </c>
      <c r="AD170" s="24"/>
    </row>
    <row r="171" spans="24:30" x14ac:dyDescent="0.2">
      <c r="X171" s="268">
        <v>42125</v>
      </c>
      <c r="Y171">
        <v>5.9454710414710302E-2</v>
      </c>
      <c r="Z171" s="18"/>
      <c r="AA171" s="19">
        <f t="shared" si="4"/>
        <v>2015</v>
      </c>
      <c r="AB171" s="18">
        <f t="shared" si="5"/>
        <v>5</v>
      </c>
      <c r="AC171" s="20">
        <f>(1+Y171/2)^(-(DATE(AA172,AB172,20)-[4]TradeSum!$A$3)/182.625)</f>
        <v>0.44590830472666498</v>
      </c>
      <c r="AD171" s="24"/>
    </row>
    <row r="172" spans="24:30" x14ac:dyDescent="0.2">
      <c r="X172" s="268">
        <v>42156</v>
      </c>
      <c r="Y172">
        <v>5.9494071871486906E-2</v>
      </c>
      <c r="Z172" s="18"/>
      <c r="AA172" s="19">
        <f t="shared" si="4"/>
        <v>2015</v>
      </c>
      <c r="AB172" s="18">
        <f t="shared" si="5"/>
        <v>6</v>
      </c>
      <c r="AC172" s="20">
        <f>(1+Y172/2)^(-(DATE(AA173,AB173,20)-[4]TradeSum!$A$3)/182.625)</f>
        <v>0.44353250837846336</v>
      </c>
      <c r="AD172" s="24"/>
    </row>
    <row r="173" spans="24:30" x14ac:dyDescent="0.2">
      <c r="X173" s="268">
        <v>42186</v>
      </c>
      <c r="Y173">
        <v>5.9532163604341604E-2</v>
      </c>
      <c r="Z173" s="18"/>
      <c r="AA173" s="19">
        <f t="shared" si="4"/>
        <v>2015</v>
      </c>
      <c r="AB173" s="18">
        <f t="shared" si="5"/>
        <v>7</v>
      </c>
      <c r="AC173" s="20">
        <f>(1+Y173/2)^(-(DATE(AA174,AB174,20)-[4]TradeSum!$A$3)/182.625)</f>
        <v>0.44110334067411422</v>
      </c>
      <c r="AD173" s="24"/>
    </row>
    <row r="174" spans="24:30" x14ac:dyDescent="0.2">
      <c r="X174" s="268">
        <v>42217</v>
      </c>
      <c r="Y174">
        <v>5.9571525062131203E-2</v>
      </c>
      <c r="Z174" s="18"/>
      <c r="AA174" s="19">
        <f t="shared" si="4"/>
        <v>2015</v>
      </c>
      <c r="AB174" s="18">
        <f t="shared" si="5"/>
        <v>8</v>
      </c>
      <c r="AC174" s="20">
        <f>(1+Y174/2)^(-(DATE(AA175,AB175,20)-[4]TradeSum!$A$3)/182.625)</f>
        <v>0.43867713435199218</v>
      </c>
      <c r="AD174" s="24"/>
    </row>
    <row r="175" spans="24:30" x14ac:dyDescent="0.2">
      <c r="X175" s="268">
        <v>42248</v>
      </c>
      <c r="Y175">
        <v>5.9610886520435398E-2</v>
      </c>
      <c r="Z175" s="18"/>
      <c r="AA175" s="19">
        <f t="shared" si="4"/>
        <v>2015</v>
      </c>
      <c r="AB175" s="18">
        <f t="shared" si="5"/>
        <v>9</v>
      </c>
      <c r="AC175" s="20">
        <f>(1+Y175/2)^(-(DATE(AA176,AB176,20)-[4]TradeSum!$A$3)/182.625)</f>
        <v>0.43633161236974816</v>
      </c>
      <c r="AD175" s="24"/>
    </row>
    <row r="176" spans="24:30" x14ac:dyDescent="0.2">
      <c r="X176" s="268">
        <v>42278</v>
      </c>
      <c r="Y176">
        <v>5.9648978254768906E-2</v>
      </c>
      <c r="Z176" s="18"/>
      <c r="AA176" s="19">
        <f t="shared" si="4"/>
        <v>2015</v>
      </c>
      <c r="AB176" s="18">
        <f t="shared" si="5"/>
        <v>10</v>
      </c>
      <c r="AC176" s="20">
        <f>(1+Y176/2)^(-(DATE(AA177,AB177,20)-[4]TradeSum!$A$3)/182.625)</f>
        <v>0.43393367490579993</v>
      </c>
      <c r="AD176" s="24"/>
    </row>
    <row r="177" spans="24:30" x14ac:dyDescent="0.2">
      <c r="X177" s="268">
        <v>42309</v>
      </c>
      <c r="Y177">
        <v>5.9688339714086207E-2</v>
      </c>
      <c r="Z177" s="18"/>
      <c r="AA177" s="19">
        <f t="shared" si="4"/>
        <v>2015</v>
      </c>
      <c r="AB177" s="18">
        <f t="shared" si="5"/>
        <v>11</v>
      </c>
      <c r="AC177" s="20">
        <f>(1+Y177/2)^(-(DATE(AA178,AB178,20)-[4]TradeSum!$A$3)/182.625)</f>
        <v>0.43160810265780042</v>
      </c>
      <c r="AD177" s="24"/>
    </row>
    <row r="178" spans="24:30" x14ac:dyDescent="0.2">
      <c r="X178" s="268">
        <v>42339</v>
      </c>
      <c r="Y178">
        <v>5.9726431449400201E-2</v>
      </c>
      <c r="Z178" s="18"/>
      <c r="AA178" s="19">
        <f t="shared" si="4"/>
        <v>2015</v>
      </c>
      <c r="AB178" s="18">
        <f t="shared" si="5"/>
        <v>12</v>
      </c>
      <c r="AC178" s="20">
        <f>(1+Y178/2)^(-(DATE(AA179,AB179,20)-[4]TradeSum!$A$3)/182.625)</f>
        <v>0.42923074113067861</v>
      </c>
      <c r="AD178" s="24"/>
    </row>
    <row r="179" spans="24:30" x14ac:dyDescent="0.2">
      <c r="X179" s="268">
        <v>42370</v>
      </c>
      <c r="Y179">
        <v>5.9765792909731302E-2</v>
      </c>
      <c r="Z179" s="18"/>
      <c r="AA179" s="19">
        <f t="shared" si="4"/>
        <v>2016</v>
      </c>
      <c r="AB179" s="18">
        <f t="shared" si="5"/>
        <v>1</v>
      </c>
      <c r="AC179" s="20">
        <f>(1+Y179/2)^(-(DATE(AA180,AB180,20)-[4]TradeSum!$A$3)/182.625)</f>
        <v>0.42685619094677735</v>
      </c>
      <c r="AD179" s="24"/>
    </row>
    <row r="180" spans="24:30" x14ac:dyDescent="0.2">
      <c r="X180" s="268">
        <v>42401</v>
      </c>
      <c r="Y180">
        <v>5.9805154370576603E-2</v>
      </c>
      <c r="Z180" s="18"/>
      <c r="AA180" s="19">
        <f t="shared" si="4"/>
        <v>2016</v>
      </c>
      <c r="AB180" s="18">
        <f t="shared" si="5"/>
        <v>2</v>
      </c>
      <c r="AC180" s="20">
        <f>(1+Y180/2)^(-(DATE(AA181,AB181,20)-[4]TradeSum!$A$3)/182.625)</f>
        <v>0.42462902239900335</v>
      </c>
      <c r="AD180" s="24"/>
    </row>
    <row r="181" spans="24:30" x14ac:dyDescent="0.2">
      <c r="X181" s="268">
        <v>42430</v>
      </c>
      <c r="Y181">
        <v>5.9841976382801802E-2</v>
      </c>
      <c r="Z181" s="18"/>
      <c r="AA181" s="19">
        <f t="shared" si="4"/>
        <v>2016</v>
      </c>
      <c r="AB181" s="18">
        <f t="shared" si="5"/>
        <v>3</v>
      </c>
      <c r="AC181" s="20">
        <f>(1+Y181/2)^(-(DATE(AA182,AB182,20)-[4]TradeSum!$A$3)/182.625)</f>
        <v>0.4222897702413535</v>
      </c>
      <c r="AD181" s="24"/>
    </row>
    <row r="182" spans="24:30" x14ac:dyDescent="0.2">
      <c r="X182" s="268">
        <v>42461</v>
      </c>
      <c r="Y182">
        <v>5.9881337844643702E-2</v>
      </c>
      <c r="Z182" s="18"/>
      <c r="AA182" s="19">
        <f t="shared" si="4"/>
        <v>2016</v>
      </c>
      <c r="AB182" s="18">
        <f t="shared" si="5"/>
        <v>4</v>
      </c>
      <c r="AC182" s="20">
        <f>(1+Y182/2)^(-(DATE(AA183,AB183,20)-[4]TradeSum!$A$3)/182.625)</f>
        <v>0.42001347723186649</v>
      </c>
      <c r="AD182" s="24"/>
    </row>
    <row r="183" spans="24:30" x14ac:dyDescent="0.2">
      <c r="X183" s="268">
        <v>42491</v>
      </c>
      <c r="Y183">
        <v>5.9919429582400603E-2</v>
      </c>
      <c r="Z183" s="18"/>
      <c r="AA183" s="19">
        <f t="shared" si="4"/>
        <v>2016</v>
      </c>
      <c r="AB183" s="18">
        <f t="shared" si="5"/>
        <v>5</v>
      </c>
      <c r="AC183" s="20">
        <f>(1+Y183/2)^(-(DATE(AA184,AB184,20)-[4]TradeSum!$A$3)/182.625)</f>
        <v>0.41768692927556939</v>
      </c>
      <c r="AD183" s="24"/>
    </row>
    <row r="184" spans="24:30" x14ac:dyDescent="0.2">
      <c r="X184" s="268">
        <v>42522</v>
      </c>
      <c r="Y184">
        <v>5.9958791045255498E-2</v>
      </c>
      <c r="Z184" s="18"/>
      <c r="AA184" s="19">
        <f t="shared" si="4"/>
        <v>2016</v>
      </c>
      <c r="AB184" s="18">
        <f t="shared" si="5"/>
        <v>6</v>
      </c>
      <c r="AC184" s="20">
        <f>(1+Y184/2)^(-(DATE(AA185,AB185,20)-[4]TradeSum!$A$3)/182.625)</f>
        <v>0.4154302385089042</v>
      </c>
      <c r="AD184" s="24"/>
    </row>
    <row r="185" spans="24:30" x14ac:dyDescent="0.2">
      <c r="X185" s="268">
        <v>42552</v>
      </c>
      <c r="Y185">
        <v>5.9996882783992504E-2</v>
      </c>
      <c r="Z185" s="18"/>
      <c r="AA185" s="19">
        <f t="shared" si="4"/>
        <v>2016</v>
      </c>
      <c r="AB185" s="18">
        <f t="shared" si="5"/>
        <v>7</v>
      </c>
      <c r="AC185" s="20">
        <f>(1+Y185/2)^(-(DATE(AA186,AB186,20)-[4]TradeSum!$A$3)/182.625)</f>
        <v>0.4131238981927256</v>
      </c>
      <c r="AD185" s="24"/>
    </row>
    <row r="186" spans="24:30" x14ac:dyDescent="0.2">
      <c r="X186" s="268">
        <v>42583</v>
      </c>
      <c r="Y186">
        <v>6.0036244247860401E-2</v>
      </c>
      <c r="Z186" s="18"/>
      <c r="AA186" s="19">
        <f t="shared" si="4"/>
        <v>2016</v>
      </c>
      <c r="AB186" s="18">
        <f t="shared" si="5"/>
        <v>8</v>
      </c>
      <c r="AC186" s="20">
        <f>(1+Y186/2)^(-(DATE(AA187,AB187,20)-[4]TradeSum!$A$3)/182.625)</f>
        <v>0.41082017090218742</v>
      </c>
      <c r="AD186" s="24"/>
    </row>
    <row r="187" spans="24:30" x14ac:dyDescent="0.2">
      <c r="X187" s="268">
        <v>42614</v>
      </c>
      <c r="Y187">
        <v>6.0075605712243803E-2</v>
      </c>
      <c r="Z187" s="18"/>
      <c r="AA187" s="19">
        <f t="shared" si="4"/>
        <v>2016</v>
      </c>
      <c r="AB187" s="18">
        <f t="shared" si="5"/>
        <v>9</v>
      </c>
      <c r="AC187" s="20">
        <f>(1+Y187/2)^(-(DATE(AA188,AB188,20)-[4]TradeSum!$A$3)/182.625)</f>
        <v>0.40859285410033663</v>
      </c>
      <c r="AD187" s="24"/>
    </row>
    <row r="188" spans="24:30" x14ac:dyDescent="0.2">
      <c r="X188" s="268">
        <v>42644</v>
      </c>
      <c r="Y188">
        <v>6.0113697452458807E-2</v>
      </c>
      <c r="Z188" s="18"/>
      <c r="AA188" s="19">
        <f t="shared" si="4"/>
        <v>2016</v>
      </c>
      <c r="AB188" s="18">
        <f t="shared" si="5"/>
        <v>10</v>
      </c>
      <c r="AC188" s="20">
        <f>(1+Y188/2)^(-(DATE(AA189,AB189,20)-[4]TradeSum!$A$3)/182.625)</f>
        <v>0.40631678970603513</v>
      </c>
      <c r="AD188" s="24"/>
    </row>
    <row r="189" spans="24:30" x14ac:dyDescent="0.2">
      <c r="X189" s="268">
        <v>42675</v>
      </c>
      <c r="Y189">
        <v>6.0153058917854697E-2</v>
      </c>
      <c r="Z189" s="18"/>
      <c r="AA189" s="19">
        <f t="shared" si="4"/>
        <v>2016</v>
      </c>
      <c r="AB189" s="18">
        <f t="shared" si="5"/>
        <v>11</v>
      </c>
      <c r="AC189" s="20">
        <f>(1+Y189/2)^(-(DATE(AA190,AB190,20)-[4]TradeSum!$A$3)/182.625)</f>
        <v>0.40410882254255009</v>
      </c>
      <c r="AD189" s="24"/>
    </row>
    <row r="190" spans="24:30" x14ac:dyDescent="0.2">
      <c r="X190" s="268">
        <v>42705</v>
      </c>
      <c r="Y190">
        <v>6.0191150659050702E-2</v>
      </c>
      <c r="Z190" s="18"/>
      <c r="AA190" s="19">
        <f t="shared" si="4"/>
        <v>2016</v>
      </c>
      <c r="AB190" s="18">
        <f t="shared" si="5"/>
        <v>12</v>
      </c>
      <c r="AC190" s="20">
        <f>(1+Y190/2)^(-(DATE(AA191,AB191,20)-[4]TradeSum!$A$3)/182.625)</f>
        <v>0.40185269851705241</v>
      </c>
      <c r="AD190" s="24"/>
    </row>
    <row r="191" spans="24:30" x14ac:dyDescent="0.2">
      <c r="X191" s="268">
        <v>42736</v>
      </c>
      <c r="Y191">
        <v>6.0230512125459199E-2</v>
      </c>
      <c r="Z191" s="18"/>
      <c r="AA191" s="19">
        <f t="shared" si="4"/>
        <v>2017</v>
      </c>
      <c r="AB191" s="18">
        <f t="shared" si="5"/>
        <v>1</v>
      </c>
      <c r="AC191" s="20">
        <f>(1+Y191/2)^(-(DATE(AA192,AB192,20)-[4]TradeSum!$A$3)/182.625)</f>
        <v>0.39959905235925786</v>
      </c>
      <c r="AD191" s="24"/>
    </row>
    <row r="192" spans="24:30" x14ac:dyDescent="0.2">
      <c r="X192" s="268">
        <v>42767</v>
      </c>
      <c r="Y192">
        <v>6.0269873592382305E-2</v>
      </c>
      <c r="Z192" s="18"/>
      <c r="AA192" s="19">
        <f t="shared" si="4"/>
        <v>2017</v>
      </c>
      <c r="AB192" s="18">
        <f t="shared" si="5"/>
        <v>2</v>
      </c>
      <c r="AC192" s="20">
        <f>(1+Y192/2)^(-(DATE(AA193,AB193,20)-[4]TradeSum!$A$3)/182.625)</f>
        <v>0.39754931659793952</v>
      </c>
      <c r="AD192" s="24"/>
    </row>
    <row r="193" spans="24:30" x14ac:dyDescent="0.2">
      <c r="X193" s="268">
        <v>42795</v>
      </c>
      <c r="Y193">
        <v>6.0305425885529999E-2</v>
      </c>
      <c r="Z193" s="18"/>
      <c r="AA193" s="19">
        <f t="shared" si="4"/>
        <v>2017</v>
      </c>
      <c r="AB193" s="18">
        <f t="shared" si="5"/>
        <v>3</v>
      </c>
      <c r="AC193" s="20">
        <f>(1+Y193/2)^(-(DATE(AA194,AB194,20)-[4]TradeSum!$A$3)/182.625)</f>
        <v>0.3953376416001716</v>
      </c>
      <c r="AD193" s="24"/>
    </row>
    <row r="194" spans="24:30" x14ac:dyDescent="0.2">
      <c r="X194" s="268">
        <v>42826</v>
      </c>
      <c r="Y194">
        <v>6.0344787353432801E-2</v>
      </c>
      <c r="Z194" s="18"/>
      <c r="AA194" s="19">
        <f t="shared" si="4"/>
        <v>2017</v>
      </c>
      <c r="AB194" s="18">
        <f t="shared" si="5"/>
        <v>4</v>
      </c>
      <c r="AC194" s="20">
        <f>(1+Y194/2)^(-(DATE(AA195,AB195,20)-[4]TradeSum!$A$3)/182.625)</f>
        <v>0.39317713603546178</v>
      </c>
      <c r="AD194" s="24"/>
    </row>
    <row r="195" spans="24:30" x14ac:dyDescent="0.2">
      <c r="X195" s="268">
        <v>42856</v>
      </c>
      <c r="Y195">
        <v>6.0382879097054899E-2</v>
      </c>
      <c r="Z195" s="18"/>
      <c r="AA195" s="19">
        <f t="shared" si="4"/>
        <v>2017</v>
      </c>
      <c r="AB195" s="18">
        <f t="shared" si="5"/>
        <v>5</v>
      </c>
      <c r="AC195" s="20">
        <f>(1+Y195/2)^(-(DATE(AA196,AB196,20)-[4]TradeSum!$A$3)/182.625)</f>
        <v>0.39096991111301033</v>
      </c>
      <c r="AD195" s="24"/>
    </row>
    <row r="196" spans="24:30" x14ac:dyDescent="0.2">
      <c r="X196" s="268">
        <v>42887</v>
      </c>
      <c r="Y196">
        <v>6.0422240565970703E-2</v>
      </c>
      <c r="Z196" s="18"/>
      <c r="AA196" s="19">
        <f t="shared" si="4"/>
        <v>2017</v>
      </c>
      <c r="AB196" s="18">
        <f t="shared" si="5"/>
        <v>6</v>
      </c>
      <c r="AC196" s="20">
        <f>(1+Y196/2)^(-(DATE(AA197,AB197,20)-[4]TradeSum!$A$3)/182.625)</f>
        <v>0.38882840150511006</v>
      </c>
      <c r="AD196" s="24"/>
    </row>
    <row r="197" spans="24:30" x14ac:dyDescent="0.2">
      <c r="X197" s="268">
        <v>42917</v>
      </c>
      <c r="Y197">
        <v>6.0460332310572802E-2</v>
      </c>
      <c r="Z197" s="18"/>
      <c r="AA197" s="19">
        <f t="shared" si="4"/>
        <v>2017</v>
      </c>
      <c r="AB197" s="18">
        <f t="shared" si="5"/>
        <v>7</v>
      </c>
      <c r="AC197" s="20">
        <f>(1+Y197/2)^(-(DATE(AA198,AB198,20)-[4]TradeSum!$A$3)/182.625)</f>
        <v>0.38664074333249765</v>
      </c>
      <c r="AD197" s="24"/>
    </row>
    <row r="198" spans="24:30" x14ac:dyDescent="0.2">
      <c r="X198" s="268">
        <v>42948</v>
      </c>
      <c r="Y198">
        <v>6.0499693780501101E-2</v>
      </c>
      <c r="Z198" s="18"/>
      <c r="AA198" s="19">
        <f t="shared" si="4"/>
        <v>2017</v>
      </c>
      <c r="AB198" s="18">
        <f t="shared" si="5"/>
        <v>8</v>
      </c>
      <c r="AC198" s="20">
        <f>(1+Y198/2)^(-(DATE(AA199,AB199,20)-[4]TradeSum!$A$3)/182.625)</f>
        <v>0.38445538539736529</v>
      </c>
      <c r="AD198" s="24"/>
    </row>
    <row r="199" spans="24:30" x14ac:dyDescent="0.2">
      <c r="X199" s="268">
        <v>42979</v>
      </c>
      <c r="Y199">
        <v>6.0539055250944204E-2</v>
      </c>
      <c r="Z199" s="18"/>
      <c r="AA199" s="19">
        <f t="shared" si="4"/>
        <v>2017</v>
      </c>
      <c r="AB199" s="18">
        <f t="shared" si="5"/>
        <v>9</v>
      </c>
      <c r="AC199" s="20">
        <f>(1+Y199/2)^(-(DATE(AA200,AB200,20)-[4]TradeSum!$A$3)/182.625)</f>
        <v>0.38234233149650021</v>
      </c>
      <c r="AD199" s="24"/>
    </row>
    <row r="200" spans="24:30" x14ac:dyDescent="0.2">
      <c r="X200" s="268">
        <v>43009</v>
      </c>
      <c r="Y200">
        <v>6.0577146997024205E-2</v>
      </c>
      <c r="Z200" s="18"/>
      <c r="AA200" s="19">
        <f t="shared" si="4"/>
        <v>2017</v>
      </c>
      <c r="AB200" s="18">
        <f t="shared" si="5"/>
        <v>10</v>
      </c>
      <c r="AC200" s="20">
        <f>(1+Y200/2)^(-(DATE(AA201,AB201,20)-[4]TradeSum!$A$3)/182.625)</f>
        <v>0.38018397921757424</v>
      </c>
      <c r="AD200" s="24"/>
    </row>
    <row r="201" spans="24:30" x14ac:dyDescent="0.2">
      <c r="X201" s="268">
        <v>43040</v>
      </c>
      <c r="Y201">
        <v>6.0616508468480705E-2</v>
      </c>
      <c r="Z201" s="18"/>
      <c r="AA201" s="19">
        <f t="shared" ref="AA201:AA264" si="6">YEAR(X201)</f>
        <v>2017</v>
      </c>
      <c r="AB201" s="18">
        <f t="shared" ref="AB201:AB264" si="7">MONTH(X201)</f>
        <v>11</v>
      </c>
      <c r="AC201" s="20">
        <f>(1+Y201/2)^(-(DATE(AA202,AB202,20)-[4]TradeSum!$A$3)/182.625)</f>
        <v>0.37808966367533259</v>
      </c>
      <c r="AD201" s="24"/>
    </row>
    <row r="202" spans="24:30" x14ac:dyDescent="0.2">
      <c r="X202" s="268">
        <v>43070</v>
      </c>
      <c r="Y202">
        <v>6.0654600215540401E-2</v>
      </c>
      <c r="Z202" s="18"/>
      <c r="AA202" s="19">
        <f t="shared" si="6"/>
        <v>2017</v>
      </c>
      <c r="AB202" s="18">
        <f t="shared" si="7"/>
        <v>12</v>
      </c>
      <c r="AC202" s="20">
        <f>(1+Y202/2)^(-(DATE(AA203,AB203,20)-[4]TradeSum!$A$3)/182.625)</f>
        <v>0.37595060643795053</v>
      </c>
      <c r="AD202" s="24"/>
    </row>
    <row r="203" spans="24:30" x14ac:dyDescent="0.2">
      <c r="X203" s="268">
        <v>43101</v>
      </c>
      <c r="Y203">
        <v>6.0693961688008898E-2</v>
      </c>
      <c r="Z203" s="18"/>
      <c r="AA203" s="19">
        <f t="shared" si="6"/>
        <v>2018</v>
      </c>
      <c r="AB203" s="18">
        <f t="shared" si="7"/>
        <v>1</v>
      </c>
      <c r="AC203" s="20">
        <f>(1+Y203/2)^(-(DATE(AA204,AB204,20)-[4]TradeSum!$A$3)/182.625)</f>
        <v>0.37381372793265405</v>
      </c>
      <c r="AD203" s="24"/>
    </row>
    <row r="204" spans="24:30" x14ac:dyDescent="0.2">
      <c r="X204" s="268">
        <v>43132</v>
      </c>
      <c r="Y204">
        <v>6.07333231609921E-2</v>
      </c>
      <c r="Z204" s="18"/>
      <c r="AA204" s="19">
        <f t="shared" si="6"/>
        <v>2018</v>
      </c>
      <c r="AB204" s="18">
        <f t="shared" si="7"/>
        <v>2</v>
      </c>
      <c r="AC204" s="20">
        <f>(1+Y204/2)^(-(DATE(AA205,AB205,20)-[4]TradeSum!$A$3)/182.625)</f>
        <v>0.37186928571501143</v>
      </c>
      <c r="AD204" s="24"/>
    </row>
    <row r="205" spans="24:30" x14ac:dyDescent="0.2">
      <c r="X205" s="268">
        <v>43160</v>
      </c>
      <c r="Y205">
        <v>6.07688754596123E-2</v>
      </c>
      <c r="Z205" s="18"/>
      <c r="AA205" s="19">
        <f t="shared" si="6"/>
        <v>2018</v>
      </c>
      <c r="AB205" s="18">
        <f t="shared" si="7"/>
        <v>3</v>
      </c>
      <c r="AC205" s="20">
        <f>(1+Y205/2)^(-(DATE(AA206,AB206,20)-[4]TradeSum!$A$3)/182.625)</f>
        <v>0.36977365172525484</v>
      </c>
      <c r="AD205" s="24"/>
    </row>
    <row r="206" spans="24:30" x14ac:dyDescent="0.2">
      <c r="X206" s="268">
        <v>43191</v>
      </c>
      <c r="Y206">
        <v>6.0808236933575198E-2</v>
      </c>
      <c r="Z206" s="18"/>
      <c r="AA206" s="19">
        <f t="shared" si="6"/>
        <v>2018</v>
      </c>
      <c r="AB206" s="18">
        <f t="shared" si="7"/>
        <v>4</v>
      </c>
      <c r="AC206" s="20">
        <f>(1+Y206/2)^(-(DATE(AA207,AB207,20)-[4]TradeSum!$A$3)/182.625)</f>
        <v>0.36772527685858647</v>
      </c>
      <c r="AD206" s="24"/>
    </row>
    <row r="207" spans="24:30" x14ac:dyDescent="0.2">
      <c r="X207" s="268">
        <v>43221</v>
      </c>
      <c r="Y207">
        <v>6.0846328683060905E-2</v>
      </c>
      <c r="Z207" s="18"/>
      <c r="AA207" s="19">
        <f t="shared" si="6"/>
        <v>2018</v>
      </c>
      <c r="AB207" s="18">
        <f t="shared" si="7"/>
        <v>5</v>
      </c>
      <c r="AC207" s="20">
        <f>(1+Y207/2)^(-(DATE(AA208,AB208,20)-[4]TradeSum!$A$3)/182.625)</f>
        <v>0.36563351447567577</v>
      </c>
      <c r="AD207" s="24"/>
    </row>
    <row r="208" spans="24:30" x14ac:dyDescent="0.2">
      <c r="X208" s="268">
        <v>43252</v>
      </c>
      <c r="Y208">
        <v>6.0885690158036403E-2</v>
      </c>
      <c r="Z208" s="18"/>
      <c r="AA208" s="19">
        <f t="shared" si="6"/>
        <v>2018</v>
      </c>
      <c r="AB208" s="18">
        <f t="shared" si="7"/>
        <v>6</v>
      </c>
      <c r="AC208" s="20">
        <f>(1+Y208/2)^(-(DATE(AA209,AB209,20)-[4]TradeSum!$A$3)/182.625)</f>
        <v>0.36360351823377507</v>
      </c>
      <c r="AD208" s="24"/>
    </row>
    <row r="209" spans="24:30" x14ac:dyDescent="0.2">
      <c r="X209" s="268">
        <v>43282</v>
      </c>
      <c r="Y209">
        <v>6.0923781908501805E-2</v>
      </c>
      <c r="Z209" s="18"/>
      <c r="AA209" s="19">
        <f t="shared" si="6"/>
        <v>2018</v>
      </c>
      <c r="AB209" s="18">
        <f t="shared" si="7"/>
        <v>7</v>
      </c>
      <c r="AC209" s="20">
        <f>(1+Y209/2)^(-(DATE(AA210,AB210,20)-[4]TradeSum!$A$3)/182.625)</f>
        <v>0.36153067199396333</v>
      </c>
      <c r="AD209" s="24"/>
    </row>
    <row r="210" spans="24:30" x14ac:dyDescent="0.2">
      <c r="X210" s="268">
        <v>43313</v>
      </c>
      <c r="Y210">
        <v>6.0963143384489701E-2</v>
      </c>
      <c r="Z210" s="18"/>
      <c r="AA210" s="19">
        <f t="shared" si="6"/>
        <v>2018</v>
      </c>
      <c r="AB210" s="18">
        <f t="shared" si="7"/>
        <v>8</v>
      </c>
      <c r="AC210" s="20">
        <f>(1+Y210/2)^(-(DATE(AA211,AB211,20)-[4]TradeSum!$A$3)/182.625)</f>
        <v>0.35945984498725814</v>
      </c>
      <c r="AD210" s="24"/>
    </row>
    <row r="211" spans="24:30" x14ac:dyDescent="0.2">
      <c r="X211" s="268">
        <v>43344</v>
      </c>
      <c r="Y211">
        <v>6.1002504860991499E-2</v>
      </c>
      <c r="Z211" s="18"/>
      <c r="AA211" s="19">
        <f t="shared" si="6"/>
        <v>2018</v>
      </c>
      <c r="AB211" s="18">
        <f t="shared" si="7"/>
        <v>9</v>
      </c>
      <c r="AC211" s="20">
        <f>(1+Y211/2)^(-(DATE(AA212,AB212,20)-[4]TradeSum!$A$3)/182.625)</f>
        <v>0.35745737047214299</v>
      </c>
      <c r="AD211" s="24"/>
    </row>
    <row r="212" spans="24:30" x14ac:dyDescent="0.2">
      <c r="X212" s="268">
        <v>43374</v>
      </c>
      <c r="Y212">
        <v>6.1040596612935295E-2</v>
      </c>
      <c r="Z212" s="18"/>
      <c r="AA212" s="19">
        <f t="shared" si="6"/>
        <v>2018</v>
      </c>
      <c r="AB212" s="18">
        <f t="shared" si="7"/>
        <v>10</v>
      </c>
      <c r="AC212" s="20">
        <f>(1+Y212/2)^(-(DATE(AA213,AB213,20)-[4]TradeSum!$A$3)/182.625)</f>
        <v>0.35541284638189796</v>
      </c>
      <c r="AD212" s="24"/>
    </row>
    <row r="213" spans="24:30" x14ac:dyDescent="0.2">
      <c r="X213" s="268">
        <v>43405</v>
      </c>
      <c r="Y213">
        <v>6.1079958090449499E-2</v>
      </c>
      <c r="Z213" s="18"/>
      <c r="AA213" s="19">
        <f t="shared" si="6"/>
        <v>2018</v>
      </c>
      <c r="AB213" s="18">
        <f t="shared" si="7"/>
        <v>11</v>
      </c>
      <c r="AC213" s="20">
        <f>(1+Y213/2)^(-(DATE(AA214,AB214,20)-[4]TradeSum!$A$3)/182.625)</f>
        <v>0.35342848913610669</v>
      </c>
      <c r="AD213" s="24"/>
    </row>
    <row r="214" spans="24:30" x14ac:dyDescent="0.2">
      <c r="X214" s="268">
        <v>43435</v>
      </c>
      <c r="Y214">
        <v>6.1118049843372997E-2</v>
      </c>
      <c r="Z214" s="18"/>
      <c r="AA214" s="19">
        <f t="shared" si="6"/>
        <v>2018</v>
      </c>
      <c r="AB214" s="18">
        <f t="shared" si="7"/>
        <v>12</v>
      </c>
      <c r="AC214" s="20">
        <f>(1+Y214/2)^(-(DATE(AA215,AB215,20)-[4]TradeSum!$A$3)/182.625)</f>
        <v>0.35140260628162395</v>
      </c>
      <c r="AD214" s="24"/>
    </row>
    <row r="215" spans="24:30" x14ac:dyDescent="0.2">
      <c r="X215" s="268">
        <v>43466</v>
      </c>
      <c r="Y215">
        <v>6.1157411321900203E-2</v>
      </c>
      <c r="Z215" s="18"/>
      <c r="AA215" s="19">
        <f t="shared" si="6"/>
        <v>2019</v>
      </c>
      <c r="AB215" s="18">
        <f t="shared" si="7"/>
        <v>1</v>
      </c>
      <c r="AC215" s="20">
        <f>(1+Y215/2)^(-(DATE(AA216,AB216,20)-[4]TradeSum!$A$3)/182.625)</f>
        <v>0.34937863368870303</v>
      </c>
      <c r="AD215" s="24"/>
    </row>
    <row r="216" spans="24:30" x14ac:dyDescent="0.2">
      <c r="X216" s="268">
        <v>43497</v>
      </c>
      <c r="Y216">
        <v>6.1196772800941705E-2</v>
      </c>
      <c r="Z216" s="18"/>
      <c r="AA216" s="19">
        <f t="shared" si="6"/>
        <v>2019</v>
      </c>
      <c r="AB216" s="18">
        <f t="shared" si="7"/>
        <v>2</v>
      </c>
      <c r="AC216" s="20">
        <f>(1+Y216/2)^(-(DATE(AA217,AB217,20)-[4]TradeSum!$A$3)/182.625)</f>
        <v>0.34753609562914145</v>
      </c>
      <c r="AD216" s="24"/>
    </row>
    <row r="217" spans="24:30" x14ac:dyDescent="0.2">
      <c r="X217" s="268">
        <v>43525</v>
      </c>
      <c r="Y217">
        <v>6.1232325105034402E-2</v>
      </c>
      <c r="Z217" s="18"/>
      <c r="AA217" s="19">
        <f t="shared" si="6"/>
        <v>2019</v>
      </c>
      <c r="AB217" s="18">
        <f t="shared" si="7"/>
        <v>3</v>
      </c>
      <c r="AC217" s="20">
        <f>(1+Y217/2)^(-(DATE(AA218,AB218,20)-[4]TradeSum!$A$3)/182.625)</f>
        <v>0.34555253036868627</v>
      </c>
      <c r="AD217" s="24"/>
    </row>
    <row r="218" spans="24:30" x14ac:dyDescent="0.2">
      <c r="X218" s="268">
        <v>43556</v>
      </c>
      <c r="Y218">
        <v>6.1271686585054705E-2</v>
      </c>
      <c r="Z218" s="18"/>
      <c r="AA218" s="19">
        <f t="shared" si="6"/>
        <v>2019</v>
      </c>
      <c r="AB218" s="18">
        <f t="shared" si="7"/>
        <v>4</v>
      </c>
      <c r="AC218" s="20">
        <f>(1+Y218/2)^(-(DATE(AA219,AB219,20)-[4]TradeSum!$A$3)/182.625)</f>
        <v>0.34361257067170237</v>
      </c>
      <c r="AD218" s="24"/>
    </row>
    <row r="219" spans="24:30" x14ac:dyDescent="0.2">
      <c r="X219" s="268">
        <v>43586</v>
      </c>
      <c r="Y219">
        <v>6.1309778340403298E-2</v>
      </c>
      <c r="Z219" s="18"/>
      <c r="AA219" s="19">
        <f t="shared" si="6"/>
        <v>2019</v>
      </c>
      <c r="AB219" s="18">
        <f t="shared" si="7"/>
        <v>5</v>
      </c>
      <c r="AC219" s="20">
        <f>(1+Y219/2)^(-(DATE(AA220,AB220,20)-[4]TradeSum!$A$3)/182.625)</f>
        <v>0.34163235951554222</v>
      </c>
      <c r="AD219" s="24"/>
    </row>
    <row r="220" spans="24:30" x14ac:dyDescent="0.2">
      <c r="X220" s="268">
        <v>43617</v>
      </c>
      <c r="Y220">
        <v>6.1349139821436499E-2</v>
      </c>
      <c r="Z220" s="18"/>
      <c r="AA220" s="19">
        <f t="shared" si="6"/>
        <v>2019</v>
      </c>
      <c r="AB220" s="18">
        <f t="shared" si="7"/>
        <v>6</v>
      </c>
      <c r="AC220" s="20">
        <f>(1+Y220/2)^(-(DATE(AA221,AB221,20)-[4]TradeSum!$A$3)/182.625)</f>
        <v>0.33971015297031681</v>
      </c>
      <c r="AD220" s="24"/>
    </row>
    <row r="221" spans="24:30" x14ac:dyDescent="0.2">
      <c r="X221" s="268">
        <v>43647</v>
      </c>
      <c r="Y221">
        <v>6.1387231577764802E-2</v>
      </c>
      <c r="Z221" s="18"/>
      <c r="AA221" s="19">
        <f t="shared" si="6"/>
        <v>2019</v>
      </c>
      <c r="AB221" s="18">
        <f t="shared" si="7"/>
        <v>7</v>
      </c>
      <c r="AC221" s="20">
        <f>(1+Y221/2)^(-(DATE(AA222,AB222,20)-[4]TradeSum!$A$3)/182.625)</f>
        <v>0.33774820054109234</v>
      </c>
      <c r="AD221" s="24"/>
    </row>
    <row r="222" spans="24:30" x14ac:dyDescent="0.2">
      <c r="X222" s="268">
        <v>43678</v>
      </c>
      <c r="Y222">
        <v>6.1426593059810103E-2</v>
      </c>
      <c r="Z222" s="18"/>
      <c r="AA222" s="19">
        <f t="shared" si="6"/>
        <v>2019</v>
      </c>
      <c r="AB222" s="18">
        <f t="shared" si="7"/>
        <v>8</v>
      </c>
      <c r="AC222" s="20">
        <f>(1+Y222/2)^(-(DATE(AA223,AB223,20)-[4]TradeSum!$A$3)/182.625)</f>
        <v>0.33578801550169179</v>
      </c>
      <c r="AD222" s="24"/>
    </row>
    <row r="223" spans="24:30" x14ac:dyDescent="0.2">
      <c r="X223" s="268">
        <v>43709</v>
      </c>
      <c r="Y223">
        <v>6.1465954542369701E-2</v>
      </c>
      <c r="Z223" s="18"/>
      <c r="AA223" s="19">
        <f t="shared" si="6"/>
        <v>2019</v>
      </c>
      <c r="AB223" s="18">
        <f t="shared" si="7"/>
        <v>9</v>
      </c>
      <c r="AC223" s="20">
        <f>(1+Y223/2)^(-(DATE(AA224,AB224,20)-[4]TradeSum!$A$3)/182.625)</f>
        <v>0.33389238531310583</v>
      </c>
      <c r="AD223" s="24"/>
    </row>
    <row r="224" spans="24:30" x14ac:dyDescent="0.2">
      <c r="X224" s="268">
        <v>43739</v>
      </c>
      <c r="Y224">
        <v>6.1504046300175502E-2</v>
      </c>
      <c r="Z224" s="18"/>
      <c r="AA224" s="19">
        <f t="shared" si="6"/>
        <v>2019</v>
      </c>
      <c r="AB224" s="18">
        <f t="shared" si="7"/>
        <v>10</v>
      </c>
      <c r="AC224" s="20">
        <f>(1+Y224/2)^(-(DATE(AA225,AB225,20)-[4]TradeSum!$A$3)/182.625)</f>
        <v>0.3319577619072695</v>
      </c>
      <c r="AD224" s="24"/>
    </row>
    <row r="225" spans="24:30" x14ac:dyDescent="0.2">
      <c r="X225" s="268">
        <v>43770</v>
      </c>
      <c r="Y225">
        <v>6.1543407783747596E-2</v>
      </c>
      <c r="Z225" s="18"/>
      <c r="AA225" s="19">
        <f t="shared" si="6"/>
        <v>2019</v>
      </c>
      <c r="AB225" s="18">
        <f t="shared" si="7"/>
        <v>11</v>
      </c>
      <c r="AC225" s="20">
        <f>(1+Y225/2)^(-(DATE(AA226,AB226,20)-[4]TradeSum!$A$3)/182.625)</f>
        <v>0.33007962092922977</v>
      </c>
      <c r="AD225" s="24"/>
    </row>
    <row r="226" spans="24:30" x14ac:dyDescent="0.2">
      <c r="X226" s="268">
        <v>43800</v>
      </c>
      <c r="Y226">
        <v>6.15814995425326E-2</v>
      </c>
      <c r="Z226" s="18"/>
      <c r="AA226" s="19">
        <f t="shared" si="6"/>
        <v>2019</v>
      </c>
      <c r="AB226" s="18">
        <f t="shared" si="7"/>
        <v>12</v>
      </c>
      <c r="AC226" s="20">
        <f>(1+Y226/2)^(-(DATE(AA227,AB227,20)-[4]TradeSum!$A$3)/182.625)</f>
        <v>0.32816297931470156</v>
      </c>
      <c r="AD226" s="24"/>
    </row>
    <row r="227" spans="24:30" x14ac:dyDescent="0.2">
      <c r="X227" s="268">
        <v>43831</v>
      </c>
      <c r="Y227">
        <v>6.1620861027116697E-2</v>
      </c>
      <c r="Z227" s="18"/>
      <c r="AA227" s="19">
        <f t="shared" si="6"/>
        <v>2020</v>
      </c>
      <c r="AB227" s="18">
        <f t="shared" si="7"/>
        <v>1</v>
      </c>
      <c r="AC227" s="20">
        <f>(1+Y227/2)^(-(DATE(AA228,AB228,20)-[4]TradeSum!$A$3)/182.625)</f>
        <v>0.32624800759979106</v>
      </c>
      <c r="AD227" s="24"/>
    </row>
    <row r="228" spans="24:30" x14ac:dyDescent="0.2">
      <c r="X228" s="268">
        <v>43862</v>
      </c>
      <c r="Y228">
        <v>6.1660222512215104E-2</v>
      </c>
      <c r="Z228" s="18"/>
      <c r="AA228" s="19">
        <f t="shared" si="6"/>
        <v>2020</v>
      </c>
      <c r="AB228" s="18">
        <f t="shared" si="7"/>
        <v>2</v>
      </c>
      <c r="AC228" s="20">
        <f>(1+Y228/2)^(-(DATE(AA229,AB229,20)-[4]TradeSum!$A$3)/182.625)</f>
        <v>0.32444998496644983</v>
      </c>
      <c r="AD228" s="24"/>
    </row>
    <row r="229" spans="24:30" x14ac:dyDescent="0.2">
      <c r="X229" s="268">
        <v>43891</v>
      </c>
      <c r="Y229">
        <v>6.16970445471283E-2</v>
      </c>
      <c r="Z229" s="18"/>
      <c r="AA229" s="19">
        <f t="shared" si="6"/>
        <v>2020</v>
      </c>
      <c r="AB229" s="18">
        <f t="shared" si="7"/>
        <v>3</v>
      </c>
      <c r="AC229" s="20">
        <f>(1+Y229/2)^(-(DATE(AA230,AB230,20)-[4]TradeSum!$A$3)/182.625)</f>
        <v>0.32256737065976027</v>
      </c>
      <c r="AD229" s="24"/>
    </row>
    <row r="230" spans="24:30" x14ac:dyDescent="0.2">
      <c r="X230" s="268">
        <v>43922</v>
      </c>
      <c r="Y230">
        <v>6.1736406033222002E-2</v>
      </c>
      <c r="Z230" s="18"/>
      <c r="AA230" s="19">
        <f t="shared" si="6"/>
        <v>2020</v>
      </c>
      <c r="AB230" s="18">
        <f t="shared" si="7"/>
        <v>4</v>
      </c>
      <c r="AC230" s="20">
        <f>(1+Y230/2)^(-(DATE(AA231,AB231,20)-[4]TradeSum!$A$3)/182.625)</f>
        <v>0.32073235036346331</v>
      </c>
      <c r="AD230" s="24"/>
    </row>
    <row r="231" spans="24:30" x14ac:dyDescent="0.2">
      <c r="X231" s="268">
        <v>43952</v>
      </c>
      <c r="Y231">
        <v>6.1774497794448102E-2</v>
      </c>
      <c r="Z231" s="18"/>
      <c r="AA231" s="19">
        <f t="shared" si="6"/>
        <v>2020</v>
      </c>
      <c r="AB231" s="18">
        <f t="shared" si="7"/>
        <v>5</v>
      </c>
      <c r="AC231" s="20">
        <f>(1+Y231/2)^(-(DATE(AA232,AB232,20)-[4]TradeSum!$A$3)/182.625)</f>
        <v>0.31886003466907387</v>
      </c>
      <c r="AD231" s="24"/>
    </row>
    <row r="232" spans="24:30" x14ac:dyDescent="0.2">
      <c r="X232" s="268">
        <v>43983</v>
      </c>
      <c r="Y232">
        <v>6.1813859281554202E-2</v>
      </c>
      <c r="Z232" s="18"/>
      <c r="AA232" s="19">
        <f t="shared" si="6"/>
        <v>2020</v>
      </c>
      <c r="AB232" s="18">
        <f t="shared" si="7"/>
        <v>6</v>
      </c>
      <c r="AC232" s="20">
        <f>(1+Y232/2)^(-(DATE(AA233,AB233,20)-[4]TradeSum!$A$3)/182.625)</f>
        <v>0.31704213492585925</v>
      </c>
      <c r="AD232" s="24"/>
    </row>
    <row r="233" spans="24:30" x14ac:dyDescent="0.2">
      <c r="X233" s="268">
        <v>44013</v>
      </c>
      <c r="Y233">
        <v>6.1851951043759602E-2</v>
      </c>
      <c r="Z233" s="18"/>
      <c r="AA233" s="19">
        <f t="shared" si="6"/>
        <v>2020</v>
      </c>
      <c r="AB233" s="18">
        <f t="shared" si="7"/>
        <v>7</v>
      </c>
      <c r="AC233" s="20">
        <f>(1+Y233/2)^(-(DATE(AA234,AB234,20)-[4]TradeSum!$A$3)/182.625)</f>
        <v>0.31518741466282263</v>
      </c>
      <c r="AD233" s="24"/>
    </row>
    <row r="234" spans="24:30" x14ac:dyDescent="0.2">
      <c r="X234" s="268">
        <v>44044</v>
      </c>
      <c r="Y234">
        <v>6.1891312531877796E-2</v>
      </c>
      <c r="Z234" s="18"/>
      <c r="AA234" s="19">
        <f t="shared" si="6"/>
        <v>2020</v>
      </c>
      <c r="AB234" s="18">
        <f t="shared" si="7"/>
        <v>8</v>
      </c>
      <c r="AC234" s="20">
        <f>(1+Y234/2)^(-(DATE(AA235,AB235,20)-[4]TradeSum!$A$3)/182.625)</f>
        <v>0.31333423605930316</v>
      </c>
      <c r="AD234" s="24"/>
    </row>
    <row r="235" spans="24:30" x14ac:dyDescent="0.2">
      <c r="X235" s="268">
        <v>44075</v>
      </c>
      <c r="Y235">
        <v>6.19306740205103E-2</v>
      </c>
      <c r="Z235" s="18"/>
      <c r="AA235" s="19">
        <f t="shared" si="6"/>
        <v>2020</v>
      </c>
      <c r="AB235" s="18">
        <f t="shared" si="7"/>
        <v>9</v>
      </c>
      <c r="AC235" s="20">
        <f>(1+Y235/2)^(-(DATE(AA236,AB236,20)-[4]TradeSum!$A$3)/182.625)</f>
        <v>0.31154195739149204</v>
      </c>
      <c r="AD235" s="24"/>
    </row>
    <row r="236" spans="24:30" x14ac:dyDescent="0.2">
      <c r="X236" s="268">
        <v>44105</v>
      </c>
      <c r="Y236">
        <v>6.1968765784192803E-2</v>
      </c>
      <c r="Z236" s="18"/>
      <c r="AA236" s="19">
        <f t="shared" si="6"/>
        <v>2020</v>
      </c>
      <c r="AB236" s="18">
        <f t="shared" si="7"/>
        <v>10</v>
      </c>
      <c r="AC236" s="20">
        <f>(1+Y236/2)^(-(DATE(AA237,AB237,20)-[4]TradeSum!$A$3)/182.625)</f>
        <v>0.30971356499333047</v>
      </c>
      <c r="AD236" s="24"/>
    </row>
    <row r="237" spans="24:30" x14ac:dyDescent="0.2">
      <c r="X237" s="268">
        <v>44136</v>
      </c>
      <c r="Y237">
        <v>6.2008127273837303E-2</v>
      </c>
      <c r="Z237" s="18"/>
      <c r="AA237" s="19">
        <f t="shared" si="6"/>
        <v>2020</v>
      </c>
      <c r="AB237" s="18">
        <f t="shared" si="7"/>
        <v>11</v>
      </c>
      <c r="AC237" s="20">
        <f>(1+Y237/2)^(-(DATE(AA238,AB238,20)-[4]TradeSum!$A$3)/182.625)</f>
        <v>0.30793814145366805</v>
      </c>
      <c r="AD237" s="24"/>
    </row>
    <row r="238" spans="24:30" x14ac:dyDescent="0.2">
      <c r="X238" s="268">
        <v>44166</v>
      </c>
      <c r="Y238">
        <v>6.2046219038498905E-2</v>
      </c>
      <c r="Z238" s="18"/>
      <c r="AA238" s="19">
        <f t="shared" si="6"/>
        <v>2020</v>
      </c>
      <c r="AB238" s="18">
        <f t="shared" si="7"/>
        <v>12</v>
      </c>
      <c r="AC238" s="20">
        <f>(1+Y238/2)^(-(DATE(AA239,AB239,20)-[4]TradeSum!$A$3)/182.625)</f>
        <v>0.30612706662368733</v>
      </c>
      <c r="AD238" s="24"/>
    </row>
    <row r="239" spans="24:30" x14ac:dyDescent="0.2">
      <c r="X239" s="268">
        <v>44197</v>
      </c>
      <c r="Y239">
        <v>6.2085580529155603E-2</v>
      </c>
      <c r="Z239" s="18"/>
      <c r="AA239" s="19">
        <f t="shared" si="6"/>
        <v>2021</v>
      </c>
      <c r="AB239" s="18">
        <f t="shared" si="7"/>
        <v>1</v>
      </c>
      <c r="AC239" s="20">
        <f>(1+Y239/2)^(-(DATE(AA240,AB240,20)-[4]TradeSum!$A$3)/182.625)</f>
        <v>0.30431744648401521</v>
      </c>
      <c r="AD239" s="24"/>
    </row>
    <row r="240" spans="24:30" x14ac:dyDescent="0.2">
      <c r="X240" s="268">
        <v>44228</v>
      </c>
      <c r="Y240">
        <v>6.2124942020326507E-2</v>
      </c>
      <c r="Z240" s="18"/>
      <c r="AA240" s="19">
        <f t="shared" si="6"/>
        <v>2021</v>
      </c>
      <c r="AB240" s="18">
        <f t="shared" si="7"/>
        <v>2</v>
      </c>
      <c r="AC240" s="20">
        <f>(1+Y240/2)^(-(DATE(AA241,AB241,20)-[4]TradeSum!$A$3)/182.625)</f>
        <v>0.30266862080869972</v>
      </c>
      <c r="AD240" s="24"/>
    </row>
    <row r="241" spans="24:30" x14ac:dyDescent="0.2">
      <c r="X241" s="268">
        <v>44256</v>
      </c>
      <c r="Y241">
        <v>6.2160494335374399E-2</v>
      </c>
      <c r="Z241" s="18"/>
      <c r="AA241" s="19">
        <f t="shared" si="6"/>
        <v>2021</v>
      </c>
      <c r="AB241" s="18">
        <f t="shared" si="7"/>
        <v>3</v>
      </c>
      <c r="AC241" s="20">
        <f>(1+Y241/2)^(-(DATE(AA242,AB242,20)-[4]TradeSum!$A$3)/182.625)</f>
        <v>0.30089745665662193</v>
      </c>
      <c r="AD241" s="24"/>
    </row>
    <row r="242" spans="24:30" x14ac:dyDescent="0.2">
      <c r="X242" s="268">
        <v>44287</v>
      </c>
      <c r="Y242">
        <v>6.2199855827524103E-2</v>
      </c>
      <c r="Z242" s="18"/>
      <c r="AA242" s="19">
        <f t="shared" si="6"/>
        <v>2021</v>
      </c>
      <c r="AB242" s="18">
        <f t="shared" si="7"/>
        <v>4</v>
      </c>
      <c r="AC242" s="20">
        <f>(1+Y242/2)^(-(DATE(AA243,AB243,20)-[4]TradeSum!$A$3)/182.625)</f>
        <v>0.29916330077764303</v>
      </c>
      <c r="AD242" s="24"/>
    </row>
    <row r="243" spans="24:30" x14ac:dyDescent="0.2">
      <c r="X243" s="268">
        <v>44317</v>
      </c>
      <c r="Y243">
        <v>6.2237947594609495E-2</v>
      </c>
      <c r="Z243" s="18"/>
      <c r="AA243" s="19">
        <f t="shared" si="6"/>
        <v>2021</v>
      </c>
      <c r="AB243" s="18">
        <f t="shared" si="7"/>
        <v>5</v>
      </c>
      <c r="AC243" s="20">
        <f>(1+Y243/2)^(-(DATE(AA244,AB244,20)-[4]TradeSum!$A$3)/182.625)</f>
        <v>0.29739461736062234</v>
      </c>
      <c r="AD243" s="24"/>
    </row>
    <row r="244" spans="24:30" x14ac:dyDescent="0.2">
      <c r="X244" s="268">
        <v>44348</v>
      </c>
      <c r="Y244">
        <v>6.22773090877713E-2</v>
      </c>
      <c r="Z244" s="18"/>
      <c r="AA244" s="19">
        <f t="shared" si="6"/>
        <v>2021</v>
      </c>
      <c r="AB244" s="18">
        <f t="shared" si="7"/>
        <v>6</v>
      </c>
      <c r="AC244" s="20">
        <f>(1+Y244/2)^(-(DATE(AA245,AB245,20)-[4]TradeSum!$A$3)/182.625)</f>
        <v>0.29567694836112313</v>
      </c>
      <c r="AD244" s="24"/>
    </row>
    <row r="245" spans="24:30" x14ac:dyDescent="0.2">
      <c r="X245" s="268">
        <v>44378</v>
      </c>
      <c r="Y245">
        <v>6.2315400855836402E-2</v>
      </c>
      <c r="Z245" s="18"/>
      <c r="AA245" s="19">
        <f t="shared" si="6"/>
        <v>2021</v>
      </c>
      <c r="AB245" s="18">
        <f t="shared" si="7"/>
        <v>7</v>
      </c>
      <c r="AC245" s="20">
        <f>(1+Y245/2)^(-(DATE(AA246,AB246,20)-[4]TradeSum!$A$3)/182.625)</f>
        <v>0.29392519741085188</v>
      </c>
      <c r="AD245" s="24"/>
    </row>
    <row r="246" spans="24:30" x14ac:dyDescent="0.2">
      <c r="X246" s="268">
        <v>44409</v>
      </c>
      <c r="Y246">
        <v>6.23547623500098E-2</v>
      </c>
      <c r="Z246" s="18"/>
      <c r="AA246" s="19">
        <f t="shared" si="6"/>
        <v>2021</v>
      </c>
      <c r="AB246" s="18">
        <f t="shared" si="7"/>
        <v>8</v>
      </c>
      <c r="AC246" s="20">
        <f>(1+Y246/2)^(-(DATE(AA247,AB247,20)-[4]TradeSum!$A$3)/182.625)</f>
        <v>0.29217478741861441</v>
      </c>
      <c r="AD246" s="24"/>
    </row>
    <row r="247" spans="24:30" x14ac:dyDescent="0.2">
      <c r="X247" s="268">
        <v>44440</v>
      </c>
      <c r="Y247">
        <v>6.2394123844697003E-2</v>
      </c>
      <c r="Z247" s="18"/>
      <c r="AA247" s="19">
        <f t="shared" si="6"/>
        <v>2021</v>
      </c>
      <c r="AB247" s="18">
        <f t="shared" si="7"/>
        <v>9</v>
      </c>
      <c r="AC247" s="20">
        <f>(1+Y247/2)^(-(DATE(AA248,AB248,20)-[4]TradeSum!$A$3)/182.625)</f>
        <v>0.29048178338301789</v>
      </c>
      <c r="AD247" s="24"/>
    </row>
    <row r="248" spans="24:30" x14ac:dyDescent="0.2">
      <c r="X248" s="268">
        <v>44470</v>
      </c>
      <c r="Y248">
        <v>6.2406279424676497E-2</v>
      </c>
      <c r="Z248" s="18"/>
      <c r="AA248" s="19">
        <f t="shared" si="6"/>
        <v>2021</v>
      </c>
      <c r="AB248" s="18">
        <f t="shared" si="7"/>
        <v>10</v>
      </c>
      <c r="AC248" s="20">
        <f>(1+Y248/2)^(-(DATE(AA249,AB249,20)-[4]TradeSum!$A$3)/182.625)</f>
        <v>0.28890214004606518</v>
      </c>
      <c r="AD248" s="24"/>
    </row>
    <row r="249" spans="24:30" x14ac:dyDescent="0.2">
      <c r="X249" s="268">
        <v>44501</v>
      </c>
      <c r="Y249">
        <v>6.2407354163924698E-2</v>
      </c>
      <c r="Z249" s="18"/>
      <c r="AA249" s="19">
        <f t="shared" si="6"/>
        <v>2021</v>
      </c>
      <c r="AB249" s="18">
        <f t="shared" si="7"/>
        <v>11</v>
      </c>
      <c r="AC249" s="20">
        <f>(1+Y249/2)^(-(DATE(AA250,AB250,20)-[4]TradeSum!$A$3)/182.625)</f>
        <v>0.28744152352898955</v>
      </c>
      <c r="AD249" s="24"/>
    </row>
    <row r="250" spans="24:30" x14ac:dyDescent="0.2">
      <c r="X250" s="268">
        <v>44531</v>
      </c>
      <c r="Y250">
        <v>6.2408394234164902E-2</v>
      </c>
      <c r="Z250" s="18"/>
      <c r="AA250" s="19">
        <f t="shared" si="6"/>
        <v>2021</v>
      </c>
      <c r="AB250" s="18">
        <f t="shared" si="7"/>
        <v>12</v>
      </c>
      <c r="AC250" s="20">
        <f>(1+Y250/2)^(-(DATE(AA251,AB251,20)-[4]TradeSum!$A$3)/182.625)</f>
        <v>0.28594032398809754</v>
      </c>
      <c r="AD250" s="24"/>
    </row>
    <row r="251" spans="24:30" x14ac:dyDescent="0.2">
      <c r="X251" s="268">
        <v>44562</v>
      </c>
      <c r="Y251">
        <v>6.2409468973413998E-2</v>
      </c>
      <c r="Z251" s="18"/>
      <c r="AA251" s="19">
        <f t="shared" si="6"/>
        <v>2022</v>
      </c>
      <c r="AB251" s="18">
        <f t="shared" si="7"/>
        <v>1</v>
      </c>
      <c r="AC251" s="20">
        <f>(1+Y251/2)^(-(DATE(AA252,AB252,20)-[4]TradeSum!$A$3)/182.625)</f>
        <v>0.28444672032069274</v>
      </c>
      <c r="AD251" s="24"/>
    </row>
    <row r="252" spans="24:30" x14ac:dyDescent="0.2">
      <c r="X252" s="268">
        <v>44593</v>
      </c>
      <c r="Y252">
        <v>6.2410543712662803E-2</v>
      </c>
      <c r="Z252" s="18"/>
      <c r="AA252" s="19">
        <f t="shared" si="6"/>
        <v>2022</v>
      </c>
      <c r="AB252" s="18">
        <f t="shared" si="7"/>
        <v>2</v>
      </c>
      <c r="AC252" s="20">
        <f>(1+Y252/2)^(-(DATE(AA253,AB253,20)-[4]TradeSum!$A$3)/182.625)</f>
        <v>0.28310373653066917</v>
      </c>
      <c r="AD252" s="24"/>
    </row>
    <row r="253" spans="24:30" x14ac:dyDescent="0.2">
      <c r="X253" s="268">
        <v>44621</v>
      </c>
      <c r="Y253">
        <v>6.2411514444888003E-2</v>
      </c>
      <c r="Z253" s="18"/>
      <c r="AA253" s="19">
        <f t="shared" si="6"/>
        <v>2022</v>
      </c>
      <c r="AB253" s="18">
        <f t="shared" si="7"/>
        <v>3</v>
      </c>
      <c r="AC253" s="20">
        <f>(1+Y253/2)^(-(DATE(AA254,AB254,20)-[4]TradeSum!$A$3)/182.625)</f>
        <v>0.28162543816061714</v>
      </c>
      <c r="AD253" s="24"/>
    </row>
    <row r="254" spans="24:30" x14ac:dyDescent="0.2">
      <c r="X254" s="268">
        <v>44652</v>
      </c>
      <c r="Y254">
        <v>6.2412589184138105E-2</v>
      </c>
      <c r="Z254" s="18"/>
      <c r="AA254" s="19">
        <f t="shared" si="6"/>
        <v>2022</v>
      </c>
      <c r="AB254" s="18">
        <f t="shared" si="7"/>
        <v>4</v>
      </c>
      <c r="AC254" s="20">
        <f>(1+Y254/2)^(-(DATE(AA255,AB255,20)-[4]TradeSum!$A$3)/182.625)</f>
        <v>0.28020137326663958</v>
      </c>
      <c r="AD254" s="24"/>
    </row>
    <row r="255" spans="24:30" x14ac:dyDescent="0.2">
      <c r="X255" s="268">
        <v>44682</v>
      </c>
      <c r="Y255">
        <v>6.2413629254379994E-2</v>
      </c>
      <c r="Z255" s="18"/>
      <c r="AA255" s="19">
        <f t="shared" si="6"/>
        <v>2022</v>
      </c>
      <c r="AB255" s="18">
        <f t="shared" si="7"/>
        <v>5</v>
      </c>
      <c r="AC255" s="20">
        <f>(1+Y255/2)^(-(DATE(AA256,AB256,20)-[4]TradeSum!$A$3)/182.625)</f>
        <v>0.2787377500120094</v>
      </c>
      <c r="AD255" s="24"/>
    </row>
    <row r="256" spans="24:30" x14ac:dyDescent="0.2">
      <c r="X256" s="268">
        <v>44713</v>
      </c>
      <c r="Y256">
        <v>6.2414703993630902E-2</v>
      </c>
      <c r="Z256" s="18"/>
      <c r="AA256" s="19">
        <f t="shared" si="6"/>
        <v>2022</v>
      </c>
      <c r="AB256" s="18">
        <f t="shared" si="7"/>
        <v>6</v>
      </c>
      <c r="AC256" s="20">
        <f>(1+Y256/2)^(-(DATE(AA257,AB257,20)-[4]TradeSum!$A$3)/182.625)</f>
        <v>0.27732819199858555</v>
      </c>
      <c r="AD256" s="24"/>
    </row>
    <row r="257" spans="24:30" x14ac:dyDescent="0.2">
      <c r="X257" s="268">
        <v>44743</v>
      </c>
      <c r="Y257">
        <v>6.2415744063873707E-2</v>
      </c>
      <c r="Z257" s="18"/>
      <c r="AA257" s="19">
        <f t="shared" si="6"/>
        <v>2022</v>
      </c>
      <c r="AB257" s="18">
        <f t="shared" si="7"/>
        <v>7</v>
      </c>
      <c r="AC257" s="20">
        <f>(1+Y257/2)^(-(DATE(AA258,AB258,20)-[4]TradeSum!$A$3)/182.625)</f>
        <v>0.2758794822341753</v>
      </c>
      <c r="AD257" s="24"/>
    </row>
    <row r="258" spans="24:30" x14ac:dyDescent="0.2">
      <c r="X258" s="268">
        <v>44774</v>
      </c>
      <c r="Y258">
        <v>6.2416818803124705E-2</v>
      </c>
      <c r="Z258" s="18"/>
      <c r="AA258" s="19">
        <f t="shared" si="6"/>
        <v>2022</v>
      </c>
      <c r="AB258" s="18">
        <f t="shared" si="7"/>
        <v>8</v>
      </c>
      <c r="AC258" s="20">
        <f>(1+Y258/2)^(-(DATE(AA259,AB259,20)-[4]TradeSum!$A$3)/182.625)</f>
        <v>0.27443809916680478</v>
      </c>
      <c r="AD258" s="24"/>
    </row>
    <row r="259" spans="24:30" x14ac:dyDescent="0.2">
      <c r="X259" s="268">
        <v>44805</v>
      </c>
      <c r="Y259">
        <v>6.2417893542376507E-2</v>
      </c>
      <c r="Z259" s="18"/>
      <c r="AA259" s="19">
        <f t="shared" si="6"/>
        <v>2022</v>
      </c>
      <c r="AB259" s="18">
        <f t="shared" si="7"/>
        <v>9</v>
      </c>
      <c r="AC259" s="20">
        <f>(1+Y259/2)^(-(DATE(AA260,AB260,20)-[4]TradeSum!$A$3)/182.625)</f>
        <v>0.27305014315968085</v>
      </c>
      <c r="AD259" s="24"/>
    </row>
    <row r="260" spans="24:30" x14ac:dyDescent="0.2">
      <c r="X260" s="268">
        <v>44835</v>
      </c>
      <c r="Y260">
        <v>6.2418933612620207E-2</v>
      </c>
      <c r="Z260" s="18"/>
      <c r="AA260" s="19">
        <f t="shared" si="6"/>
        <v>2022</v>
      </c>
      <c r="AB260" s="18">
        <f t="shared" si="7"/>
        <v>10</v>
      </c>
      <c r="AC260" s="20">
        <f>(1+Y260/2)^(-(DATE(AA261,AB261,20)-[4]TradeSum!$A$3)/182.625)</f>
        <v>0.27162364080772988</v>
      </c>
      <c r="AD260" s="24"/>
    </row>
    <row r="261" spans="24:30" x14ac:dyDescent="0.2">
      <c r="X261" s="268">
        <v>44866</v>
      </c>
      <c r="Y261">
        <v>6.2420008351872905E-2</v>
      </c>
      <c r="Z261" s="18"/>
      <c r="AA261" s="19">
        <f t="shared" si="6"/>
        <v>2022</v>
      </c>
      <c r="AB261" s="18">
        <f t="shared" si="7"/>
        <v>11</v>
      </c>
      <c r="AC261" s="20">
        <f>(1+Y261/2)^(-(DATE(AA262,AB262,20)-[4]TradeSum!$A$3)/182.625)</f>
        <v>0.27024982621799326</v>
      </c>
      <c r="AD261" s="24"/>
    </row>
    <row r="262" spans="24:30" x14ac:dyDescent="0.2">
      <c r="X262" s="268">
        <v>44896</v>
      </c>
      <c r="Y262">
        <v>6.2421048422117507E-2</v>
      </c>
      <c r="Z262" s="18"/>
      <c r="AA262" s="19">
        <f t="shared" si="6"/>
        <v>2022</v>
      </c>
      <c r="AB262" s="18">
        <f t="shared" si="7"/>
        <v>12</v>
      </c>
      <c r="AC262" s="20">
        <f>(1+Y262/2)^(-(DATE(AA263,AB263,20)-[4]TradeSum!$A$3)/182.625)</f>
        <v>0.26883786155661316</v>
      </c>
      <c r="AD262" s="24"/>
    </row>
    <row r="263" spans="24:30" x14ac:dyDescent="0.2">
      <c r="X263" s="268">
        <v>44927</v>
      </c>
      <c r="Y263">
        <v>6.2422123161370607E-2</v>
      </c>
      <c r="Z263" s="18"/>
      <c r="AA263" s="19">
        <f t="shared" si="6"/>
        <v>2023</v>
      </c>
      <c r="AB263" s="18">
        <f t="shared" si="7"/>
        <v>1</v>
      </c>
      <c r="AC263" s="20">
        <f>(1+Y263/2)^(-(DATE(AA264,AB264,20)-[4]TradeSum!$A$3)/182.625)</f>
        <v>0.26743303523757456</v>
      </c>
      <c r="AD263" s="24"/>
    </row>
    <row r="264" spans="24:30" x14ac:dyDescent="0.2">
      <c r="X264" s="268">
        <v>44958</v>
      </c>
      <c r="Y264">
        <v>6.24231979006242E-2</v>
      </c>
      <c r="Z264" s="18"/>
      <c r="AA264" s="19">
        <f t="shared" si="6"/>
        <v>2023</v>
      </c>
      <c r="AB264" s="18">
        <f t="shared" si="7"/>
        <v>2</v>
      </c>
      <c r="AC264" s="20">
        <f>(1+Y264/2)^(-(DATE(AA265,AB265,20)-[4]TradeSum!$A$3)/182.625)</f>
        <v>0.26616985211410499</v>
      </c>
      <c r="AD264" s="24"/>
    </row>
    <row r="265" spans="24:30" x14ac:dyDescent="0.2">
      <c r="X265" s="268">
        <v>44986</v>
      </c>
      <c r="Y265">
        <v>6.2424168632853501E-2</v>
      </c>
      <c r="Z265" s="18"/>
      <c r="AA265" s="19">
        <f t="shared" ref="AA265:AA328" si="8">YEAR(X265)</f>
        <v>2023</v>
      </c>
      <c r="AB265" s="18">
        <f t="shared" ref="AB265:AB328" si="9">MONTH(X265)</f>
        <v>3</v>
      </c>
      <c r="AC265" s="20">
        <f>(1+Y265/2)^(-(DATE(AA266,AB266,20)-[4]TradeSum!$A$3)/182.625)</f>
        <v>0.26477945352416465</v>
      </c>
      <c r="AD265" s="24"/>
    </row>
    <row r="266" spans="24:30" x14ac:dyDescent="0.2">
      <c r="X266" s="268">
        <v>45017</v>
      </c>
      <c r="Y266">
        <v>6.2425243372108002E-2</v>
      </c>
      <c r="Z266" s="18"/>
      <c r="AA266" s="19">
        <f t="shared" si="8"/>
        <v>2023</v>
      </c>
      <c r="AB266" s="18">
        <f t="shared" si="9"/>
        <v>4</v>
      </c>
      <c r="AC266" s="20">
        <f>(1+Y266/2)^(-(DATE(AA267,AB267,20)-[4]TradeSum!$A$3)/182.625)</f>
        <v>0.26344003203930988</v>
      </c>
      <c r="AD266" s="24"/>
    </row>
    <row r="267" spans="24:30" x14ac:dyDescent="0.2">
      <c r="X267" s="268">
        <v>45047</v>
      </c>
      <c r="Y267">
        <v>6.2426283442354402E-2</v>
      </c>
      <c r="Z267" s="18"/>
      <c r="AA267" s="19">
        <f t="shared" si="8"/>
        <v>2023</v>
      </c>
      <c r="AB267" s="18">
        <f t="shared" si="9"/>
        <v>5</v>
      </c>
      <c r="AC267" s="20">
        <f>(1+Y267/2)^(-(DATE(AA268,AB268,20)-[4]TradeSum!$A$3)/182.625)</f>
        <v>0.26206342409591726</v>
      </c>
      <c r="AD267" s="24"/>
    </row>
    <row r="268" spans="24:30" x14ac:dyDescent="0.2">
      <c r="X268" s="268">
        <v>45078</v>
      </c>
      <c r="Y268">
        <v>6.2427358181609702E-2</v>
      </c>
      <c r="Z268" s="18"/>
      <c r="AA268" s="19">
        <f t="shared" si="8"/>
        <v>2023</v>
      </c>
      <c r="AB268" s="18">
        <f t="shared" si="9"/>
        <v>6</v>
      </c>
      <c r="AC268" s="20">
        <f>(1+Y268/2)^(-(DATE(AA269,AB269,20)-[4]TradeSum!$A$3)/182.625)</f>
        <v>0.26073765270402849</v>
      </c>
      <c r="AD268" s="19"/>
    </row>
    <row r="269" spans="24:30" x14ac:dyDescent="0.2">
      <c r="X269" s="268">
        <v>45108</v>
      </c>
      <c r="Y269">
        <v>6.2428398251857004E-2</v>
      </c>
      <c r="Z269" s="18"/>
      <c r="AA269" s="19">
        <f t="shared" si="8"/>
        <v>2023</v>
      </c>
      <c r="AB269" s="18">
        <f t="shared" si="9"/>
        <v>7</v>
      </c>
      <c r="AC269" s="20">
        <f>(1+Y269/2)^(-(DATE(AA270,AB270,20)-[4]TradeSum!$A$3)/182.625)</f>
        <v>0.25937507723445835</v>
      </c>
      <c r="AD269" s="19"/>
    </row>
    <row r="270" spans="24:30" x14ac:dyDescent="0.2">
      <c r="X270" s="268">
        <v>45139</v>
      </c>
      <c r="Y270">
        <v>6.2429472991112303E-2</v>
      </c>
      <c r="Z270" s="18"/>
      <c r="AA270" s="19">
        <f t="shared" si="8"/>
        <v>2023</v>
      </c>
      <c r="AB270" s="18">
        <f t="shared" si="9"/>
        <v>8</v>
      </c>
      <c r="AC270" s="20">
        <f>(1+Y270/2)^(-(DATE(AA271,AB271,20)-[4]TradeSum!$A$3)/182.625)</f>
        <v>0.25801938704683364</v>
      </c>
      <c r="AD270" s="19"/>
    </row>
    <row r="271" spans="24:30" x14ac:dyDescent="0.2">
      <c r="X271" s="268">
        <v>45170</v>
      </c>
      <c r="Y271">
        <v>6.2430547730368602E-2</v>
      </c>
      <c r="Z271" s="18"/>
      <c r="AA271" s="19">
        <f t="shared" si="8"/>
        <v>2023</v>
      </c>
      <c r="AB271" s="18">
        <f t="shared" si="9"/>
        <v>9</v>
      </c>
      <c r="AC271" s="20">
        <f>(1+Y271/2)^(-(DATE(AA272,AB272,20)-[4]TradeSum!$A$3)/182.625)</f>
        <v>0.25671394172422934</v>
      </c>
      <c r="AD271" s="19"/>
    </row>
    <row r="272" spans="24:30" x14ac:dyDescent="0.2">
      <c r="X272" s="268">
        <v>45200</v>
      </c>
      <c r="Y272">
        <v>6.2431587800617201E-2</v>
      </c>
      <c r="Z272" s="18"/>
      <c r="AA272" s="19">
        <f t="shared" si="8"/>
        <v>2023</v>
      </c>
      <c r="AB272" s="18">
        <f t="shared" si="9"/>
        <v>10</v>
      </c>
      <c r="AC272" s="20">
        <f>(1+Y272/2)^(-(DATE(AA273,AB273,20)-[4]TradeSum!$A$3)/182.625)</f>
        <v>0.25537226165257387</v>
      </c>
      <c r="AD272" s="19"/>
    </row>
    <row r="273" spans="24:30" x14ac:dyDescent="0.2">
      <c r="X273" s="268">
        <v>45231</v>
      </c>
      <c r="Y273">
        <v>6.2432662539873902E-2</v>
      </c>
      <c r="Z273" s="18"/>
      <c r="AA273" s="19">
        <f t="shared" si="8"/>
        <v>2023</v>
      </c>
      <c r="AB273" s="18">
        <f t="shared" si="9"/>
        <v>11</v>
      </c>
      <c r="AC273" s="20">
        <f>(1+Y273/2)^(-(DATE(AA274,AB274,20)-[4]TradeSum!$A$3)/182.625)</f>
        <v>0.25408012240565286</v>
      </c>
      <c r="AD273" s="19"/>
    </row>
    <row r="274" spans="24:30" x14ac:dyDescent="0.2">
      <c r="X274" s="268">
        <v>45261</v>
      </c>
      <c r="Y274">
        <v>6.2433702610122904E-2</v>
      </c>
      <c r="Z274" s="18"/>
      <c r="AA274" s="19">
        <f t="shared" si="8"/>
        <v>2023</v>
      </c>
      <c r="AB274" s="18">
        <f t="shared" si="9"/>
        <v>12</v>
      </c>
      <c r="AC274" s="20">
        <f>(1+Y274/2)^(-(DATE(AA275,AB275,20)-[4]TradeSum!$A$3)/182.625)</f>
        <v>0.25275212106611022</v>
      </c>
      <c r="AD274" s="19"/>
    </row>
    <row r="275" spans="24:30" x14ac:dyDescent="0.2">
      <c r="X275" s="268">
        <v>45292</v>
      </c>
      <c r="Y275">
        <v>6.2434777349381E-2</v>
      </c>
      <c r="Z275" s="18"/>
      <c r="AA275" s="19">
        <f t="shared" si="8"/>
        <v>2024</v>
      </c>
      <c r="AB275" s="18">
        <f t="shared" si="9"/>
        <v>1</v>
      </c>
      <c r="AC275" s="20">
        <f>(1+Y275/2)^(-(DATE(AA276,AB276,20)-[4]TradeSum!$A$3)/182.625)</f>
        <v>0.25143082793310773</v>
      </c>
      <c r="AD275" s="19"/>
    </row>
    <row r="276" spans="24:30" x14ac:dyDescent="0.2">
      <c r="X276" s="268">
        <v>45323</v>
      </c>
      <c r="Y276">
        <v>6.2435852088638603E-2</v>
      </c>
      <c r="Z276" s="18"/>
      <c r="AA276" s="19">
        <f t="shared" si="8"/>
        <v>2024</v>
      </c>
      <c r="AB276" s="18">
        <f t="shared" si="9"/>
        <v>2</v>
      </c>
      <c r="AC276" s="20">
        <f>(1+Y276/2)^(-(DATE(AA277,AB277,20)-[4]TradeSum!$A$3)/182.625)</f>
        <v>0.25020061419545914</v>
      </c>
      <c r="AD276" s="19"/>
    </row>
    <row r="277" spans="24:30" x14ac:dyDescent="0.2">
      <c r="X277" s="268">
        <v>45352</v>
      </c>
      <c r="Y277">
        <v>6.2436857489880801E-2</v>
      </c>
      <c r="Z277" s="18"/>
      <c r="AA277" s="19">
        <f t="shared" si="8"/>
        <v>2024</v>
      </c>
      <c r="AB277" s="18">
        <f t="shared" si="9"/>
        <v>3</v>
      </c>
      <c r="AC277" s="20">
        <f>(1+Y277/2)^(-(DATE(AA278,AB278,20)-[4]TradeSum!$A$3)/182.625)</f>
        <v>0.24889295129881944</v>
      </c>
      <c r="AD277" s="19"/>
    </row>
    <row r="278" spans="24:30" x14ac:dyDescent="0.2">
      <c r="X278" s="268">
        <v>45383</v>
      </c>
      <c r="Y278">
        <v>6.2437932229139299E-2</v>
      </c>
      <c r="Z278" s="18"/>
      <c r="AA278" s="19">
        <f t="shared" si="8"/>
        <v>2024</v>
      </c>
      <c r="AB278" s="18">
        <f t="shared" si="9"/>
        <v>4</v>
      </c>
      <c r="AC278" s="20">
        <f>(1+Y278/2)^(-(DATE(AA279,AB279,20)-[4]TradeSum!$A$3)/182.625)</f>
        <v>0.24763338490963521</v>
      </c>
      <c r="AD278" s="19"/>
    </row>
    <row r="279" spans="24:30" x14ac:dyDescent="0.2">
      <c r="X279" s="268">
        <v>45413</v>
      </c>
      <c r="Y279">
        <v>6.2438972299390105E-2</v>
      </c>
      <c r="Z279" s="18"/>
      <c r="AA279" s="19">
        <f t="shared" si="8"/>
        <v>2024</v>
      </c>
      <c r="AB279" s="18">
        <f t="shared" si="9"/>
        <v>5</v>
      </c>
      <c r="AC279" s="20">
        <f>(1+Y279/2)^(-(DATE(AA280,AB280,20)-[4]TradeSum!$A$3)/182.625)</f>
        <v>0.24633886853053563</v>
      </c>
      <c r="AD279" s="19"/>
    </row>
    <row r="280" spans="24:30" x14ac:dyDescent="0.2">
      <c r="X280" s="268">
        <v>45444</v>
      </c>
      <c r="Y280">
        <v>6.2440047038649901E-2</v>
      </c>
      <c r="Z280" s="18"/>
      <c r="AA280" s="19">
        <f t="shared" si="8"/>
        <v>2024</v>
      </c>
      <c r="AB280" s="18">
        <f t="shared" si="9"/>
        <v>6</v>
      </c>
      <c r="AC280" s="20">
        <f>(1+Y280/2)^(-(DATE(AA281,AB281,20)-[4]TradeSum!$A$3)/182.625)</f>
        <v>0.24509214358672146</v>
      </c>
      <c r="AD280" s="19"/>
    </row>
    <row r="281" spans="24:30" x14ac:dyDescent="0.2">
      <c r="X281" s="268">
        <v>45474</v>
      </c>
      <c r="Y281">
        <v>6.2441087108901602E-2</v>
      </c>
      <c r="Z281" s="18"/>
      <c r="AA281" s="19">
        <f t="shared" si="8"/>
        <v>2024</v>
      </c>
      <c r="AB281" s="18">
        <f t="shared" si="9"/>
        <v>7</v>
      </c>
      <c r="AC281" s="20">
        <f>(1+Y281/2)^(-(DATE(AA282,AB282,20)-[4]TradeSum!$A$3)/182.625)</f>
        <v>0.24381082817931088</v>
      </c>
      <c r="AD281" s="19"/>
    </row>
    <row r="282" spans="24:30" x14ac:dyDescent="0.2">
      <c r="X282" s="268">
        <v>45505</v>
      </c>
      <c r="Y282">
        <v>6.2442161848161905E-2</v>
      </c>
      <c r="Z282" s="18"/>
      <c r="AA282" s="19">
        <f t="shared" si="8"/>
        <v>2024</v>
      </c>
      <c r="AB282" s="18">
        <f t="shared" si="9"/>
        <v>8</v>
      </c>
      <c r="AC282" s="20">
        <f>(1+Y282/2)^(-(DATE(AA283,AB283,20)-[4]TradeSum!$A$3)/182.625)</f>
        <v>0.2425359819729655</v>
      </c>
      <c r="AD282" s="19"/>
    </row>
    <row r="283" spans="24:30" x14ac:dyDescent="0.2">
      <c r="X283" s="268">
        <v>45536</v>
      </c>
      <c r="Y283">
        <v>6.2443236587423005E-2</v>
      </c>
      <c r="Z283" s="18"/>
      <c r="AA283" s="19">
        <f t="shared" si="8"/>
        <v>2024</v>
      </c>
      <c r="AB283" s="18">
        <f t="shared" si="9"/>
        <v>9</v>
      </c>
      <c r="AC283" s="20">
        <f>(1+Y283/2)^(-(DATE(AA284,AB284,20)-[4]TradeSum!$A$3)/182.625)</f>
        <v>0.2413083788583214</v>
      </c>
      <c r="AD283" s="19"/>
    </row>
    <row r="284" spans="24:30" x14ac:dyDescent="0.2">
      <c r="X284" s="268">
        <v>45566</v>
      </c>
      <c r="Y284">
        <v>6.2444276657675601E-2</v>
      </c>
      <c r="Z284" s="18"/>
      <c r="AA284" s="19">
        <f t="shared" si="8"/>
        <v>2024</v>
      </c>
      <c r="AB284" s="18">
        <f t="shared" si="9"/>
        <v>10</v>
      </c>
      <c r="AC284" s="20">
        <f>(1+Y284/2)^(-(DATE(AA285,AB285,20)-[4]TradeSum!$A$3)/182.625)</f>
        <v>0.24004672057770143</v>
      </c>
      <c r="AD284" s="19"/>
    </row>
    <row r="285" spans="24:30" x14ac:dyDescent="0.2">
      <c r="X285" s="268">
        <v>45597</v>
      </c>
      <c r="Y285">
        <v>6.2445351396936702E-2</v>
      </c>
      <c r="Z285" s="18"/>
      <c r="AA285" s="19">
        <f t="shared" si="8"/>
        <v>2024</v>
      </c>
      <c r="AB285" s="18">
        <f t="shared" si="9"/>
        <v>11</v>
      </c>
      <c r="AC285" s="20">
        <f>(1+Y285/2)^(-(DATE(AA286,AB286,20)-[4]TradeSum!$A$3)/182.625)</f>
        <v>0.23883163514034378</v>
      </c>
      <c r="AD285" s="19"/>
    </row>
    <row r="286" spans="24:30" x14ac:dyDescent="0.2">
      <c r="X286" s="268">
        <v>45627</v>
      </c>
      <c r="Y286">
        <v>6.2446391467190207E-2</v>
      </c>
      <c r="Z286" s="18"/>
      <c r="AA286" s="19">
        <f t="shared" si="8"/>
        <v>2024</v>
      </c>
      <c r="AB286" s="18">
        <f t="shared" si="9"/>
        <v>12</v>
      </c>
      <c r="AC286" s="20">
        <f>(1+Y286/2)^(-(DATE(AA287,AB287,20)-[4]TradeSum!$A$3)/182.625)</f>
        <v>0.23758284491646753</v>
      </c>
      <c r="AD286" s="19"/>
    </row>
    <row r="287" spans="24:30" x14ac:dyDescent="0.2">
      <c r="X287" s="268">
        <v>45658</v>
      </c>
      <c r="Y287">
        <v>6.2447466206452203E-2</v>
      </c>
      <c r="Z287" s="18"/>
      <c r="AA287" s="19">
        <f t="shared" si="8"/>
        <v>2025</v>
      </c>
      <c r="AB287" s="18">
        <f t="shared" si="9"/>
        <v>1</v>
      </c>
      <c r="AC287" s="20">
        <f>(1+Y287/2)^(-(DATE(AA288,AB288,20)-[4]TradeSum!$A$3)/182.625)</f>
        <v>0.23634035745437607</v>
      </c>
      <c r="AD287" s="19"/>
    </row>
    <row r="288" spans="24:30" x14ac:dyDescent="0.2">
      <c r="X288" s="268">
        <v>45689</v>
      </c>
      <c r="Y288">
        <v>6.2448540945715204E-2</v>
      </c>
      <c r="Z288" s="18"/>
      <c r="AA288" s="19">
        <f t="shared" si="8"/>
        <v>2025</v>
      </c>
      <c r="AB288" s="18">
        <f t="shared" si="9"/>
        <v>2</v>
      </c>
      <c r="AC288" s="20">
        <f>(1+Y288/2)^(-(DATE(AA289,AB289,20)-[4]TradeSum!$A$3)/182.625)</f>
        <v>0.23522310258750057</v>
      </c>
      <c r="AD288" s="19"/>
    </row>
    <row r="289" spans="24:30" x14ac:dyDescent="0.2">
      <c r="X289" s="268">
        <v>45717</v>
      </c>
      <c r="Y289">
        <v>6.2449511677952901E-2</v>
      </c>
      <c r="Z289" s="18"/>
      <c r="AA289" s="19">
        <f t="shared" si="8"/>
        <v>2025</v>
      </c>
      <c r="AB289" s="18">
        <f t="shared" si="9"/>
        <v>3</v>
      </c>
      <c r="AC289" s="20">
        <f>(1+Y289/2)^(-(DATE(AA290,AB290,20)-[4]TradeSum!$A$3)/182.625)</f>
        <v>0.23399343251155122</v>
      </c>
      <c r="AD289" s="19"/>
    </row>
    <row r="290" spans="24:30" x14ac:dyDescent="0.2">
      <c r="X290" s="268">
        <v>45748</v>
      </c>
      <c r="Y290">
        <v>6.2450586417215799E-2</v>
      </c>
      <c r="Z290" s="18"/>
      <c r="AA290" s="19">
        <f t="shared" si="8"/>
        <v>2025</v>
      </c>
      <c r="AB290" s="18">
        <f t="shared" si="9"/>
        <v>4</v>
      </c>
      <c r="AC290" s="20">
        <f>(1+Y290/2)^(-(DATE(AA291,AB291,20)-[4]TradeSum!$A$3)/182.625)</f>
        <v>0.23280879066883775</v>
      </c>
      <c r="AD290" s="19"/>
    </row>
    <row r="291" spans="24:30" x14ac:dyDescent="0.2">
      <c r="X291" s="268">
        <v>45778</v>
      </c>
      <c r="Y291">
        <v>6.2451626487470997E-2</v>
      </c>
      <c r="Z291" s="18"/>
      <c r="AA291" s="19">
        <f t="shared" si="8"/>
        <v>2025</v>
      </c>
      <c r="AB291" s="18">
        <f t="shared" si="9"/>
        <v>5</v>
      </c>
      <c r="AC291" s="20">
        <f>(1+Y291/2)^(-(DATE(AA292,AB292,20)-[4]TradeSum!$A$3)/182.625)</f>
        <v>0.23159129604121684</v>
      </c>
      <c r="AD291" s="19"/>
    </row>
    <row r="292" spans="24:30" x14ac:dyDescent="0.2">
      <c r="X292" s="268">
        <v>45809</v>
      </c>
      <c r="Y292">
        <v>6.2452701226735297E-2</v>
      </c>
      <c r="Z292" s="18"/>
      <c r="AA292" s="19">
        <f t="shared" si="8"/>
        <v>2025</v>
      </c>
      <c r="AB292" s="18">
        <f t="shared" si="9"/>
        <v>6</v>
      </c>
      <c r="AC292" s="20">
        <f>(1+Y292/2)^(-(DATE(AA293,AB293,20)-[4]TradeSum!$A$3)/182.625)</f>
        <v>0.23041873661662834</v>
      </c>
      <c r="AD292" s="19"/>
    </row>
    <row r="293" spans="24:30" x14ac:dyDescent="0.2">
      <c r="X293" s="268">
        <v>45839</v>
      </c>
      <c r="Y293">
        <v>6.2453741296991404E-2</v>
      </c>
      <c r="Z293" s="18"/>
      <c r="AA293" s="19">
        <f t="shared" si="8"/>
        <v>2025</v>
      </c>
      <c r="AB293" s="18">
        <f t="shared" si="9"/>
        <v>7</v>
      </c>
      <c r="AC293" s="20">
        <f>(1+Y293/2)^(-(DATE(AA294,AB294,20)-[4]TradeSum!$A$3)/182.625)</f>
        <v>0.22921366249344727</v>
      </c>
      <c r="AD293" s="19"/>
    </row>
    <row r="294" spans="24:30" x14ac:dyDescent="0.2">
      <c r="X294" s="268">
        <v>45870</v>
      </c>
      <c r="Y294">
        <v>6.2454816036256099E-2</v>
      </c>
      <c r="Z294" s="18"/>
      <c r="AA294" s="19">
        <f t="shared" si="8"/>
        <v>2025</v>
      </c>
      <c r="AB294" s="18">
        <f t="shared" si="9"/>
        <v>8</v>
      </c>
      <c r="AC294" s="20">
        <f>(1+Y294/2)^(-(DATE(AA295,AB295,20)-[4]TradeSum!$A$3)/182.625)</f>
        <v>0.22801466752118532</v>
      </c>
      <c r="AD294" s="19"/>
    </row>
    <row r="295" spans="24:30" x14ac:dyDescent="0.2">
      <c r="X295" s="268">
        <v>45901</v>
      </c>
      <c r="Y295">
        <v>6.24558907755213E-2</v>
      </c>
      <c r="Z295" s="18"/>
      <c r="AA295" s="19">
        <f t="shared" si="8"/>
        <v>2025</v>
      </c>
      <c r="AB295" s="18">
        <f t="shared" si="9"/>
        <v>9</v>
      </c>
      <c r="AC295" s="20">
        <f>(1+Y295/2)^(-(DATE(AA296,AB296,20)-[4]TradeSum!$A$3)/182.625)</f>
        <v>0.22686009958634332</v>
      </c>
      <c r="AD295" s="19"/>
    </row>
    <row r="296" spans="24:30" x14ac:dyDescent="0.2">
      <c r="X296" s="268">
        <v>45931</v>
      </c>
      <c r="Y296">
        <v>6.2456930845778302E-2</v>
      </c>
      <c r="Z296" s="18"/>
      <c r="AA296" s="19">
        <f t="shared" si="8"/>
        <v>2025</v>
      </c>
      <c r="AB296" s="18">
        <f t="shared" si="9"/>
        <v>10</v>
      </c>
      <c r="AC296" s="20">
        <f>(1+Y296/2)^(-(DATE(AA297,AB297,20)-[4]TradeSum!$A$3)/182.625)</f>
        <v>0.22567352032596105</v>
      </c>
      <c r="AD296" s="19"/>
    </row>
    <row r="297" spans="24:30" x14ac:dyDescent="0.2">
      <c r="X297" s="268">
        <v>45962</v>
      </c>
      <c r="Y297">
        <v>6.2458005585044302E-2</v>
      </c>
      <c r="Z297" s="18"/>
      <c r="AA297" s="19">
        <f t="shared" si="8"/>
        <v>2025</v>
      </c>
      <c r="AB297" s="18">
        <f t="shared" si="9"/>
        <v>11</v>
      </c>
      <c r="AC297" s="20">
        <f>(1+Y297/2)^(-(DATE(AA298,AB298,20)-[4]TradeSum!$A$3)/182.625)</f>
        <v>0.22453073005559165</v>
      </c>
      <c r="AD297" s="19"/>
    </row>
    <row r="298" spans="24:30" x14ac:dyDescent="0.2">
      <c r="X298" s="268">
        <v>45992</v>
      </c>
      <c r="Y298">
        <v>6.2459045655302199E-2</v>
      </c>
      <c r="Z298" s="18"/>
      <c r="AA298" s="19">
        <f t="shared" si="8"/>
        <v>2025</v>
      </c>
      <c r="AB298" s="18">
        <f t="shared" si="9"/>
        <v>12</v>
      </c>
      <c r="AC298" s="20">
        <f>(1+Y298/2)^(-(DATE(AA299,AB299,20)-[4]TradeSum!$A$3)/182.625)</f>
        <v>0.22335625794118402</v>
      </c>
      <c r="AD298" s="19"/>
    </row>
    <row r="299" spans="24:30" x14ac:dyDescent="0.2">
      <c r="X299" s="268">
        <v>46023</v>
      </c>
      <c r="Y299">
        <v>6.2460120394569198E-2</v>
      </c>
      <c r="Z299" s="18"/>
      <c r="AA299" s="19">
        <f t="shared" si="8"/>
        <v>2026</v>
      </c>
      <c r="AB299" s="18">
        <f t="shared" si="9"/>
        <v>1</v>
      </c>
      <c r="AC299" s="20">
        <f>(1+Y299/2)^(-(DATE(AA300,AB300,20)-[4]TradeSum!$A$3)/182.625)</f>
        <v>0.22218770851303696</v>
      </c>
      <c r="AD299" s="19"/>
    </row>
    <row r="300" spans="24:30" x14ac:dyDescent="0.2">
      <c r="X300" s="268">
        <v>46054</v>
      </c>
      <c r="Y300">
        <v>6.2461195133836099E-2</v>
      </c>
      <c r="Z300" s="18"/>
      <c r="AA300" s="19">
        <f t="shared" si="8"/>
        <v>2026</v>
      </c>
      <c r="AB300" s="18">
        <f t="shared" si="9"/>
        <v>2</v>
      </c>
      <c r="AC300" s="20">
        <f>(1+Y300/2)^(-(DATE(AA301,AB301,20)-[4]TradeSum!$A$3)/182.625)</f>
        <v>0.22113691935051427</v>
      </c>
      <c r="AD300" s="19"/>
    </row>
    <row r="301" spans="24:30" x14ac:dyDescent="0.2">
      <c r="X301" s="268">
        <v>46082</v>
      </c>
      <c r="Y301">
        <v>6.24621658660773E-2</v>
      </c>
      <c r="Z301" s="18"/>
      <c r="AA301" s="19">
        <f t="shared" si="8"/>
        <v>2026</v>
      </c>
      <c r="AB301" s="18">
        <f t="shared" si="9"/>
        <v>3</v>
      </c>
      <c r="AC301" s="20">
        <f>(1+Y301/2)^(-(DATE(AA302,AB302,20)-[4]TradeSum!$A$3)/182.625)</f>
        <v>0.21998045126196095</v>
      </c>
      <c r="AD301" s="19"/>
    </row>
    <row r="302" spans="24:30" x14ac:dyDescent="0.2">
      <c r="X302" s="268">
        <v>46113</v>
      </c>
      <c r="Y302">
        <v>6.2463240605345603E-2</v>
      </c>
      <c r="Z302" s="18"/>
      <c r="AA302" s="19">
        <f t="shared" si="8"/>
        <v>2026</v>
      </c>
      <c r="AB302" s="18">
        <f t="shared" si="9"/>
        <v>4</v>
      </c>
      <c r="AC302" s="20">
        <f>(1+Y302/2)^(-(DATE(AA303,AB303,20)-[4]TradeSum!$A$3)/182.625)</f>
        <v>0.21886630463314252</v>
      </c>
      <c r="AD302" s="19"/>
    </row>
    <row r="303" spans="24:30" x14ac:dyDescent="0.2">
      <c r="X303" s="268">
        <v>46143</v>
      </c>
      <c r="Y303">
        <v>6.2464280675605305E-2</v>
      </c>
      <c r="Z303" s="18"/>
      <c r="AA303" s="19">
        <f t="shared" si="8"/>
        <v>2026</v>
      </c>
      <c r="AB303" s="18">
        <f t="shared" si="9"/>
        <v>5</v>
      </c>
      <c r="AC303" s="20">
        <f>(1+Y303/2)^(-(DATE(AA304,AB304,20)-[4]TradeSum!$A$3)/182.625)</f>
        <v>0.21772127733954391</v>
      </c>
      <c r="AD303" s="19"/>
    </row>
    <row r="304" spans="24:30" x14ac:dyDescent="0.2">
      <c r="X304" s="268">
        <v>46174</v>
      </c>
      <c r="Y304">
        <v>6.2465355414874003E-2</v>
      </c>
      <c r="Z304" s="18"/>
      <c r="AA304" s="19">
        <f t="shared" si="8"/>
        <v>2026</v>
      </c>
      <c r="AB304" s="18">
        <f t="shared" si="9"/>
        <v>6</v>
      </c>
      <c r="AC304" s="20">
        <f>(1+Y304/2)^(-(DATE(AA305,AB305,20)-[4]TradeSum!$A$3)/182.625)</f>
        <v>0.21661849868331245</v>
      </c>
      <c r="AD304" s="19"/>
    </row>
    <row r="305" spans="24:30" x14ac:dyDescent="0.2">
      <c r="X305" s="268">
        <v>46204</v>
      </c>
      <c r="Y305">
        <v>6.2466395485134101E-2</v>
      </c>
      <c r="Z305" s="18"/>
      <c r="AA305" s="19">
        <f t="shared" si="8"/>
        <v>2026</v>
      </c>
      <c r="AB305" s="18">
        <f t="shared" si="9"/>
        <v>7</v>
      </c>
      <c r="AC305" s="20">
        <f>(1+Y305/2)^(-(DATE(AA306,AB306,20)-[4]TradeSum!$A$3)/182.625)</f>
        <v>0.2154851572792906</v>
      </c>
      <c r="AD305" s="19"/>
    </row>
    <row r="306" spans="24:30" x14ac:dyDescent="0.2">
      <c r="X306" s="268">
        <v>46235</v>
      </c>
      <c r="Y306">
        <v>6.2467470224403701E-2</v>
      </c>
      <c r="Z306" s="18"/>
      <c r="AA306" s="19">
        <f t="shared" si="8"/>
        <v>2026</v>
      </c>
      <c r="AB306" s="18">
        <f t="shared" si="9"/>
        <v>8</v>
      </c>
      <c r="AC306" s="20">
        <f>(1+Y306/2)^(-(DATE(AA307,AB307,20)-[4]TradeSum!$A$3)/182.625)</f>
        <v>0.21435752835412725</v>
      </c>
      <c r="AD306" s="19"/>
    </row>
    <row r="307" spans="24:30" x14ac:dyDescent="0.2">
      <c r="X307" s="268">
        <v>46266</v>
      </c>
      <c r="Y307">
        <v>6.2468544963673302E-2</v>
      </c>
      <c r="Z307" s="18"/>
      <c r="AA307" s="19">
        <f t="shared" si="8"/>
        <v>2026</v>
      </c>
      <c r="AB307" s="18">
        <f t="shared" si="9"/>
        <v>9</v>
      </c>
      <c r="AC307" s="20">
        <f>(1+Y307/2)^(-(DATE(AA308,AB308,20)-[4]TradeSum!$A$3)/182.625)</f>
        <v>0.21327167724463333</v>
      </c>
      <c r="AD307" s="19"/>
    </row>
    <row r="308" spans="24:30" x14ac:dyDescent="0.2">
      <c r="X308" s="268">
        <v>46296</v>
      </c>
      <c r="Y308">
        <v>6.2469585033934703E-2</v>
      </c>
      <c r="Z308" s="18"/>
      <c r="AA308" s="19">
        <f t="shared" si="8"/>
        <v>2026</v>
      </c>
      <c r="AB308" s="18">
        <f t="shared" si="9"/>
        <v>10</v>
      </c>
      <c r="AC308" s="20">
        <f>(1+Y308/2)^(-(DATE(AA309,AB309,20)-[4]TradeSum!$A$3)/182.625)</f>
        <v>0.2121557367280579</v>
      </c>
      <c r="AD308" s="19"/>
    </row>
    <row r="309" spans="24:30" x14ac:dyDescent="0.2">
      <c r="X309" s="268">
        <v>46327</v>
      </c>
      <c r="Y309">
        <v>6.2470659773205206E-2</v>
      </c>
      <c r="Z309" s="18"/>
      <c r="AA309" s="19">
        <f t="shared" si="8"/>
        <v>2026</v>
      </c>
      <c r="AB309" s="18">
        <f t="shared" si="9"/>
        <v>11</v>
      </c>
      <c r="AC309" s="20">
        <f>(1+Y309/2)^(-(DATE(AA310,AB310,20)-[4]TradeSum!$A$3)/182.625)</f>
        <v>0.21108096674242061</v>
      </c>
      <c r="AD309" s="22"/>
    </row>
    <row r="310" spans="24:30" x14ac:dyDescent="0.2">
      <c r="X310" s="268">
        <v>46357</v>
      </c>
      <c r="Y310">
        <v>6.24716998434671E-2</v>
      </c>
      <c r="Z310" s="18"/>
      <c r="AA310" s="19">
        <f t="shared" si="8"/>
        <v>2026</v>
      </c>
      <c r="AB310" s="18">
        <f t="shared" si="9"/>
        <v>12</v>
      </c>
      <c r="AC310" s="20">
        <f>(1+Y310/2)^(-(DATE(AA311,AB311,20)-[4]TradeSum!$A$3)/182.625)</f>
        <v>0.20997641717200688</v>
      </c>
      <c r="AD310" s="22"/>
    </row>
    <row r="311" spans="24:30" x14ac:dyDescent="0.2">
      <c r="X311" s="268">
        <v>46388</v>
      </c>
      <c r="Y311">
        <v>6.2472774582738901E-2</v>
      </c>
      <c r="Z311" s="18"/>
      <c r="AA311" s="19">
        <f t="shared" si="8"/>
        <v>2027</v>
      </c>
      <c r="AB311" s="18">
        <f t="shared" si="9"/>
        <v>1</v>
      </c>
      <c r="AC311" s="20">
        <f>(1+Y311/2)^(-(DATE(AA312,AB312,20)-[4]TradeSum!$A$3)/182.625)</f>
        <v>0.208877432996255</v>
      </c>
      <c r="AD311" s="22"/>
    </row>
    <row r="312" spans="24:30" x14ac:dyDescent="0.2">
      <c r="X312" s="268">
        <v>46419</v>
      </c>
      <c r="Y312">
        <v>6.2473849322010305E-2</v>
      </c>
      <c r="Z312" s="18"/>
      <c r="AA312" s="19">
        <f t="shared" si="8"/>
        <v>2027</v>
      </c>
      <c r="AB312" s="18">
        <f t="shared" si="9"/>
        <v>2</v>
      </c>
      <c r="AC312" s="20">
        <f>(1+Y312/2)^(-(DATE(AA313,AB313,20)-[4]TradeSum!$A$3)/182.625)</f>
        <v>0.20788917989283143</v>
      </c>
      <c r="AD312" s="22"/>
    </row>
    <row r="313" spans="24:30" x14ac:dyDescent="0.2">
      <c r="X313" s="268">
        <v>46447</v>
      </c>
      <c r="Y313">
        <v>6.2474820054256003E-2</v>
      </c>
      <c r="Z313" s="18"/>
      <c r="AA313" s="19">
        <f t="shared" si="8"/>
        <v>2027</v>
      </c>
      <c r="AB313" s="18">
        <f t="shared" si="9"/>
        <v>3</v>
      </c>
      <c r="AC313" s="20">
        <f>(1+Y313/2)^(-(DATE(AA314,AB314,20)-[4]TradeSum!$A$3)/182.625)</f>
        <v>0.20680158292444656</v>
      </c>
      <c r="AD313" s="22"/>
    </row>
    <row r="314" spans="24:30" x14ac:dyDescent="0.2">
      <c r="X314" s="268">
        <v>46478</v>
      </c>
      <c r="Y314">
        <v>6.2475894793528199E-2</v>
      </c>
      <c r="Z314" s="18"/>
      <c r="AA314" s="19">
        <f t="shared" si="8"/>
        <v>2027</v>
      </c>
      <c r="AB314" s="18">
        <f t="shared" si="9"/>
        <v>4</v>
      </c>
      <c r="AC314" s="20">
        <f>(1+Y314/2)^(-(DATE(AA315,AB315,20)-[4]TradeSum!$A$3)/182.625)</f>
        <v>0.20575376237814275</v>
      </c>
      <c r="AD314" s="22"/>
    </row>
    <row r="315" spans="24:30" x14ac:dyDescent="0.2">
      <c r="X315" s="268">
        <v>46508</v>
      </c>
      <c r="Y315">
        <v>6.2476934863792397E-2</v>
      </c>
      <c r="Z315" s="18"/>
      <c r="AA315" s="19">
        <f t="shared" si="8"/>
        <v>2027</v>
      </c>
      <c r="AB315" s="18">
        <f t="shared" si="9"/>
        <v>5</v>
      </c>
      <c r="AC315" s="20">
        <f>(1+Y315/2)^(-(DATE(AA316,AB316,20)-[4]TradeSum!$A$3)/182.625)</f>
        <v>0.20467691561688542</v>
      </c>
      <c r="AD315" s="22"/>
    </row>
    <row r="316" spans="24:30" x14ac:dyDescent="0.2">
      <c r="X316" s="268">
        <v>46539</v>
      </c>
      <c r="Y316">
        <v>6.2478009603065501E-2</v>
      </c>
      <c r="Z316" s="18"/>
      <c r="AA316" s="19">
        <f t="shared" si="8"/>
        <v>2027</v>
      </c>
      <c r="AB316" s="18">
        <f t="shared" si="9"/>
        <v>6</v>
      </c>
      <c r="AC316" s="20">
        <f>(1+Y316/2)^(-(DATE(AA317,AB317,20)-[4]TradeSum!$A$3)/182.625)</f>
        <v>0.20363979057763998</v>
      </c>
      <c r="AD316" s="22"/>
    </row>
    <row r="317" spans="24:30" x14ac:dyDescent="0.2">
      <c r="X317" s="268">
        <v>46569</v>
      </c>
      <c r="Y317">
        <v>6.2479049673330102E-2</v>
      </c>
      <c r="Z317" s="18"/>
      <c r="AA317" s="19">
        <f t="shared" si="8"/>
        <v>2027</v>
      </c>
      <c r="AB317" s="18">
        <f t="shared" si="9"/>
        <v>7</v>
      </c>
      <c r="AC317" s="20">
        <f>(1+Y317/2)^(-(DATE(AA318,AB318,20)-[4]TradeSum!$A$3)/182.625)</f>
        <v>0.20257393826695475</v>
      </c>
      <c r="AD317" s="22"/>
    </row>
    <row r="318" spans="24:30" x14ac:dyDescent="0.2">
      <c r="X318" s="268">
        <v>46600</v>
      </c>
      <c r="Y318">
        <v>6.2480124412603602E-2</v>
      </c>
      <c r="Z318" s="18"/>
      <c r="AA318" s="19">
        <f t="shared" si="8"/>
        <v>2027</v>
      </c>
      <c r="AB318" s="18">
        <f t="shared" si="9"/>
        <v>8</v>
      </c>
      <c r="AC318" s="20">
        <f>(1+Y318/2)^(-(DATE(AA319,AB319,20)-[4]TradeSum!$A$3)/182.625)</f>
        <v>0.20151345374843707</v>
      </c>
      <c r="AD318" s="22"/>
    </row>
    <row r="319" spans="24:30" x14ac:dyDescent="0.2">
      <c r="X319" s="268">
        <v>46631</v>
      </c>
      <c r="Y319">
        <v>6.2481199151878102E-2</v>
      </c>
      <c r="Z319" s="18"/>
      <c r="AA319" s="19">
        <f t="shared" si="8"/>
        <v>2027</v>
      </c>
      <c r="AB319" s="18">
        <f t="shared" si="9"/>
        <v>9</v>
      </c>
      <c r="AC319" s="20">
        <f>(1+Y319/2)^(-(DATE(AA320,AB320,20)-[4]TradeSum!$A$3)/182.625)</f>
        <v>0.20049225483426128</v>
      </c>
      <c r="AD319" s="22"/>
    </row>
    <row r="320" spans="24:30" x14ac:dyDescent="0.2">
      <c r="X320" s="268">
        <v>46661</v>
      </c>
      <c r="Y320">
        <v>6.2482239222144E-2</v>
      </c>
      <c r="Z320" s="18"/>
      <c r="AA320" s="19">
        <f t="shared" si="8"/>
        <v>2027</v>
      </c>
      <c r="AB320" s="18">
        <f t="shared" si="9"/>
        <v>10</v>
      </c>
      <c r="AC320" s="20">
        <f>(1+Y320/2)^(-(DATE(AA321,AB321,20)-[4]TradeSum!$A$3)/182.625)</f>
        <v>0.19944277373778918</v>
      </c>
      <c r="AD320" s="22"/>
    </row>
    <row r="321" spans="24:30" x14ac:dyDescent="0.2">
      <c r="X321" s="268">
        <v>46692</v>
      </c>
      <c r="Y321">
        <v>6.2483313961419401E-2</v>
      </c>
      <c r="Z321" s="18"/>
      <c r="AA321" s="19">
        <f t="shared" si="8"/>
        <v>2027</v>
      </c>
      <c r="AB321" s="18">
        <f t="shared" si="9"/>
        <v>11</v>
      </c>
      <c r="AC321" s="20">
        <f>(1+Y321/2)^(-(DATE(AA322,AB322,20)-[4]TradeSum!$A$3)/182.625)</f>
        <v>0.1984320003416758</v>
      </c>
      <c r="AD321" s="22"/>
    </row>
    <row r="322" spans="24:30" x14ac:dyDescent="0.2">
      <c r="X322" s="268">
        <v>46722</v>
      </c>
      <c r="Y322">
        <v>6.2484354031685702E-2</v>
      </c>
      <c r="Z322" s="18"/>
      <c r="AA322" s="19">
        <f t="shared" si="8"/>
        <v>2027</v>
      </c>
      <c r="AB322" s="18">
        <f t="shared" si="9"/>
        <v>12</v>
      </c>
      <c r="AC322" s="20">
        <f>(1+Y322/2)^(-(DATE(AA323,AB323,20)-[4]TradeSum!$A$3)/182.625)</f>
        <v>0.19739323609216486</v>
      </c>
      <c r="AD322" s="22"/>
    </row>
    <row r="323" spans="24:30" x14ac:dyDescent="0.2">
      <c r="X323" s="268">
        <v>46753</v>
      </c>
      <c r="Y323">
        <v>6.2485428770961499E-2</v>
      </c>
      <c r="Z323" s="18"/>
      <c r="AA323" s="19">
        <f t="shared" si="8"/>
        <v>2028</v>
      </c>
      <c r="AB323" s="18">
        <f t="shared" si="9"/>
        <v>1</v>
      </c>
      <c r="AC323" s="20">
        <f>(1+Y323/2)^(-(DATE(AA324,AB324,20)-[4]TradeSum!$A$3)/182.625)</f>
        <v>0.19635970137209877</v>
      </c>
      <c r="AD323" s="22"/>
    </row>
    <row r="324" spans="24:30" x14ac:dyDescent="0.2">
      <c r="X324" s="268">
        <v>46784</v>
      </c>
      <c r="Y324">
        <v>6.2486503510237303E-2</v>
      </c>
      <c r="Z324" s="18"/>
      <c r="AA324" s="19">
        <f t="shared" si="8"/>
        <v>2028</v>
      </c>
      <c r="AB324" s="18">
        <f t="shared" si="9"/>
        <v>2</v>
      </c>
      <c r="AC324" s="20">
        <f>(1+Y324/2)^(-(DATE(AA325,AB325,20)-[4]TradeSum!$A$3)/182.625)</f>
        <v>0.19539736602332208</v>
      </c>
      <c r="AD324" s="22"/>
    </row>
    <row r="325" spans="24:30" x14ac:dyDescent="0.2">
      <c r="X325" s="268">
        <v>46813</v>
      </c>
      <c r="Y325">
        <v>6.24875089114965E-2</v>
      </c>
      <c r="Z325" s="18"/>
      <c r="AA325" s="19">
        <f t="shared" si="8"/>
        <v>2028</v>
      </c>
      <c r="AB325" s="18">
        <f t="shared" si="9"/>
        <v>3</v>
      </c>
      <c r="AC325" s="20">
        <f>(1+Y325/2)^(-(DATE(AA326,AB326,20)-[4]TradeSum!$A$3)/182.625)</f>
        <v>0.19437456176100959</v>
      </c>
      <c r="AD325" s="22"/>
    </row>
    <row r="326" spans="24:30" x14ac:dyDescent="0.2">
      <c r="X326" s="268">
        <v>46844</v>
      </c>
      <c r="Y326">
        <v>6.2488583650773102E-2</v>
      </c>
      <c r="Z326" s="18"/>
      <c r="AA326" s="19">
        <f t="shared" si="8"/>
        <v>2028</v>
      </c>
      <c r="AB326" s="18">
        <f t="shared" si="9"/>
        <v>4</v>
      </c>
      <c r="AC326" s="20">
        <f>(1+Y326/2)^(-(DATE(AA327,AB327,20)-[4]TradeSum!$A$3)/182.625)</f>
        <v>0.19338930896849366</v>
      </c>
      <c r="AD326" s="22"/>
    </row>
    <row r="327" spans="24:30" x14ac:dyDescent="0.2">
      <c r="X327" s="268">
        <v>46874</v>
      </c>
      <c r="Y327">
        <v>6.24896237210417E-2</v>
      </c>
      <c r="Z327" s="18"/>
      <c r="AA327" s="19">
        <f t="shared" si="8"/>
        <v>2028</v>
      </c>
      <c r="AB327" s="18">
        <f t="shared" si="9"/>
        <v>5</v>
      </c>
      <c r="AC327" s="20">
        <f>(1+Y327/2)^(-(DATE(AA328,AB328,20)-[4]TradeSum!$A$3)/182.625)</f>
        <v>0.19237677834988001</v>
      </c>
      <c r="AD327" s="22"/>
    </row>
    <row r="328" spans="24:30" x14ac:dyDescent="0.2">
      <c r="X328" s="268">
        <v>46905</v>
      </c>
      <c r="Y328">
        <v>6.2490698460319301E-2</v>
      </c>
      <c r="Z328" s="18"/>
      <c r="AA328" s="19">
        <f t="shared" si="8"/>
        <v>2028</v>
      </c>
      <c r="AB328" s="18">
        <f t="shared" si="9"/>
        <v>6</v>
      </c>
      <c r="AC328" s="20">
        <f>(1+Y328/2)^(-(DATE(AA329,AB329,20)-[4]TradeSum!$A$3)/182.625)</f>
        <v>0.19140158644613448</v>
      </c>
      <c r="AD328" s="22"/>
    </row>
    <row r="329" spans="24:30" x14ac:dyDescent="0.2">
      <c r="X329" s="268">
        <v>46935</v>
      </c>
      <c r="Y329">
        <v>6.2491738530588301E-2</v>
      </c>
      <c r="Z329" s="18"/>
      <c r="AA329" s="19">
        <f t="shared" ref="AA329:AA367" si="10">YEAR(X329)</f>
        <v>2028</v>
      </c>
      <c r="AB329" s="18">
        <f t="shared" ref="AB329:AB367" si="11">MONTH(X329)</f>
        <v>7</v>
      </c>
      <c r="AC329" s="20">
        <f>(1+Y329/2)^(-(DATE(AA330,AB330,20)-[4]TradeSum!$A$3)/182.625)</f>
        <v>0.19039939776429982</v>
      </c>
      <c r="AD329" s="22"/>
    </row>
    <row r="330" spans="24:30" x14ac:dyDescent="0.2">
      <c r="X330" s="268">
        <v>46966</v>
      </c>
      <c r="Y330">
        <v>6.2492813269866804E-2</v>
      </c>
      <c r="Z330" s="18"/>
      <c r="AA330" s="19">
        <f t="shared" si="10"/>
        <v>2028</v>
      </c>
      <c r="AB330" s="18">
        <f t="shared" si="11"/>
        <v>8</v>
      </c>
      <c r="AC330" s="20">
        <f>(1+Y330/2)^(-(DATE(AA331,AB331,20)-[4]TradeSum!$A$3)/182.625)</f>
        <v>0.18940225200258076</v>
      </c>
      <c r="AD330" s="22"/>
    </row>
    <row r="331" spans="24:30" x14ac:dyDescent="0.2">
      <c r="X331" s="268">
        <v>46997</v>
      </c>
      <c r="Y331">
        <v>6.2493888009145702E-2</v>
      </c>
      <c r="Z331" s="18"/>
      <c r="AA331" s="19">
        <f t="shared" si="10"/>
        <v>2028</v>
      </c>
      <c r="AB331" s="18">
        <f t="shared" si="11"/>
        <v>9</v>
      </c>
      <c r="AC331" s="20">
        <f>(1+Y331/2)^(-(DATE(AA332,AB332,20)-[4]TradeSum!$A$3)/182.625)</f>
        <v>0.18844204116851959</v>
      </c>
      <c r="AD331" s="22"/>
    </row>
    <row r="332" spans="24:30" x14ac:dyDescent="0.2">
      <c r="X332" s="268">
        <v>47027</v>
      </c>
      <c r="Y332">
        <v>6.2494928079415604E-2</v>
      </c>
      <c r="Z332" s="18"/>
      <c r="AA332" s="19">
        <f t="shared" si="10"/>
        <v>2028</v>
      </c>
      <c r="AB332" s="18">
        <f t="shared" si="11"/>
        <v>10</v>
      </c>
      <c r="AC332" s="20">
        <f>(1+Y332/2)^(-(DATE(AA333,AB333,20)-[4]TradeSum!$A$3)/182.625)</f>
        <v>0.18745525199919161</v>
      </c>
      <c r="AD332" s="22"/>
    </row>
    <row r="333" spans="24:30" x14ac:dyDescent="0.2">
      <c r="X333" s="268">
        <v>47058</v>
      </c>
      <c r="Y333">
        <v>6.2496002818694905E-2</v>
      </c>
      <c r="Z333" s="18"/>
      <c r="AA333" s="19">
        <f t="shared" si="10"/>
        <v>2028</v>
      </c>
      <c r="AB333" s="18">
        <f t="shared" si="11"/>
        <v>11</v>
      </c>
      <c r="AC333" s="20">
        <f>(1+Y333/2)^(-(DATE(AA334,AB334,20)-[4]TradeSum!$A$3)/182.625)</f>
        <v>0.18650484798225214</v>
      </c>
      <c r="AD333" s="22"/>
    </row>
    <row r="334" spans="24:30" x14ac:dyDescent="0.2">
      <c r="X334" s="268">
        <v>47088</v>
      </c>
      <c r="Y334">
        <v>6.2497042888965702E-2</v>
      </c>
      <c r="Z334" s="18"/>
      <c r="AA334" s="19">
        <f t="shared" si="10"/>
        <v>2028</v>
      </c>
      <c r="AB334" s="18">
        <f t="shared" si="11"/>
        <v>12</v>
      </c>
      <c r="AC334" s="20">
        <f>(1+Y334/2)^(-(DATE(AA335,AB335,20)-[4]TradeSum!$A$3)/182.625)</f>
        <v>0.18552813951641409</v>
      </c>
      <c r="AD334" s="22"/>
    </row>
    <row r="335" spans="24:30" x14ac:dyDescent="0.2">
      <c r="X335" s="268">
        <v>47119</v>
      </c>
      <c r="Y335">
        <v>6.2498117628246405E-2</v>
      </c>
      <c r="Z335" s="18"/>
      <c r="AA335" s="19">
        <f t="shared" si="10"/>
        <v>2029</v>
      </c>
      <c r="AB335" s="18">
        <f t="shared" si="11"/>
        <v>1</v>
      </c>
      <c r="AC335" s="20">
        <f>(1+Y335/2)^(-(DATE(AA336,AB336,20)-[4]TradeSum!$A$3)/182.625)</f>
        <v>0.18455634402559512</v>
      </c>
      <c r="AD335" s="22"/>
    </row>
    <row r="336" spans="24:30" x14ac:dyDescent="0.2">
      <c r="X336" s="268">
        <v>47150</v>
      </c>
      <c r="Y336">
        <v>6.2499192367527101E-2</v>
      </c>
      <c r="Z336" s="18"/>
      <c r="AA336" s="19">
        <f t="shared" si="10"/>
        <v>2029</v>
      </c>
      <c r="AB336" s="18">
        <f t="shared" si="11"/>
        <v>2</v>
      </c>
      <c r="AC336" s="20">
        <f>(1+Y336/2)^(-(DATE(AA337,AB337,20)-[4]TradeSum!$A$3)/182.625)</f>
        <v>0.18368243117146812</v>
      </c>
      <c r="AD336" s="22"/>
    </row>
    <row r="337" spans="24:30" x14ac:dyDescent="0.2">
      <c r="X337" s="268">
        <v>47178</v>
      </c>
      <c r="Y337">
        <v>6.2500163099781195E-2</v>
      </c>
      <c r="Z337" s="18"/>
      <c r="AA337" s="19">
        <f t="shared" si="10"/>
        <v>2029</v>
      </c>
      <c r="AB337" s="18">
        <f t="shared" si="11"/>
        <v>3</v>
      </c>
      <c r="AC337" s="20">
        <f>(1+Y337/2)^(-(DATE(AA338,AB338,20)-[4]TradeSum!$A$3)/182.625)</f>
        <v>0.18272074939319863</v>
      </c>
      <c r="AD337" s="22"/>
    </row>
    <row r="338" spans="24:30" x14ac:dyDescent="0.2">
      <c r="X338" s="268">
        <v>47209</v>
      </c>
      <c r="Y338">
        <v>6.2501237839062404E-2</v>
      </c>
      <c r="Z338" s="18"/>
      <c r="AA338" s="19">
        <f t="shared" si="10"/>
        <v>2029</v>
      </c>
      <c r="AB338" s="18">
        <f t="shared" si="11"/>
        <v>4</v>
      </c>
      <c r="AC338" s="20">
        <f>(1+Y338/2)^(-(DATE(AA339,AB339,20)-[4]TradeSum!$A$3)/182.625)</f>
        <v>0.18179419534086488</v>
      </c>
      <c r="AD338" s="22"/>
    </row>
    <row r="339" spans="24:30" x14ac:dyDescent="0.2">
      <c r="X339" s="268">
        <v>47239</v>
      </c>
      <c r="Y339">
        <v>6.2502277909334894E-2</v>
      </c>
      <c r="Z339" s="18"/>
      <c r="AA339" s="19">
        <f t="shared" si="10"/>
        <v>2029</v>
      </c>
      <c r="AB339" s="18">
        <f t="shared" si="11"/>
        <v>5</v>
      </c>
      <c r="AC339" s="20">
        <f>(1+Y339/2)^(-(DATE(AA340,AB340,20)-[4]TradeSum!$A$3)/182.625)</f>
        <v>0.18084200281739113</v>
      </c>
      <c r="AD339" s="22"/>
    </row>
    <row r="340" spans="24:30" x14ac:dyDescent="0.2">
      <c r="X340" s="268">
        <v>47270</v>
      </c>
      <c r="Y340">
        <v>6.2503352648617394E-2</v>
      </c>
      <c r="Z340" s="18"/>
      <c r="AA340" s="19">
        <f t="shared" si="10"/>
        <v>2029</v>
      </c>
      <c r="AB340" s="18">
        <f t="shared" si="11"/>
        <v>6</v>
      </c>
      <c r="AC340" s="20">
        <f>(1+Y340/2)^(-(DATE(AA341,AB341,20)-[4]TradeSum!$A$3)/182.625)</f>
        <v>0.17992491403684022</v>
      </c>
      <c r="AD340" s="22"/>
    </row>
    <row r="341" spans="24:30" x14ac:dyDescent="0.2">
      <c r="X341" s="268">
        <v>47300</v>
      </c>
      <c r="Y341">
        <v>6.2504392718890411E-2</v>
      </c>
      <c r="Z341" s="18"/>
      <c r="AA341" s="19">
        <f t="shared" si="10"/>
        <v>2029</v>
      </c>
      <c r="AB341" s="18">
        <f t="shared" si="11"/>
        <v>7</v>
      </c>
      <c r="AC341" s="20">
        <f>(1+Y341/2)^(-(DATE(AA342,AB342,20)-[4]TradeSum!$A$3)/182.625)</f>
        <v>0.17898245104693897</v>
      </c>
      <c r="AD341" s="22"/>
    </row>
    <row r="342" spans="24:30" x14ac:dyDescent="0.2">
      <c r="X342" s="268">
        <v>47331</v>
      </c>
      <c r="Y342">
        <v>6.25054674581738E-2</v>
      </c>
      <c r="Z342" s="18"/>
      <c r="AA342" s="19">
        <f t="shared" si="10"/>
        <v>2029</v>
      </c>
      <c r="AB342" s="18">
        <f t="shared" si="11"/>
        <v>8</v>
      </c>
      <c r="AC342" s="20">
        <f>(1+Y342/2)^(-(DATE(AA343,AB343,20)-[4]TradeSum!$A$3)/182.625)</f>
        <v>0.17804472645962605</v>
      </c>
      <c r="AD342" s="22"/>
    </row>
    <row r="343" spans="24:30" x14ac:dyDescent="0.2">
      <c r="X343" s="268">
        <v>47362</v>
      </c>
      <c r="Y343">
        <v>6.2506542197457104E-2</v>
      </c>
      <c r="Z343" s="18"/>
      <c r="AA343" s="19">
        <f t="shared" si="10"/>
        <v>2029</v>
      </c>
      <c r="AB343" s="18">
        <f t="shared" si="11"/>
        <v>9</v>
      </c>
      <c r="AC343" s="20">
        <f>(1+Y343/2)^(-(DATE(AA344,AB344,20)-[4]TradeSum!$A$3)/182.625)</f>
        <v>0.17714173177765516</v>
      </c>
      <c r="AD343" s="22"/>
    </row>
    <row r="344" spans="24:30" x14ac:dyDescent="0.2">
      <c r="X344" s="268">
        <v>47392</v>
      </c>
      <c r="Y344">
        <v>6.2507582267731412E-2</v>
      </c>
      <c r="Z344" s="18"/>
      <c r="AA344" s="19">
        <f t="shared" si="10"/>
        <v>2029</v>
      </c>
      <c r="AB344" s="18">
        <f t="shared" si="11"/>
        <v>10</v>
      </c>
      <c r="AC344" s="20">
        <f>(1+Y344/2)^(-(DATE(AA345,AB345,20)-[4]TradeSum!$A$3)/182.625)</f>
        <v>0.17621375633467806</v>
      </c>
      <c r="AD344" s="22"/>
    </row>
    <row r="345" spans="24:30" x14ac:dyDescent="0.2">
      <c r="X345" s="268">
        <v>47423</v>
      </c>
      <c r="Y345">
        <v>6.2508657007015203E-2</v>
      </c>
      <c r="Z345" s="18"/>
      <c r="AA345" s="19">
        <f t="shared" si="10"/>
        <v>2029</v>
      </c>
      <c r="AB345" s="18">
        <f t="shared" si="11"/>
        <v>11</v>
      </c>
      <c r="AC345" s="20">
        <f>(1+Y345/2)^(-(DATE(AA346,AB346,20)-[4]TradeSum!$A$3)/182.625)</f>
        <v>0.17531998779806801</v>
      </c>
      <c r="AD345" s="22"/>
    </row>
    <row r="346" spans="24:30" x14ac:dyDescent="0.2">
      <c r="X346" s="268">
        <v>47453</v>
      </c>
      <c r="Y346">
        <v>6.250969707729051E-2</v>
      </c>
      <c r="Z346" s="18"/>
      <c r="AA346" s="19">
        <f t="shared" si="10"/>
        <v>2029</v>
      </c>
      <c r="AB346" s="18">
        <f t="shared" si="11"/>
        <v>12</v>
      </c>
      <c r="AC346" s="20">
        <f>(1+Y346/2)^(-(DATE(AA347,AB347,20)-[4]TradeSum!$A$3)/182.625)</f>
        <v>0.17440149602567082</v>
      </c>
      <c r="AD346" s="22"/>
    </row>
    <row r="347" spans="24:30" x14ac:dyDescent="0.2">
      <c r="X347" s="268">
        <v>47484</v>
      </c>
      <c r="Y347">
        <v>6.2510771816575605E-2</v>
      </c>
      <c r="Z347" s="18"/>
      <c r="AA347" s="19">
        <f t="shared" si="10"/>
        <v>2030</v>
      </c>
      <c r="AB347" s="18">
        <f t="shared" si="11"/>
        <v>1</v>
      </c>
      <c r="AC347" s="20">
        <f>(1+Y347/2)^(-(DATE(AA348,AB348,20)-[4]TradeSum!$A$3)/182.625)</f>
        <v>0.17348762051032174</v>
      </c>
      <c r="AD347" s="22"/>
    </row>
    <row r="348" spans="24:30" x14ac:dyDescent="0.2">
      <c r="X348" s="268">
        <v>47515</v>
      </c>
      <c r="Y348">
        <v>6.25118465558612E-2</v>
      </c>
      <c r="Z348" s="18"/>
      <c r="AA348" s="19">
        <f t="shared" si="10"/>
        <v>2030</v>
      </c>
      <c r="AB348" s="18">
        <f t="shared" si="11"/>
        <v>2</v>
      </c>
      <c r="AC348" s="20">
        <f>(1+Y348/2)^(-(DATE(AA349,AB349,20)-[4]TradeSum!$A$3)/182.625)</f>
        <v>0.17266577816034276</v>
      </c>
      <c r="AD348" s="22"/>
    </row>
    <row r="349" spans="24:30" x14ac:dyDescent="0.2">
      <c r="X349" s="268">
        <v>47543</v>
      </c>
      <c r="Y349">
        <v>6.2512817288118902E-2</v>
      </c>
      <c r="Z349" s="18"/>
      <c r="AA349" s="19">
        <f t="shared" si="10"/>
        <v>2030</v>
      </c>
      <c r="AB349" s="18">
        <f t="shared" si="11"/>
        <v>3</v>
      </c>
      <c r="AC349" s="20">
        <f>(1+Y349/2)^(-(DATE(AA350,AB350,20)-[4]TradeSum!$A$3)/182.625)</f>
        <v>0.1717614343882238</v>
      </c>
      <c r="AD349" s="22"/>
    </row>
    <row r="350" spans="24:30" x14ac:dyDescent="0.2">
      <c r="X350" s="268">
        <v>47574</v>
      </c>
      <c r="Y350">
        <v>6.25138920274044E-2</v>
      </c>
      <c r="Z350" s="18"/>
      <c r="AA350" s="19">
        <f t="shared" si="10"/>
        <v>2030</v>
      </c>
      <c r="AB350" s="18">
        <f t="shared" si="11"/>
        <v>4</v>
      </c>
      <c r="AC350" s="20">
        <f>(1+Y350/2)^(-(DATE(AA351,AB351,20)-[4]TradeSum!$A$3)/182.625)</f>
        <v>0.17089010347364636</v>
      </c>
      <c r="AD350" s="22"/>
    </row>
    <row r="351" spans="24:30" x14ac:dyDescent="0.2">
      <c r="X351" s="268">
        <v>47604</v>
      </c>
      <c r="Y351">
        <v>6.25149320976814E-2</v>
      </c>
      <c r="Z351" s="18"/>
      <c r="AA351" s="19">
        <f t="shared" si="10"/>
        <v>2030</v>
      </c>
      <c r="AB351" s="18">
        <f t="shared" si="11"/>
        <v>5</v>
      </c>
      <c r="AC351" s="20">
        <f>(1+Y351/2)^(-(DATE(AA352,AB352,20)-[4]TradeSum!$A$3)/182.625)</f>
        <v>0.16999467551303707</v>
      </c>
      <c r="AD351" s="22"/>
    </row>
    <row r="352" spans="24:30" x14ac:dyDescent="0.2">
      <c r="X352" s="268">
        <v>47635</v>
      </c>
      <c r="Y352">
        <v>6.2516006836968299E-2</v>
      </c>
      <c r="Z352" s="18"/>
      <c r="AA352" s="19">
        <f t="shared" si="10"/>
        <v>2030</v>
      </c>
      <c r="AB352" s="18">
        <f t="shared" si="11"/>
        <v>6</v>
      </c>
      <c r="AC352" s="20">
        <f>(1+Y352/2)^(-(DATE(AA353,AB353,20)-[4]TradeSum!$A$3)/182.625)</f>
        <v>0.16913224929317622</v>
      </c>
      <c r="AD352" s="22"/>
    </row>
    <row r="353" spans="24:30" x14ac:dyDescent="0.2">
      <c r="X353" s="268">
        <v>47665</v>
      </c>
      <c r="Y353">
        <v>6.2517046907246202E-2</v>
      </c>
      <c r="Z353" s="18"/>
      <c r="AA353" s="19">
        <f t="shared" si="10"/>
        <v>2030</v>
      </c>
      <c r="AB353" s="18">
        <f t="shared" si="11"/>
        <v>7</v>
      </c>
      <c r="AC353" s="20">
        <f>(1+Y353/2)^(-(DATE(AA354,AB354,20)-[4]TradeSum!$A$3)/182.625)</f>
        <v>0.16824597449929207</v>
      </c>
      <c r="AD353" s="22"/>
    </row>
    <row r="354" spans="24:30" x14ac:dyDescent="0.2">
      <c r="X354" s="268">
        <v>47696</v>
      </c>
      <c r="Y354">
        <v>6.2518121646534003E-2</v>
      </c>
      <c r="Z354" s="18"/>
      <c r="AA354" s="19">
        <f t="shared" si="10"/>
        <v>2030</v>
      </c>
      <c r="AB354" s="18">
        <f t="shared" si="11"/>
        <v>8</v>
      </c>
      <c r="AC354" s="20">
        <f>(1+Y354/2)^(-(DATE(AA355,AB355,20)-[4]TradeSum!$A$3)/182.625)</f>
        <v>0.16736415187020826</v>
      </c>
      <c r="AD354" s="22"/>
    </row>
    <row r="355" spans="24:30" x14ac:dyDescent="0.2">
      <c r="X355" s="268">
        <v>47727</v>
      </c>
      <c r="Y355">
        <v>6.2519196385821402E-2</v>
      </c>
      <c r="Z355" s="18"/>
      <c r="AA355" s="19">
        <f t="shared" si="10"/>
        <v>2030</v>
      </c>
      <c r="AB355" s="18">
        <f t="shared" si="11"/>
        <v>9</v>
      </c>
      <c r="AC355" s="20">
        <f>(1+Y355/2)^(-(DATE(AA356,AB356,20)-[4]TradeSum!$A$3)/182.625)</f>
        <v>0.16651498496236922</v>
      </c>
      <c r="AD355" s="22"/>
    </row>
    <row r="356" spans="24:30" x14ac:dyDescent="0.2">
      <c r="X356" s="268">
        <v>47757</v>
      </c>
      <c r="Y356">
        <v>6.2520236456100192E-2</v>
      </c>
      <c r="Z356" s="18"/>
      <c r="AA356" s="19">
        <f t="shared" si="10"/>
        <v>2030</v>
      </c>
      <c r="AB356" s="18">
        <f t="shared" si="11"/>
        <v>10</v>
      </c>
      <c r="AC356" s="20">
        <f>(1+Y356/2)^(-(DATE(AA357,AB357,20)-[4]TradeSum!$A$3)/182.625)</f>
        <v>0.1656423394181894</v>
      </c>
      <c r="AD356" s="22"/>
    </row>
    <row r="357" spans="24:30" x14ac:dyDescent="0.2">
      <c r="X357" s="268">
        <v>47788</v>
      </c>
      <c r="Y357">
        <v>6.2521311195388798E-2</v>
      </c>
      <c r="Z357" s="18"/>
      <c r="AA357" s="19">
        <f t="shared" si="10"/>
        <v>2030</v>
      </c>
      <c r="AB357" s="18">
        <f t="shared" si="11"/>
        <v>11</v>
      </c>
      <c r="AC357" s="20">
        <f>(1+Y357/2)^(-(DATE(AA358,AB358,20)-[4]TradeSum!$A$3)/182.625)</f>
        <v>0.16480185215037763</v>
      </c>
      <c r="AD357" s="22"/>
    </row>
    <row r="358" spans="24:30" x14ac:dyDescent="0.2">
      <c r="X358" s="268">
        <v>47818</v>
      </c>
      <c r="Y358">
        <v>6.2522351265668505E-2</v>
      </c>
      <c r="Z358" s="18"/>
      <c r="AA358" s="19">
        <f t="shared" si="10"/>
        <v>2030</v>
      </c>
      <c r="AB358" s="18">
        <f t="shared" si="11"/>
        <v>12</v>
      </c>
      <c r="AC358" s="20">
        <f>(1+Y358/2)^(-(DATE(AA359,AB359,20)-[4]TradeSum!$A$3)/182.625)</f>
        <v>0.16393812838166905</v>
      </c>
      <c r="AD358" s="22"/>
    </row>
    <row r="359" spans="24:30" x14ac:dyDescent="0.2">
      <c r="X359" s="268">
        <v>47849</v>
      </c>
      <c r="Y359">
        <v>6.2523426004958096E-2</v>
      </c>
      <c r="Z359" s="18"/>
      <c r="AA359" s="19">
        <f t="shared" si="10"/>
        <v>2031</v>
      </c>
      <c r="AB359" s="18">
        <f t="shared" si="11"/>
        <v>1</v>
      </c>
      <c r="AC359" s="20">
        <f>(1+Y359/2)^(-(DATE(AA360,AB360,20)-[4]TradeSum!$A$3)/182.625)</f>
        <v>0.1630787419664457</v>
      </c>
      <c r="AD359" s="22"/>
    </row>
    <row r="360" spans="24:30" x14ac:dyDescent="0.2">
      <c r="X360" s="268">
        <v>47880</v>
      </c>
      <c r="Y360">
        <v>6.252450074424809E-2</v>
      </c>
      <c r="Z360" s="18"/>
      <c r="AA360" s="19">
        <f t="shared" si="10"/>
        <v>2031</v>
      </c>
      <c r="AB360" s="18">
        <f t="shared" si="11"/>
        <v>2</v>
      </c>
      <c r="AC360" s="20">
        <f>(1+Y360/2)^(-(DATE(AA361,AB361,20)-[4]TradeSum!$A$3)/182.625)</f>
        <v>0.16230588668470311</v>
      </c>
      <c r="AD360" s="22"/>
    </row>
    <row r="361" spans="24:30" x14ac:dyDescent="0.2">
      <c r="X361" s="268">
        <v>47908</v>
      </c>
      <c r="Y361">
        <v>6.2525471476509803E-2</v>
      </c>
      <c r="Z361" s="18"/>
      <c r="AA361" s="19">
        <f t="shared" si="10"/>
        <v>2031</v>
      </c>
      <c r="AB361" s="18">
        <f t="shared" si="11"/>
        <v>3</v>
      </c>
      <c r="AC361" s="20">
        <f>(1+Y361/2)^(-(DATE(AA362,AB362,20)-[4]TradeSum!$A$3)/182.625)</f>
        <v>0.16145548325365039</v>
      </c>
      <c r="AD361" s="22"/>
    </row>
    <row r="362" spans="24:30" x14ac:dyDescent="0.2">
      <c r="X362" s="268">
        <v>47939</v>
      </c>
      <c r="Y362">
        <v>6.2526546215800199E-2</v>
      </c>
      <c r="Z362" s="18"/>
      <c r="AA362" s="19">
        <f t="shared" si="10"/>
        <v>2031</v>
      </c>
      <c r="AB362" s="18">
        <f t="shared" si="11"/>
        <v>4</v>
      </c>
      <c r="AC362" s="20">
        <f>(1+Y362/2)^(-(DATE(AA363,AB363,20)-[4]TradeSum!$A$3)/182.625)</f>
        <v>0.16063610437645562</v>
      </c>
      <c r="AD362" s="22"/>
    </row>
    <row r="363" spans="24:30" x14ac:dyDescent="0.2">
      <c r="X363" s="268">
        <v>47969</v>
      </c>
      <c r="Y363">
        <v>6.2527586286081696E-2</v>
      </c>
      <c r="Z363" s="18"/>
      <c r="AA363" s="19">
        <f t="shared" si="10"/>
        <v>2031</v>
      </c>
      <c r="AB363" s="18">
        <f t="shared" si="11"/>
        <v>5</v>
      </c>
      <c r="AC363" s="20">
        <f>(1+Y363/2)^(-(DATE(AA364,AB364,20)-[4]TradeSum!$A$3)/182.625)</f>
        <v>0.15979407776262114</v>
      </c>
      <c r="AD363" s="22"/>
    </row>
    <row r="364" spans="24:30" x14ac:dyDescent="0.2">
      <c r="X364" s="268">
        <v>48000</v>
      </c>
      <c r="Y364">
        <v>6.2528661025372995E-2</v>
      </c>
      <c r="Z364" s="18"/>
      <c r="AA364" s="19">
        <f t="shared" si="10"/>
        <v>2031</v>
      </c>
      <c r="AB364" s="18">
        <f t="shared" si="11"/>
        <v>6</v>
      </c>
      <c r="AC364" s="20">
        <f>(1+Y364/2)^(-(DATE(AA365,AB365,20)-[4]TradeSum!$A$3)/182.625)</f>
        <v>0.15898307599481876</v>
      </c>
      <c r="AD364" s="22"/>
    </row>
    <row r="365" spans="24:30" x14ac:dyDescent="0.2">
      <c r="X365" s="268">
        <v>48030</v>
      </c>
      <c r="Y365">
        <v>6.2529701095654908E-2</v>
      </c>
      <c r="Z365" s="18"/>
      <c r="AA365" s="19">
        <f t="shared" si="10"/>
        <v>2031</v>
      </c>
      <c r="AB365" s="18">
        <f t="shared" si="11"/>
        <v>7</v>
      </c>
      <c r="AC365" s="20">
        <f>(1+Y365/2)^(-(DATE(AA366,AB366,20)-[4]TradeSum!$A$3)/182.625)</f>
        <v>0.15814966011026835</v>
      </c>
      <c r="AD365" s="22"/>
    </row>
    <row r="366" spans="24:30" x14ac:dyDescent="0.2">
      <c r="X366" s="268">
        <v>48061</v>
      </c>
      <c r="Y366">
        <v>6.2530775834947205E-2</v>
      </c>
      <c r="Z366" s="18"/>
      <c r="AA366" s="19">
        <f t="shared" si="10"/>
        <v>2031</v>
      </c>
      <c r="AB366" s="18">
        <f t="shared" si="11"/>
        <v>8</v>
      </c>
      <c r="AC366" s="20">
        <f>(1+Y366/2)^(-(DATE(AA367,AB367,20)-[4]TradeSum!$A$3)/182.625)</f>
        <v>0.15732042734176027</v>
      </c>
      <c r="AD366" s="22"/>
    </row>
    <row r="367" spans="24:30" x14ac:dyDescent="0.2">
      <c r="X367" s="268">
        <v>48092</v>
      </c>
      <c r="Y367">
        <v>6.2531850574239406E-2</v>
      </c>
      <c r="Z367" s="18"/>
      <c r="AA367" s="19">
        <f t="shared" si="10"/>
        <v>2031</v>
      </c>
      <c r="AB367" s="18">
        <f t="shared" si="11"/>
        <v>9</v>
      </c>
      <c r="AC367" s="20" t="e">
        <f>(1+Y367/2)^(-(DATE(AA368,AB368,20)-[4]TradeSum!$A$3)/182.625)</f>
        <v>#NUM!</v>
      </c>
      <c r="AD367" s="22"/>
    </row>
    <row r="368" spans="24:30" x14ac:dyDescent="0.2">
      <c r="X368"/>
      <c r="Y36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2.75" outlineLevelRow="1" x14ac:dyDescent="0.2"/>
  <cols>
    <col min="1" max="1" width="12.140625" customWidth="1"/>
    <col min="2" max="2" width="6.140625" customWidth="1"/>
    <col min="3" max="3" width="9.42578125" customWidth="1"/>
    <col min="4" max="4" width="10.28515625" customWidth="1"/>
    <col min="5" max="5" width="9.7109375" customWidth="1"/>
    <col min="6" max="6" width="12" style="304" customWidth="1"/>
    <col min="7" max="7" width="11.140625" style="304" customWidth="1"/>
    <col min="8" max="8" width="11.42578125" style="304" customWidth="1"/>
    <col min="9" max="9" width="9.140625" style="311"/>
  </cols>
  <sheetData>
    <row r="1" spans="1:9" x14ac:dyDescent="0.2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">
      <c r="A8" s="311"/>
      <c r="E8" s="311"/>
    </row>
    <row r="9" spans="1:9" outlineLevel="1" x14ac:dyDescent="0.2">
      <c r="A9" s="311"/>
      <c r="E9" s="311"/>
    </row>
    <row r="10" spans="1:9" outlineLevel="1" x14ac:dyDescent="0.2">
      <c r="A10" s="311"/>
      <c r="E10" s="311"/>
    </row>
    <row r="11" spans="1:9" outlineLevel="1" x14ac:dyDescent="0.2">
      <c r="A11" s="311"/>
      <c r="E11" s="311"/>
    </row>
    <row r="12" spans="1:9" outlineLevel="1" x14ac:dyDescent="0.2">
      <c r="A12" s="311"/>
      <c r="E12" s="311"/>
    </row>
    <row r="13" spans="1:9" outlineLevel="1" x14ac:dyDescent="0.2">
      <c r="A13" s="311"/>
      <c r="E13" s="311"/>
    </row>
    <row r="14" spans="1:9" outlineLevel="1" x14ac:dyDescent="0.2">
      <c r="A14" s="311"/>
      <c r="E14" s="311"/>
    </row>
    <row r="15" spans="1:9" outlineLevel="1" x14ac:dyDescent="0.2">
      <c r="A15" s="311"/>
      <c r="E15" s="311"/>
    </row>
    <row r="16" spans="1:9" outlineLevel="1" x14ac:dyDescent="0.2">
      <c r="A16" s="311"/>
      <c r="E16" s="311"/>
    </row>
    <row r="17" spans="1:5" outlineLevel="1" x14ac:dyDescent="0.2">
      <c r="A17" s="311"/>
      <c r="E17" s="311"/>
    </row>
    <row r="18" spans="1:5" outlineLevel="1" x14ac:dyDescent="0.2">
      <c r="A18" s="311"/>
      <c r="E18" s="311"/>
    </row>
    <row r="19" spans="1:5" outlineLevel="1" x14ac:dyDescent="0.2">
      <c r="A19" s="311"/>
      <c r="E19" s="311"/>
    </row>
    <row r="20" spans="1:5" outlineLevel="1" x14ac:dyDescent="0.2">
      <c r="A20" s="311"/>
      <c r="E20" s="311"/>
    </row>
    <row r="21" spans="1:5" outlineLevel="1" x14ac:dyDescent="0.2">
      <c r="A21" s="311"/>
      <c r="E21" s="311"/>
    </row>
    <row r="22" spans="1:5" outlineLevel="1" x14ac:dyDescent="0.2">
      <c r="A22" s="311"/>
      <c r="E22" s="311"/>
    </row>
    <row r="23" spans="1:5" outlineLevel="1" x14ac:dyDescent="0.2">
      <c r="A23" s="311"/>
      <c r="E23" s="311"/>
    </row>
    <row r="24" spans="1:5" outlineLevel="1" x14ac:dyDescent="0.2">
      <c r="A24" s="311"/>
      <c r="E24" s="311"/>
    </row>
    <row r="25" spans="1:5" outlineLevel="1" x14ac:dyDescent="0.2">
      <c r="A25" s="311"/>
      <c r="E25" s="311"/>
    </row>
    <row r="26" spans="1:5" outlineLevel="1" x14ac:dyDescent="0.2">
      <c r="A26" s="311"/>
      <c r="E26" s="311"/>
    </row>
    <row r="27" spans="1:5" outlineLevel="1" x14ac:dyDescent="0.2">
      <c r="A27" s="311"/>
      <c r="E27" s="311"/>
    </row>
    <row r="28" spans="1:5" outlineLevel="1" x14ac:dyDescent="0.2">
      <c r="A28" s="311"/>
      <c r="E28" s="311"/>
    </row>
    <row r="29" spans="1:5" outlineLevel="1" x14ac:dyDescent="0.2">
      <c r="A29" s="311"/>
      <c r="E29" s="311"/>
    </row>
    <row r="30" spans="1:5" outlineLevel="1" x14ac:dyDescent="0.2">
      <c r="A30" s="311"/>
      <c r="E30" s="311"/>
    </row>
    <row r="31" spans="1:5" outlineLevel="1" x14ac:dyDescent="0.2">
      <c r="A31" s="311"/>
      <c r="E31" s="311"/>
    </row>
    <row r="32" spans="1:5" outlineLevel="1" x14ac:dyDescent="0.2">
      <c r="A32" s="311"/>
      <c r="E32" s="311"/>
    </row>
    <row r="33" spans="1:5" outlineLevel="1" x14ac:dyDescent="0.2">
      <c r="A33" s="311"/>
      <c r="E33" s="311"/>
    </row>
    <row r="34" spans="1:5" outlineLevel="1" x14ac:dyDescent="0.2">
      <c r="A34" s="311"/>
      <c r="E34" s="311"/>
    </row>
    <row r="35" spans="1:5" outlineLevel="1" x14ac:dyDescent="0.2">
      <c r="A35" s="311"/>
      <c r="E35" s="311"/>
    </row>
    <row r="36" spans="1:5" outlineLevel="1" x14ac:dyDescent="0.2">
      <c r="A36" s="311"/>
      <c r="E36" s="311"/>
    </row>
    <row r="37" spans="1:5" outlineLevel="1" x14ac:dyDescent="0.2">
      <c r="A37" s="311"/>
      <c r="E37" s="311"/>
    </row>
    <row r="38" spans="1:5" outlineLevel="1" x14ac:dyDescent="0.2">
      <c r="A38" s="311"/>
      <c r="E38" s="311"/>
    </row>
    <row r="39" spans="1:5" outlineLevel="1" x14ac:dyDescent="0.2">
      <c r="A39" s="311"/>
      <c r="E39" s="311"/>
    </row>
    <row r="40" spans="1:5" outlineLevel="1" x14ac:dyDescent="0.2">
      <c r="A40" s="311"/>
      <c r="E40" s="311"/>
    </row>
    <row r="41" spans="1:5" outlineLevel="1" x14ac:dyDescent="0.2">
      <c r="A41" s="311"/>
      <c r="E41" s="311"/>
    </row>
    <row r="42" spans="1:5" outlineLevel="1" x14ac:dyDescent="0.2">
      <c r="A42" s="311"/>
      <c r="E42" s="311"/>
    </row>
    <row r="43" spans="1:5" outlineLevel="1" x14ac:dyDescent="0.2">
      <c r="A43" s="311"/>
      <c r="E43" s="311"/>
    </row>
    <row r="44" spans="1:5" outlineLevel="1" x14ac:dyDescent="0.2">
      <c r="A44" s="311"/>
      <c r="E44" s="311"/>
    </row>
    <row r="45" spans="1:5" outlineLevel="1" x14ac:dyDescent="0.2">
      <c r="A45" s="311"/>
      <c r="E45" s="311"/>
    </row>
    <row r="46" spans="1:5" outlineLevel="1" x14ac:dyDescent="0.2">
      <c r="A46" s="311"/>
      <c r="E46" s="311"/>
    </row>
    <row r="47" spans="1:5" outlineLevel="1" x14ac:dyDescent="0.2">
      <c r="A47" s="311"/>
      <c r="E47" s="311"/>
    </row>
    <row r="48" spans="1:5" outlineLevel="1" x14ac:dyDescent="0.2">
      <c r="A48" s="311"/>
      <c r="E48" s="311"/>
    </row>
    <row r="49" spans="1:5" outlineLevel="1" x14ac:dyDescent="0.2">
      <c r="A49" s="311"/>
      <c r="E49" s="311"/>
    </row>
    <row r="50" spans="1:5" outlineLevel="1" x14ac:dyDescent="0.2">
      <c r="A50" s="311"/>
      <c r="E50" s="311"/>
    </row>
    <row r="51" spans="1:5" outlineLevel="1" x14ac:dyDescent="0.2">
      <c r="A51" s="311"/>
      <c r="E51" s="311"/>
    </row>
    <row r="52" spans="1:5" outlineLevel="1" x14ac:dyDescent="0.2">
      <c r="A52" s="311"/>
      <c r="E52" s="311"/>
    </row>
    <row r="53" spans="1:5" outlineLevel="1" x14ac:dyDescent="0.2">
      <c r="A53" s="311"/>
      <c r="E53" s="311"/>
    </row>
    <row r="54" spans="1:5" outlineLevel="1" x14ac:dyDescent="0.2">
      <c r="A54" s="311"/>
      <c r="E54" s="311"/>
    </row>
    <row r="55" spans="1:5" outlineLevel="1" x14ac:dyDescent="0.2">
      <c r="A55" s="311"/>
      <c r="E55" s="311"/>
    </row>
    <row r="56" spans="1:5" outlineLevel="1" x14ac:dyDescent="0.2">
      <c r="A56" s="311"/>
      <c r="E56" s="311"/>
    </row>
    <row r="57" spans="1:5" outlineLevel="1" x14ac:dyDescent="0.2">
      <c r="A57" s="311"/>
      <c r="E57" s="311"/>
    </row>
    <row r="58" spans="1:5" outlineLevel="1" x14ac:dyDescent="0.2">
      <c r="A58" s="311"/>
      <c r="E58" s="311"/>
    </row>
    <row r="59" spans="1:5" outlineLevel="1" x14ac:dyDescent="0.2">
      <c r="A59" s="311"/>
      <c r="E59" s="311"/>
    </row>
    <row r="60" spans="1:5" outlineLevel="1" x14ac:dyDescent="0.2">
      <c r="A60" s="311"/>
      <c r="E60" s="311"/>
    </row>
    <row r="61" spans="1:5" outlineLevel="1" x14ac:dyDescent="0.2">
      <c r="A61" s="311"/>
      <c r="E61" s="311"/>
    </row>
    <row r="62" spans="1:5" outlineLevel="1" x14ac:dyDescent="0.2">
      <c r="A62" s="311"/>
      <c r="E62" s="311"/>
    </row>
    <row r="63" spans="1:5" outlineLevel="1" x14ac:dyDescent="0.2">
      <c r="A63" s="311"/>
      <c r="E63" s="311"/>
    </row>
    <row r="64" spans="1:5" outlineLevel="1" x14ac:dyDescent="0.2">
      <c r="A64" s="311"/>
      <c r="E64" s="311"/>
    </row>
    <row r="65" spans="1:5" outlineLevel="1" x14ac:dyDescent="0.2">
      <c r="A65" s="311"/>
      <c r="E65" s="311"/>
    </row>
    <row r="66" spans="1:5" outlineLevel="1" x14ac:dyDescent="0.2">
      <c r="A66" s="311"/>
      <c r="E66" s="311"/>
    </row>
    <row r="67" spans="1:5" outlineLevel="1" x14ac:dyDescent="0.2">
      <c r="A67" s="311"/>
      <c r="E67" s="311"/>
    </row>
    <row r="68" spans="1:5" outlineLevel="1" x14ac:dyDescent="0.2">
      <c r="A68" s="311"/>
      <c r="E68" s="311"/>
    </row>
    <row r="69" spans="1:5" outlineLevel="1" x14ac:dyDescent="0.2">
      <c r="A69" s="311"/>
      <c r="E69" s="311"/>
    </row>
    <row r="70" spans="1:5" outlineLevel="1" x14ac:dyDescent="0.2">
      <c r="A70" s="311"/>
      <c r="E70" s="311"/>
    </row>
    <row r="71" spans="1:5" outlineLevel="1" x14ac:dyDescent="0.2">
      <c r="A71" s="311"/>
      <c r="E71" s="311"/>
    </row>
    <row r="72" spans="1:5" outlineLevel="1" x14ac:dyDescent="0.2">
      <c r="A72" s="311"/>
      <c r="E72" s="311"/>
    </row>
    <row r="73" spans="1:5" outlineLevel="1" x14ac:dyDescent="0.2">
      <c r="A73" s="311"/>
      <c r="E73" s="311"/>
    </row>
    <row r="74" spans="1:5" outlineLevel="1" x14ac:dyDescent="0.2">
      <c r="A74" s="311"/>
      <c r="E74" s="311"/>
    </row>
    <row r="75" spans="1:5" outlineLevel="1" x14ac:dyDescent="0.2">
      <c r="A75" s="311"/>
      <c r="E75" s="311"/>
    </row>
    <row r="76" spans="1:5" outlineLevel="1" x14ac:dyDescent="0.2">
      <c r="A76" s="311"/>
      <c r="E76" s="311"/>
    </row>
    <row r="77" spans="1:5" outlineLevel="1" x14ac:dyDescent="0.2">
      <c r="A77" s="311"/>
      <c r="E77" s="311"/>
    </row>
    <row r="78" spans="1:5" outlineLevel="1" x14ac:dyDescent="0.2">
      <c r="A78" s="311"/>
      <c r="E78" s="311"/>
    </row>
    <row r="79" spans="1:5" outlineLevel="1" x14ac:dyDescent="0.2">
      <c r="A79" s="311"/>
      <c r="E79" s="311"/>
    </row>
    <row r="80" spans="1:5" outlineLevel="1" x14ac:dyDescent="0.2">
      <c r="A80" s="311"/>
      <c r="E80" s="311"/>
    </row>
    <row r="81" spans="1:5" outlineLevel="1" x14ac:dyDescent="0.2">
      <c r="A81" s="311"/>
      <c r="E81" s="311"/>
    </row>
    <row r="82" spans="1:5" outlineLevel="1" x14ac:dyDescent="0.2">
      <c r="A82" s="311"/>
      <c r="E82" s="311"/>
    </row>
    <row r="83" spans="1:5" outlineLevel="1" x14ac:dyDescent="0.2">
      <c r="A83" s="311"/>
      <c r="E83" s="311"/>
    </row>
    <row r="84" spans="1:5" outlineLevel="1" x14ac:dyDescent="0.2">
      <c r="A84" s="311"/>
      <c r="E84" s="311"/>
    </row>
    <row r="85" spans="1:5" outlineLevel="1" x14ac:dyDescent="0.2">
      <c r="A85" s="311"/>
      <c r="E85" s="311"/>
    </row>
    <row r="86" spans="1:5" outlineLevel="1" x14ac:dyDescent="0.2">
      <c r="A86" s="311"/>
      <c r="E86" s="311"/>
    </row>
    <row r="87" spans="1:5" outlineLevel="1" x14ac:dyDescent="0.2">
      <c r="A87" s="311"/>
      <c r="E87" s="311"/>
    </row>
    <row r="88" spans="1:5" outlineLevel="1" x14ac:dyDescent="0.2">
      <c r="A88" s="311"/>
      <c r="E88" s="311"/>
    </row>
    <row r="89" spans="1:5" outlineLevel="1" x14ac:dyDescent="0.2">
      <c r="A89" s="311"/>
      <c r="E89" s="311"/>
    </row>
    <row r="90" spans="1:5" outlineLevel="1" x14ac:dyDescent="0.2">
      <c r="A90" s="311"/>
      <c r="E90" s="311"/>
    </row>
    <row r="91" spans="1:5" outlineLevel="1" x14ac:dyDescent="0.2">
      <c r="A91" s="311"/>
      <c r="E91" s="311"/>
    </row>
    <row r="92" spans="1:5" outlineLevel="1" x14ac:dyDescent="0.2">
      <c r="A92" s="311"/>
      <c r="E92" s="311"/>
    </row>
    <row r="93" spans="1:5" outlineLevel="1" x14ac:dyDescent="0.2">
      <c r="A93" s="311"/>
      <c r="E93" s="311"/>
    </row>
    <row r="94" spans="1:5" outlineLevel="1" x14ac:dyDescent="0.2">
      <c r="A94" s="311"/>
      <c r="E94" s="311"/>
    </row>
    <row r="95" spans="1:5" outlineLevel="1" x14ac:dyDescent="0.2">
      <c r="A95" s="311"/>
      <c r="E95" s="311"/>
    </row>
    <row r="96" spans="1:5" outlineLevel="1" x14ac:dyDescent="0.2">
      <c r="A96" s="311"/>
      <c r="E96" s="311"/>
    </row>
    <row r="97" spans="1:5" outlineLevel="1" x14ac:dyDescent="0.2">
      <c r="A97" s="311"/>
      <c r="E97" s="311"/>
    </row>
    <row r="98" spans="1:5" outlineLevel="1" x14ac:dyDescent="0.2">
      <c r="A98" s="311"/>
      <c r="E98" s="311"/>
    </row>
    <row r="99" spans="1:5" outlineLevel="1" x14ac:dyDescent="0.2">
      <c r="A99" s="311"/>
      <c r="E99" s="311"/>
    </row>
    <row r="100" spans="1:5" outlineLevel="1" x14ac:dyDescent="0.2">
      <c r="A100" s="311"/>
      <c r="E100" s="311"/>
    </row>
    <row r="101" spans="1:5" outlineLevel="1" x14ac:dyDescent="0.2">
      <c r="A101" s="311"/>
      <c r="E101" s="311"/>
    </row>
    <row r="102" spans="1:5" outlineLevel="1" x14ac:dyDescent="0.2">
      <c r="A102" s="311"/>
      <c r="E102" s="311"/>
    </row>
    <row r="103" spans="1:5" outlineLevel="1" x14ac:dyDescent="0.2">
      <c r="A103" s="311"/>
      <c r="E103" s="311"/>
    </row>
    <row r="104" spans="1:5" outlineLevel="1" x14ac:dyDescent="0.2">
      <c r="A104" s="311"/>
      <c r="E104" s="311"/>
    </row>
    <row r="105" spans="1:5" outlineLevel="1" x14ac:dyDescent="0.2">
      <c r="A105" s="311"/>
      <c r="E105" s="311"/>
    </row>
    <row r="106" spans="1:5" outlineLevel="1" x14ac:dyDescent="0.2">
      <c r="A106" s="311"/>
      <c r="E106" s="311"/>
    </row>
    <row r="107" spans="1:5" outlineLevel="1" x14ac:dyDescent="0.2">
      <c r="A107" s="311"/>
      <c r="E107" s="311"/>
    </row>
    <row r="108" spans="1:5" outlineLevel="1" x14ac:dyDescent="0.2">
      <c r="A108" s="311"/>
      <c r="E108" s="311"/>
    </row>
    <row r="109" spans="1:5" outlineLevel="1" x14ac:dyDescent="0.2">
      <c r="A109" s="311"/>
      <c r="E109" s="311"/>
    </row>
    <row r="110" spans="1:5" outlineLevel="1" x14ac:dyDescent="0.2">
      <c r="A110" s="311"/>
      <c r="E110" s="311"/>
    </row>
    <row r="111" spans="1:5" outlineLevel="1" x14ac:dyDescent="0.2">
      <c r="A111" s="311"/>
      <c r="E111" s="311"/>
    </row>
    <row r="112" spans="1:5" outlineLevel="1" x14ac:dyDescent="0.2">
      <c r="A112" s="311"/>
      <c r="E112" s="311"/>
    </row>
    <row r="113" spans="1:5" outlineLevel="1" x14ac:dyDescent="0.2">
      <c r="A113" s="311"/>
      <c r="E113" s="311"/>
    </row>
    <row r="114" spans="1:5" outlineLevel="1" x14ac:dyDescent="0.2">
      <c r="A114" s="311"/>
      <c r="E114" s="311"/>
    </row>
    <row r="115" spans="1:5" outlineLevel="1" x14ac:dyDescent="0.2">
      <c r="A115" s="311"/>
      <c r="E115" s="311"/>
    </row>
    <row r="116" spans="1:5" outlineLevel="1" x14ac:dyDescent="0.2">
      <c r="A116" s="311"/>
      <c r="E116" s="311"/>
    </row>
    <row r="117" spans="1:5" outlineLevel="1" x14ac:dyDescent="0.2">
      <c r="A117" s="311"/>
      <c r="E117" s="311"/>
    </row>
    <row r="118" spans="1:5" outlineLevel="1" x14ac:dyDescent="0.2">
      <c r="A118" s="311"/>
      <c r="E118" s="311"/>
    </row>
    <row r="119" spans="1:5" outlineLevel="1" x14ac:dyDescent="0.2">
      <c r="A119" s="311"/>
      <c r="E119" s="311"/>
    </row>
    <row r="120" spans="1:5" outlineLevel="1" x14ac:dyDescent="0.2">
      <c r="A120" s="311"/>
      <c r="E120" s="311"/>
    </row>
    <row r="121" spans="1:5" outlineLevel="1" x14ac:dyDescent="0.2">
      <c r="A121" s="311"/>
      <c r="E121" s="311"/>
    </row>
    <row r="122" spans="1:5" outlineLevel="1" x14ac:dyDescent="0.2">
      <c r="A122" s="311"/>
      <c r="E122" s="311"/>
    </row>
    <row r="123" spans="1:5" outlineLevel="1" x14ac:dyDescent="0.2">
      <c r="A123" s="311"/>
      <c r="E123" s="311"/>
    </row>
    <row r="124" spans="1:5" outlineLevel="1" x14ac:dyDescent="0.2">
      <c r="A124" s="311"/>
      <c r="E124" s="311"/>
    </row>
    <row r="125" spans="1:5" outlineLevel="1" x14ac:dyDescent="0.2">
      <c r="A125" s="311"/>
      <c r="E125" s="311"/>
    </row>
    <row r="126" spans="1:5" outlineLevel="1" x14ac:dyDescent="0.2">
      <c r="A126" s="311"/>
      <c r="E126" s="311"/>
    </row>
    <row r="127" spans="1:5" outlineLevel="1" x14ac:dyDescent="0.2">
      <c r="A127" s="311"/>
      <c r="E127" s="311"/>
    </row>
    <row r="128" spans="1:5" outlineLevel="1" x14ac:dyDescent="0.2">
      <c r="A128" s="311"/>
      <c r="E128" s="311"/>
    </row>
    <row r="129" spans="1:5" outlineLevel="1" x14ac:dyDescent="0.2">
      <c r="A129" s="311"/>
      <c r="E129" s="311"/>
    </row>
    <row r="130" spans="1:5" outlineLevel="1" x14ac:dyDescent="0.2">
      <c r="A130" s="311"/>
      <c r="E130" s="311"/>
    </row>
    <row r="131" spans="1:5" outlineLevel="1" x14ac:dyDescent="0.2">
      <c r="A131" s="311"/>
      <c r="E131" s="311"/>
    </row>
    <row r="132" spans="1:5" outlineLevel="1" x14ac:dyDescent="0.2">
      <c r="A132" s="311"/>
      <c r="E132" s="311"/>
    </row>
    <row r="133" spans="1:5" outlineLevel="1" x14ac:dyDescent="0.2">
      <c r="A133" s="311"/>
      <c r="E133" s="311"/>
    </row>
    <row r="134" spans="1:5" outlineLevel="1" x14ac:dyDescent="0.2">
      <c r="A134" s="311"/>
      <c r="E134" s="311"/>
    </row>
    <row r="135" spans="1:5" outlineLevel="1" x14ac:dyDescent="0.2">
      <c r="A135" s="311"/>
      <c r="E135" s="311"/>
    </row>
    <row r="136" spans="1:5" outlineLevel="1" x14ac:dyDescent="0.2">
      <c r="A136" s="311"/>
      <c r="E136" s="311"/>
    </row>
    <row r="137" spans="1:5" outlineLevel="1" x14ac:dyDescent="0.2">
      <c r="A137" s="311"/>
      <c r="E137" s="311"/>
    </row>
    <row r="138" spans="1:5" outlineLevel="1" x14ac:dyDescent="0.2">
      <c r="A138" s="311"/>
      <c r="E138" s="311"/>
    </row>
    <row r="139" spans="1:5" outlineLevel="1" x14ac:dyDescent="0.2">
      <c r="A139" s="311"/>
      <c r="E139" s="311"/>
    </row>
    <row r="140" spans="1:5" outlineLevel="1" x14ac:dyDescent="0.2">
      <c r="A140" s="311"/>
      <c r="E140" s="311"/>
    </row>
    <row r="141" spans="1:5" outlineLevel="1" x14ac:dyDescent="0.2">
      <c r="A141" s="311"/>
      <c r="E141" s="311"/>
    </row>
    <row r="142" spans="1:5" outlineLevel="1" x14ac:dyDescent="0.2">
      <c r="A142" s="311"/>
      <c r="E142" s="311"/>
    </row>
    <row r="143" spans="1:5" outlineLevel="1" x14ac:dyDescent="0.2">
      <c r="A143" s="311"/>
      <c r="E143" s="311"/>
    </row>
    <row r="144" spans="1:5" outlineLevel="1" x14ac:dyDescent="0.2">
      <c r="A144" s="311"/>
      <c r="E144" s="311"/>
    </row>
    <row r="145" spans="1:5" outlineLevel="1" x14ac:dyDescent="0.2">
      <c r="A145" s="311"/>
      <c r="E145" s="311"/>
    </row>
    <row r="146" spans="1:5" outlineLevel="1" x14ac:dyDescent="0.2">
      <c r="A146" s="311"/>
      <c r="E146" s="311"/>
    </row>
    <row r="147" spans="1:5" outlineLevel="1" x14ac:dyDescent="0.2">
      <c r="A147" s="311"/>
      <c r="E147" s="311"/>
    </row>
    <row r="148" spans="1:5" outlineLevel="1" x14ac:dyDescent="0.2">
      <c r="A148" s="311"/>
      <c r="E148" s="311"/>
    </row>
    <row r="149" spans="1:5" outlineLevel="1" x14ac:dyDescent="0.2">
      <c r="A149" s="311"/>
      <c r="E149" s="311"/>
    </row>
    <row r="150" spans="1:5" outlineLevel="1" x14ac:dyDescent="0.2">
      <c r="A150" s="311"/>
      <c r="E150" s="311"/>
    </row>
    <row r="151" spans="1:5" outlineLevel="1" x14ac:dyDescent="0.2">
      <c r="A151" s="311"/>
      <c r="E151" s="311"/>
    </row>
    <row r="152" spans="1:5" outlineLevel="1" x14ac:dyDescent="0.2">
      <c r="A152" s="311"/>
      <c r="E152" s="311"/>
    </row>
    <row r="153" spans="1:5" outlineLevel="1" x14ac:dyDescent="0.2">
      <c r="A153" s="311"/>
      <c r="E153" s="311"/>
    </row>
    <row r="154" spans="1:5" outlineLevel="1" x14ac:dyDescent="0.2">
      <c r="A154" s="311"/>
      <c r="E154" s="311"/>
    </row>
    <row r="155" spans="1:5" outlineLevel="1" x14ac:dyDescent="0.2">
      <c r="A155" s="311"/>
      <c r="E155" s="311"/>
    </row>
    <row r="156" spans="1:5" outlineLevel="1" x14ac:dyDescent="0.2">
      <c r="A156" s="311"/>
      <c r="E156" s="311"/>
    </row>
    <row r="157" spans="1:5" outlineLevel="1" x14ac:dyDescent="0.2">
      <c r="A157" s="311"/>
      <c r="E157" s="311"/>
    </row>
    <row r="158" spans="1:5" outlineLevel="1" x14ac:dyDescent="0.2">
      <c r="A158" s="311"/>
      <c r="E158" s="311"/>
    </row>
    <row r="159" spans="1:5" outlineLevel="1" x14ac:dyDescent="0.2">
      <c r="A159" s="311"/>
      <c r="E159" s="311"/>
    </row>
    <row r="160" spans="1:5" outlineLevel="1" x14ac:dyDescent="0.2">
      <c r="A160" s="311"/>
      <c r="E160" s="311"/>
    </row>
    <row r="161" spans="1:5" outlineLevel="1" x14ac:dyDescent="0.2">
      <c r="A161" s="311"/>
      <c r="E161" s="311"/>
    </row>
    <row r="162" spans="1:5" outlineLevel="1" x14ac:dyDescent="0.2">
      <c r="A162" s="311"/>
      <c r="E162" s="311"/>
    </row>
    <row r="163" spans="1:5" outlineLevel="1" x14ac:dyDescent="0.2">
      <c r="A163" s="311"/>
      <c r="E163" s="311"/>
    </row>
    <row r="164" spans="1:5" outlineLevel="1" x14ac:dyDescent="0.2">
      <c r="A164" s="311"/>
      <c r="E164" s="311"/>
    </row>
    <row r="165" spans="1:5" outlineLevel="1" x14ac:dyDescent="0.2">
      <c r="A165" s="311"/>
      <c r="E165" s="311"/>
    </row>
    <row r="166" spans="1:5" outlineLevel="1" x14ac:dyDescent="0.2">
      <c r="A166" s="311"/>
      <c r="E166" s="311"/>
    </row>
    <row r="167" spans="1:5" outlineLevel="1" x14ac:dyDescent="0.2">
      <c r="A167" s="311"/>
      <c r="E167" s="311"/>
    </row>
    <row r="168" spans="1:5" outlineLevel="1" x14ac:dyDescent="0.2">
      <c r="A168" s="311"/>
      <c r="E168" s="311"/>
    </row>
    <row r="169" spans="1:5" outlineLevel="1" x14ac:dyDescent="0.2">
      <c r="A169" s="311"/>
      <c r="E169" s="311"/>
    </row>
    <row r="170" spans="1:5" outlineLevel="1" x14ac:dyDescent="0.2">
      <c r="A170" s="311"/>
      <c r="E170" s="311"/>
    </row>
    <row r="171" spans="1:5" outlineLevel="1" x14ac:dyDescent="0.2">
      <c r="A171" s="311"/>
      <c r="E171" s="311"/>
    </row>
    <row r="172" spans="1:5" outlineLevel="1" x14ac:dyDescent="0.2">
      <c r="A172" s="311"/>
      <c r="E172" s="311"/>
    </row>
    <row r="173" spans="1:5" outlineLevel="1" x14ac:dyDescent="0.2">
      <c r="A173" s="311"/>
      <c r="E173" s="311"/>
    </row>
    <row r="174" spans="1:5" outlineLevel="1" x14ac:dyDescent="0.2">
      <c r="A174" s="311"/>
      <c r="E174" s="311"/>
    </row>
    <row r="175" spans="1:5" outlineLevel="1" x14ac:dyDescent="0.2">
      <c r="A175" s="311"/>
      <c r="E175" s="311"/>
    </row>
    <row r="176" spans="1:5" outlineLevel="1" x14ac:dyDescent="0.2">
      <c r="A176" s="311"/>
      <c r="E176" s="311"/>
    </row>
    <row r="177" spans="1:5" outlineLevel="1" x14ac:dyDescent="0.2">
      <c r="A177" s="311"/>
      <c r="E177" s="311"/>
    </row>
    <row r="178" spans="1:5" outlineLevel="1" x14ac:dyDescent="0.2">
      <c r="A178" s="311"/>
      <c r="E178" s="311"/>
    </row>
    <row r="179" spans="1:5" outlineLevel="1" x14ac:dyDescent="0.2">
      <c r="A179" s="311"/>
      <c r="E179" s="311"/>
    </row>
    <row r="180" spans="1:5" outlineLevel="1" x14ac:dyDescent="0.2">
      <c r="A180" s="311"/>
      <c r="E180" s="311"/>
    </row>
    <row r="181" spans="1:5" outlineLevel="1" x14ac:dyDescent="0.2">
      <c r="A181" s="311"/>
      <c r="E181" s="311"/>
    </row>
    <row r="182" spans="1:5" outlineLevel="1" x14ac:dyDescent="0.2">
      <c r="A182" s="311"/>
      <c r="E182" s="311"/>
    </row>
    <row r="183" spans="1:5" outlineLevel="1" x14ac:dyDescent="0.2">
      <c r="A183" s="311"/>
      <c r="E183" s="311"/>
    </row>
    <row r="184" spans="1:5" outlineLevel="1" x14ac:dyDescent="0.2">
      <c r="A184" s="311"/>
      <c r="E184" s="311"/>
    </row>
    <row r="185" spans="1:5" outlineLevel="1" x14ac:dyDescent="0.2">
      <c r="A185" s="311"/>
      <c r="E185" s="311"/>
    </row>
    <row r="186" spans="1:5" outlineLevel="1" x14ac:dyDescent="0.2">
      <c r="A186" s="311"/>
      <c r="E186" s="311"/>
    </row>
    <row r="187" spans="1:5" outlineLevel="1" x14ac:dyDescent="0.2">
      <c r="A187" s="311"/>
      <c r="E187" s="311"/>
    </row>
    <row r="188" spans="1:5" outlineLevel="1" x14ac:dyDescent="0.2">
      <c r="A188" s="311"/>
      <c r="E188" s="311"/>
    </row>
    <row r="189" spans="1:5" outlineLevel="1" x14ac:dyDescent="0.2">
      <c r="A189" s="311"/>
      <c r="E189" s="311"/>
    </row>
    <row r="190" spans="1:5" outlineLevel="1" x14ac:dyDescent="0.2">
      <c r="A190" s="311"/>
      <c r="E190" s="311"/>
    </row>
    <row r="191" spans="1:5" outlineLevel="1" x14ac:dyDescent="0.2">
      <c r="A191" s="311"/>
      <c r="E191" s="311"/>
    </row>
    <row r="192" spans="1:5" outlineLevel="1" x14ac:dyDescent="0.2">
      <c r="A192" s="311"/>
      <c r="E192" s="311"/>
    </row>
    <row r="193" spans="1:5" outlineLevel="1" x14ac:dyDescent="0.2">
      <c r="A193" s="311"/>
      <c r="E193" s="311"/>
    </row>
    <row r="194" spans="1:5" outlineLevel="1" x14ac:dyDescent="0.2">
      <c r="A194" s="311"/>
      <c r="E194" s="311"/>
    </row>
    <row r="195" spans="1:5" outlineLevel="1" x14ac:dyDescent="0.2">
      <c r="A195" s="311"/>
      <c r="E195" s="311"/>
    </row>
    <row r="196" spans="1:5" outlineLevel="1" x14ac:dyDescent="0.2">
      <c r="A196" s="311"/>
      <c r="E196" s="311"/>
    </row>
    <row r="197" spans="1:5" outlineLevel="1" x14ac:dyDescent="0.2">
      <c r="A197" s="311"/>
      <c r="E197" s="311"/>
    </row>
    <row r="198" spans="1:5" outlineLevel="1" x14ac:dyDescent="0.2">
      <c r="A198" s="311"/>
      <c r="E198" s="311"/>
    </row>
    <row r="199" spans="1:5" outlineLevel="1" x14ac:dyDescent="0.2">
      <c r="A199" s="311"/>
      <c r="E199" s="311"/>
    </row>
    <row r="200" spans="1:5" outlineLevel="1" x14ac:dyDescent="0.2">
      <c r="A200" s="311"/>
      <c r="E200" s="311"/>
    </row>
    <row r="201" spans="1:5" outlineLevel="1" x14ac:dyDescent="0.2">
      <c r="A201" s="311"/>
      <c r="E201" s="311"/>
    </row>
    <row r="202" spans="1:5" outlineLevel="1" x14ac:dyDescent="0.2">
      <c r="A202" s="311"/>
      <c r="E202" s="311"/>
    </row>
    <row r="203" spans="1:5" outlineLevel="1" x14ac:dyDescent="0.2">
      <c r="A203" s="311"/>
      <c r="E203" s="311"/>
    </row>
    <row r="204" spans="1:5" outlineLevel="1" x14ac:dyDescent="0.2">
      <c r="A204" s="311"/>
      <c r="E204" s="311"/>
    </row>
    <row r="205" spans="1:5" outlineLevel="1" x14ac:dyDescent="0.2">
      <c r="A205" s="311"/>
      <c r="E205" s="311"/>
    </row>
    <row r="206" spans="1:5" outlineLevel="1" x14ac:dyDescent="0.2">
      <c r="A206" s="311"/>
      <c r="E206" s="311"/>
    </row>
    <row r="207" spans="1:5" outlineLevel="1" x14ac:dyDescent="0.2">
      <c r="A207" s="311"/>
      <c r="E207" s="311"/>
    </row>
    <row r="208" spans="1:5" outlineLevel="1" x14ac:dyDescent="0.2">
      <c r="A208" s="311"/>
      <c r="E208" s="311"/>
    </row>
    <row r="209" spans="1:5" outlineLevel="1" x14ac:dyDescent="0.2">
      <c r="A209" s="311"/>
      <c r="E209" s="311"/>
    </row>
    <row r="210" spans="1:5" outlineLevel="1" x14ac:dyDescent="0.2">
      <c r="A210" s="311"/>
      <c r="E210" s="311"/>
    </row>
    <row r="211" spans="1:5" outlineLevel="1" x14ac:dyDescent="0.2">
      <c r="A211" s="311"/>
      <c r="E211" s="311"/>
    </row>
    <row r="212" spans="1:5" outlineLevel="1" x14ac:dyDescent="0.2">
      <c r="A212" s="311"/>
      <c r="E212" s="311"/>
    </row>
    <row r="213" spans="1:5" outlineLevel="1" x14ac:dyDescent="0.2">
      <c r="A213" s="311"/>
      <c r="E213" s="311"/>
    </row>
    <row r="214" spans="1:5" outlineLevel="1" x14ac:dyDescent="0.2">
      <c r="A214" s="311"/>
      <c r="E214" s="311"/>
    </row>
    <row r="215" spans="1:5" outlineLevel="1" x14ac:dyDescent="0.2">
      <c r="A215" s="311"/>
      <c r="E215" s="311"/>
    </row>
    <row r="216" spans="1:5" outlineLevel="1" x14ac:dyDescent="0.2">
      <c r="A216" s="311"/>
      <c r="E216" s="311"/>
    </row>
    <row r="217" spans="1:5" outlineLevel="1" x14ac:dyDescent="0.2">
      <c r="A217" s="311"/>
      <c r="E217" s="311"/>
    </row>
    <row r="218" spans="1:5" outlineLevel="1" x14ac:dyDescent="0.2">
      <c r="A218" s="311"/>
      <c r="E218" s="311"/>
    </row>
    <row r="219" spans="1:5" outlineLevel="1" x14ac:dyDescent="0.2">
      <c r="A219" s="311"/>
      <c r="E219" s="311"/>
    </row>
    <row r="220" spans="1:5" outlineLevel="1" x14ac:dyDescent="0.2">
      <c r="A220" s="311"/>
      <c r="E220" s="311"/>
    </row>
    <row r="221" spans="1:5" outlineLevel="1" x14ac:dyDescent="0.2">
      <c r="A221" s="311"/>
      <c r="E221" s="311"/>
    </row>
    <row r="222" spans="1:5" outlineLevel="1" x14ac:dyDescent="0.2">
      <c r="A222" s="311"/>
      <c r="E222" s="311"/>
    </row>
    <row r="223" spans="1:5" outlineLevel="1" x14ac:dyDescent="0.2">
      <c r="A223" s="311"/>
      <c r="E223" s="311"/>
    </row>
    <row r="224" spans="1:5" outlineLevel="1" x14ac:dyDescent="0.2">
      <c r="A224" s="311"/>
      <c r="E224" s="311"/>
    </row>
    <row r="225" spans="1:5" outlineLevel="1" x14ac:dyDescent="0.2">
      <c r="A225" s="311"/>
      <c r="E225" s="311"/>
    </row>
    <row r="226" spans="1:5" outlineLevel="1" x14ac:dyDescent="0.2">
      <c r="A226" s="311"/>
      <c r="E226" s="311"/>
    </row>
    <row r="227" spans="1:5" outlineLevel="1" x14ac:dyDescent="0.2">
      <c r="A227" s="311"/>
      <c r="E227" s="311"/>
    </row>
    <row r="228" spans="1:5" outlineLevel="1" x14ac:dyDescent="0.2">
      <c r="A228" s="311"/>
      <c r="E228" s="311"/>
    </row>
    <row r="229" spans="1:5" outlineLevel="1" x14ac:dyDescent="0.2">
      <c r="A229" s="311"/>
      <c r="E229" s="311"/>
    </row>
    <row r="230" spans="1:5" outlineLevel="1" x14ac:dyDescent="0.2">
      <c r="A230" s="311"/>
      <c r="E230" s="311"/>
    </row>
    <row r="231" spans="1:5" outlineLevel="1" x14ac:dyDescent="0.2">
      <c r="A231" s="311"/>
      <c r="E231" s="311"/>
    </row>
    <row r="232" spans="1:5" outlineLevel="1" x14ac:dyDescent="0.2">
      <c r="A232" s="311"/>
      <c r="E232" s="311"/>
    </row>
    <row r="233" spans="1:5" outlineLevel="1" x14ac:dyDescent="0.2">
      <c r="A233" s="311"/>
      <c r="E233" s="311"/>
    </row>
    <row r="234" spans="1:5" outlineLevel="1" x14ac:dyDescent="0.2">
      <c r="A234" s="311"/>
      <c r="E234" s="311"/>
    </row>
    <row r="235" spans="1:5" outlineLevel="1" x14ac:dyDescent="0.2">
      <c r="A235" s="311"/>
      <c r="E235" s="311"/>
    </row>
    <row r="236" spans="1:5" outlineLevel="1" x14ac:dyDescent="0.2">
      <c r="A236" s="311"/>
      <c r="E236" s="311"/>
    </row>
    <row r="237" spans="1:5" outlineLevel="1" x14ac:dyDescent="0.2">
      <c r="A237" s="311"/>
      <c r="E237" s="311"/>
    </row>
    <row r="238" spans="1:5" outlineLevel="1" x14ac:dyDescent="0.2">
      <c r="A238" s="311"/>
      <c r="E238" s="311"/>
    </row>
    <row r="239" spans="1:5" outlineLevel="1" x14ac:dyDescent="0.2">
      <c r="A239" s="311"/>
      <c r="E239" s="311"/>
    </row>
    <row r="240" spans="1:5" outlineLevel="1" x14ac:dyDescent="0.2">
      <c r="A240" s="311"/>
      <c r="E240" s="311"/>
    </row>
    <row r="241" spans="1:5" outlineLevel="1" x14ac:dyDescent="0.2">
      <c r="A241" s="311"/>
      <c r="E241" s="311"/>
    </row>
    <row r="242" spans="1:5" outlineLevel="1" x14ac:dyDescent="0.2">
      <c r="A242" s="311"/>
      <c r="E242" s="311"/>
    </row>
    <row r="243" spans="1:5" outlineLevel="1" x14ac:dyDescent="0.2">
      <c r="A243" s="311"/>
      <c r="E243" s="311"/>
    </row>
    <row r="244" spans="1:5" outlineLevel="1" x14ac:dyDescent="0.2">
      <c r="A244" s="311"/>
      <c r="E244" s="311"/>
    </row>
    <row r="245" spans="1:5" outlineLevel="1" x14ac:dyDescent="0.2">
      <c r="A245" s="311"/>
      <c r="E245" s="311"/>
    </row>
    <row r="246" spans="1:5" outlineLevel="1" x14ac:dyDescent="0.2">
      <c r="A246" s="311"/>
      <c r="E246" s="311"/>
    </row>
    <row r="247" spans="1:5" outlineLevel="1" x14ac:dyDescent="0.2">
      <c r="A247" s="311"/>
      <c r="E247" s="311"/>
    </row>
    <row r="248" spans="1:5" outlineLevel="1" x14ac:dyDescent="0.2">
      <c r="A248" s="311"/>
      <c r="E248" s="311"/>
    </row>
    <row r="249" spans="1:5" outlineLevel="1" x14ac:dyDescent="0.2">
      <c r="A249" s="311"/>
      <c r="E249" s="311"/>
    </row>
    <row r="250" spans="1:5" outlineLevel="1" x14ac:dyDescent="0.2">
      <c r="A250" s="311"/>
      <c r="E250" s="311"/>
    </row>
    <row r="251" spans="1:5" outlineLevel="1" x14ac:dyDescent="0.2">
      <c r="A251" s="311"/>
      <c r="E251" s="311"/>
    </row>
    <row r="252" spans="1:5" outlineLevel="1" x14ac:dyDescent="0.2">
      <c r="A252" s="311"/>
      <c r="E252" s="311"/>
    </row>
    <row r="253" spans="1:5" outlineLevel="1" x14ac:dyDescent="0.2">
      <c r="A253" s="311"/>
      <c r="E253" s="311"/>
    </row>
    <row r="254" spans="1:5" outlineLevel="1" x14ac:dyDescent="0.2">
      <c r="A254" s="311"/>
      <c r="E254" s="311"/>
    </row>
    <row r="255" spans="1:5" outlineLevel="1" x14ac:dyDescent="0.2">
      <c r="A255" s="311"/>
      <c r="E255" s="311"/>
    </row>
    <row r="256" spans="1:5" outlineLevel="1" x14ac:dyDescent="0.2">
      <c r="A256" s="311"/>
      <c r="E256" s="311"/>
    </row>
    <row r="257" spans="1:5" outlineLevel="1" x14ac:dyDescent="0.2">
      <c r="A257" s="311"/>
      <c r="E257" s="311"/>
    </row>
    <row r="258" spans="1:5" outlineLevel="1" x14ac:dyDescent="0.2">
      <c r="A258" s="311"/>
      <c r="E258" s="311"/>
    </row>
    <row r="259" spans="1:5" outlineLevel="1" x14ac:dyDescent="0.2">
      <c r="A259" s="311"/>
      <c r="E259" s="311"/>
    </row>
    <row r="260" spans="1:5" outlineLevel="1" x14ac:dyDescent="0.2">
      <c r="A260" s="311"/>
      <c r="E260" s="311"/>
    </row>
    <row r="261" spans="1:5" outlineLevel="1" x14ac:dyDescent="0.2">
      <c r="A261" s="311"/>
      <c r="E261" s="311"/>
    </row>
    <row r="262" spans="1:5" outlineLevel="1" x14ac:dyDescent="0.2">
      <c r="A262" s="311"/>
      <c r="E262" s="311"/>
    </row>
    <row r="263" spans="1:5" outlineLevel="1" x14ac:dyDescent="0.2">
      <c r="A263" s="311"/>
      <c r="E263" s="311"/>
    </row>
    <row r="264" spans="1:5" outlineLevel="1" x14ac:dyDescent="0.2">
      <c r="A264" s="311"/>
      <c r="E264" s="311"/>
    </row>
    <row r="265" spans="1:5" outlineLevel="1" x14ac:dyDescent="0.2">
      <c r="A265" s="311"/>
      <c r="E265" s="311"/>
    </row>
    <row r="266" spans="1:5" outlineLevel="1" x14ac:dyDescent="0.2">
      <c r="A266" s="311"/>
      <c r="E266" s="311"/>
    </row>
    <row r="267" spans="1:5" outlineLevel="1" x14ac:dyDescent="0.2">
      <c r="A267" s="311"/>
      <c r="E267" s="311"/>
    </row>
    <row r="268" spans="1:5" outlineLevel="1" x14ac:dyDescent="0.2">
      <c r="A268" s="311"/>
      <c r="E268" s="311"/>
    </row>
    <row r="269" spans="1:5" outlineLevel="1" x14ac:dyDescent="0.2">
      <c r="A269" s="311"/>
      <c r="E269" s="311"/>
    </row>
    <row r="270" spans="1:5" outlineLevel="1" x14ac:dyDescent="0.2">
      <c r="A270" s="311"/>
      <c r="E270" s="311"/>
    </row>
    <row r="271" spans="1:5" outlineLevel="1" x14ac:dyDescent="0.2">
      <c r="A271" s="311"/>
      <c r="E271" s="311"/>
    </row>
    <row r="272" spans="1:5" outlineLevel="1" x14ac:dyDescent="0.2">
      <c r="A272" s="311"/>
      <c r="E272" s="311"/>
    </row>
    <row r="273" spans="1:5" outlineLevel="1" x14ac:dyDescent="0.2">
      <c r="A273" s="311"/>
      <c r="E273" s="311"/>
    </row>
    <row r="274" spans="1:5" outlineLevel="1" x14ac:dyDescent="0.2">
      <c r="A274" s="311"/>
      <c r="E274" s="311"/>
    </row>
    <row r="275" spans="1:5" outlineLevel="1" x14ac:dyDescent="0.2">
      <c r="A275" s="311"/>
      <c r="E275" s="311"/>
    </row>
    <row r="276" spans="1:5" outlineLevel="1" x14ac:dyDescent="0.2">
      <c r="A276" s="311"/>
      <c r="E276" s="311"/>
    </row>
    <row r="277" spans="1:5" outlineLevel="1" x14ac:dyDescent="0.2">
      <c r="A277" s="311"/>
      <c r="E277" s="311"/>
    </row>
    <row r="278" spans="1:5" outlineLevel="1" x14ac:dyDescent="0.2">
      <c r="A278" s="311"/>
      <c r="E278" s="311"/>
    </row>
    <row r="279" spans="1:5" outlineLevel="1" x14ac:dyDescent="0.2">
      <c r="A279" s="311"/>
      <c r="E279" s="311"/>
    </row>
    <row r="280" spans="1:5" outlineLevel="1" x14ac:dyDescent="0.2">
      <c r="A280" s="311"/>
      <c r="E280" s="311"/>
    </row>
    <row r="281" spans="1:5" outlineLevel="1" x14ac:dyDescent="0.2">
      <c r="A281" s="311"/>
      <c r="E281" s="311"/>
    </row>
    <row r="282" spans="1:5" outlineLevel="1" x14ac:dyDescent="0.2">
      <c r="A282" s="311"/>
      <c r="E282" s="311"/>
    </row>
    <row r="283" spans="1:5" outlineLevel="1" x14ac:dyDescent="0.2">
      <c r="A283" s="311"/>
      <c r="E283" s="311"/>
    </row>
    <row r="284" spans="1:5" outlineLevel="1" x14ac:dyDescent="0.2">
      <c r="A284" s="311"/>
      <c r="E284" s="311"/>
    </row>
    <row r="285" spans="1:5" outlineLevel="1" x14ac:dyDescent="0.2">
      <c r="A285" s="311"/>
      <c r="E285" s="311"/>
    </row>
    <row r="286" spans="1:5" outlineLevel="1" x14ac:dyDescent="0.2">
      <c r="A286" s="311"/>
      <c r="E286" s="311"/>
    </row>
    <row r="287" spans="1:5" outlineLevel="1" x14ac:dyDescent="0.2">
      <c r="A287" s="311"/>
      <c r="E287" s="311"/>
    </row>
    <row r="288" spans="1:5" outlineLevel="1" x14ac:dyDescent="0.2">
      <c r="A288" s="311"/>
      <c r="E288" s="311"/>
    </row>
    <row r="289" spans="1:5" outlineLevel="1" x14ac:dyDescent="0.2">
      <c r="A289" s="311"/>
      <c r="E289" s="311"/>
    </row>
    <row r="290" spans="1:5" outlineLevel="1" x14ac:dyDescent="0.2">
      <c r="A290" s="311"/>
      <c r="E290" s="311"/>
    </row>
    <row r="291" spans="1:5" outlineLevel="1" x14ac:dyDescent="0.2">
      <c r="A291" s="311"/>
      <c r="E291" s="311"/>
    </row>
    <row r="292" spans="1:5" outlineLevel="1" x14ac:dyDescent="0.2">
      <c r="A292" s="311"/>
      <c r="E292" s="311"/>
    </row>
    <row r="293" spans="1:5" outlineLevel="1" x14ac:dyDescent="0.2">
      <c r="A293" s="311"/>
      <c r="E293" s="311"/>
    </row>
    <row r="294" spans="1:5" outlineLevel="1" x14ac:dyDescent="0.2">
      <c r="A294" s="311"/>
      <c r="E294" s="311"/>
    </row>
    <row r="295" spans="1:5" outlineLevel="1" x14ac:dyDescent="0.2">
      <c r="A295" s="311"/>
      <c r="E295" s="311"/>
    </row>
    <row r="296" spans="1:5" outlineLevel="1" x14ac:dyDescent="0.2">
      <c r="A296" s="311"/>
      <c r="E296" s="311"/>
    </row>
    <row r="297" spans="1:5" outlineLevel="1" x14ac:dyDescent="0.2">
      <c r="A297" s="311"/>
      <c r="E297" s="311"/>
    </row>
    <row r="298" spans="1:5" outlineLevel="1" x14ac:dyDescent="0.2">
      <c r="A298" s="311"/>
      <c r="E298" s="311"/>
    </row>
    <row r="299" spans="1:5" outlineLevel="1" x14ac:dyDescent="0.2">
      <c r="A299" s="311"/>
      <c r="E299" s="311"/>
    </row>
    <row r="300" spans="1:5" outlineLevel="1" x14ac:dyDescent="0.2">
      <c r="A300" s="311"/>
      <c r="E300" s="311"/>
    </row>
    <row r="301" spans="1:5" outlineLevel="1" x14ac:dyDescent="0.2">
      <c r="A301" s="311"/>
      <c r="E301" s="311"/>
    </row>
    <row r="302" spans="1:5" outlineLevel="1" x14ac:dyDescent="0.2">
      <c r="A302" s="311"/>
      <c r="E302" s="311"/>
    </row>
    <row r="303" spans="1:5" outlineLevel="1" x14ac:dyDescent="0.2">
      <c r="A303" s="311"/>
      <c r="E303" s="311"/>
    </row>
    <row r="304" spans="1:5" outlineLevel="1" x14ac:dyDescent="0.2">
      <c r="A304" s="311"/>
      <c r="E304" s="311"/>
    </row>
    <row r="305" spans="1:5" outlineLevel="1" x14ac:dyDescent="0.2">
      <c r="A305" s="311"/>
      <c r="E305" s="311"/>
    </row>
    <row r="306" spans="1:5" outlineLevel="1" x14ac:dyDescent="0.2">
      <c r="A306" s="311"/>
      <c r="E306" s="311"/>
    </row>
    <row r="307" spans="1:5" outlineLevel="1" x14ac:dyDescent="0.2">
      <c r="A307" s="311"/>
      <c r="E307" s="311"/>
    </row>
    <row r="308" spans="1:5" outlineLevel="1" x14ac:dyDescent="0.2">
      <c r="A308" s="311"/>
      <c r="E308" s="311"/>
    </row>
    <row r="309" spans="1:5" outlineLevel="1" x14ac:dyDescent="0.2">
      <c r="A309" s="311"/>
      <c r="E309" s="311"/>
    </row>
    <row r="310" spans="1:5" outlineLevel="1" x14ac:dyDescent="0.2">
      <c r="A310" s="311"/>
      <c r="E310" s="311"/>
    </row>
    <row r="311" spans="1:5" outlineLevel="1" x14ac:dyDescent="0.2">
      <c r="A311" s="311"/>
      <c r="E311" s="311"/>
    </row>
    <row r="312" spans="1:5" outlineLevel="1" x14ac:dyDescent="0.2">
      <c r="A312" s="311"/>
      <c r="E312" s="311"/>
    </row>
    <row r="313" spans="1:5" outlineLevel="1" x14ac:dyDescent="0.2">
      <c r="A313" s="311"/>
      <c r="E313" s="311"/>
    </row>
    <row r="314" spans="1:5" outlineLevel="1" x14ac:dyDescent="0.2">
      <c r="A314" s="311"/>
      <c r="E314" s="311"/>
    </row>
    <row r="315" spans="1:5" outlineLevel="1" x14ac:dyDescent="0.2">
      <c r="A315" s="311"/>
      <c r="E315" s="311"/>
    </row>
    <row r="316" spans="1:5" outlineLevel="1" x14ac:dyDescent="0.2">
      <c r="A316" s="311"/>
      <c r="E316" s="311"/>
    </row>
    <row r="317" spans="1:5" outlineLevel="1" x14ac:dyDescent="0.2">
      <c r="A317" s="311"/>
      <c r="E317" s="311"/>
    </row>
    <row r="318" spans="1:5" outlineLevel="1" x14ac:dyDescent="0.2">
      <c r="A318" s="311"/>
      <c r="E318" s="311"/>
    </row>
    <row r="319" spans="1:5" outlineLevel="1" x14ac:dyDescent="0.2">
      <c r="A319" s="311"/>
      <c r="E319" s="311"/>
    </row>
    <row r="320" spans="1:5" outlineLevel="1" x14ac:dyDescent="0.2">
      <c r="A320" s="311"/>
      <c r="E320" s="311"/>
    </row>
    <row r="321" spans="1:5" outlineLevel="1" x14ac:dyDescent="0.2">
      <c r="A321" s="311"/>
      <c r="E321" s="311"/>
    </row>
    <row r="322" spans="1:5" outlineLevel="1" x14ac:dyDescent="0.2">
      <c r="A322" s="311"/>
      <c r="E322" s="311"/>
    </row>
    <row r="323" spans="1:5" outlineLevel="1" x14ac:dyDescent="0.2">
      <c r="A323" s="311"/>
      <c r="E323" s="311"/>
    </row>
    <row r="324" spans="1:5" outlineLevel="1" x14ac:dyDescent="0.2">
      <c r="A324" s="311"/>
      <c r="E324" s="311"/>
    </row>
    <row r="325" spans="1:5" outlineLevel="1" x14ac:dyDescent="0.2">
      <c r="A325" s="311"/>
      <c r="E325" s="311"/>
    </row>
    <row r="326" spans="1:5" outlineLevel="1" x14ac:dyDescent="0.2">
      <c r="A326" s="311"/>
      <c r="E326" s="311"/>
    </row>
    <row r="327" spans="1:5" outlineLevel="1" x14ac:dyDescent="0.2">
      <c r="A327" s="311"/>
      <c r="E327" s="311"/>
    </row>
    <row r="328" spans="1:5" outlineLevel="1" x14ac:dyDescent="0.2">
      <c r="A328" s="311"/>
      <c r="E328" s="311"/>
    </row>
    <row r="329" spans="1:5" outlineLevel="1" x14ac:dyDescent="0.2">
      <c r="A329" s="311"/>
      <c r="E329" s="311"/>
    </row>
    <row r="330" spans="1:5" outlineLevel="1" x14ac:dyDescent="0.2">
      <c r="A330" s="311"/>
      <c r="E330" s="311"/>
    </row>
    <row r="331" spans="1:5" outlineLevel="1" x14ac:dyDescent="0.2">
      <c r="A331" s="311"/>
      <c r="E331" s="311"/>
    </row>
    <row r="332" spans="1:5" outlineLevel="1" x14ac:dyDescent="0.2">
      <c r="A332" s="311"/>
      <c r="E332" s="311"/>
    </row>
    <row r="333" spans="1:5" outlineLevel="1" x14ac:dyDescent="0.2">
      <c r="A333" s="311"/>
      <c r="E333" s="311"/>
    </row>
    <row r="334" spans="1:5" outlineLevel="1" x14ac:dyDescent="0.2">
      <c r="A334" s="311"/>
      <c r="E334" s="311"/>
    </row>
    <row r="335" spans="1:5" outlineLevel="1" x14ac:dyDescent="0.2">
      <c r="A335" s="311"/>
      <c r="E335" s="311"/>
    </row>
    <row r="336" spans="1:5" outlineLevel="1" x14ac:dyDescent="0.2">
      <c r="A336" s="311"/>
      <c r="E336" s="311"/>
    </row>
    <row r="337" spans="1:5" outlineLevel="1" x14ac:dyDescent="0.2">
      <c r="A337" s="311"/>
      <c r="E337" s="311"/>
    </row>
    <row r="338" spans="1:5" outlineLevel="1" x14ac:dyDescent="0.2">
      <c r="A338" s="311"/>
      <c r="E338" s="311"/>
    </row>
    <row r="339" spans="1:5" outlineLevel="1" x14ac:dyDescent="0.2">
      <c r="A339" s="311"/>
      <c r="E339" s="311"/>
    </row>
    <row r="340" spans="1:5" outlineLevel="1" x14ac:dyDescent="0.2">
      <c r="A340" s="311"/>
      <c r="E340" s="311"/>
    </row>
    <row r="341" spans="1:5" outlineLevel="1" x14ac:dyDescent="0.2">
      <c r="A341" s="311"/>
      <c r="E341" s="311"/>
    </row>
    <row r="342" spans="1:5" outlineLevel="1" x14ac:dyDescent="0.2">
      <c r="A342" s="311"/>
      <c r="E342" s="311"/>
    </row>
    <row r="343" spans="1:5" outlineLevel="1" x14ac:dyDescent="0.2">
      <c r="A343" s="311"/>
      <c r="E343" s="311"/>
    </row>
    <row r="344" spans="1:5" outlineLevel="1" x14ac:dyDescent="0.2">
      <c r="A344" s="311"/>
      <c r="E344" s="311"/>
    </row>
    <row r="345" spans="1:5" outlineLevel="1" x14ac:dyDescent="0.2">
      <c r="A345" s="311"/>
      <c r="E345" s="311"/>
    </row>
    <row r="346" spans="1:5" outlineLevel="1" x14ac:dyDescent="0.2">
      <c r="A346" s="311"/>
      <c r="E346" s="311"/>
    </row>
    <row r="347" spans="1:5" outlineLevel="1" x14ac:dyDescent="0.2">
      <c r="A347" s="311"/>
      <c r="E347" s="311"/>
    </row>
    <row r="348" spans="1:5" outlineLevel="1" x14ac:dyDescent="0.2">
      <c r="A348" s="311"/>
      <c r="E348" s="311"/>
    </row>
    <row r="349" spans="1:5" outlineLevel="1" x14ac:dyDescent="0.2">
      <c r="A349" s="311"/>
      <c r="E349" s="311"/>
    </row>
    <row r="350" spans="1:5" outlineLevel="1" x14ac:dyDescent="0.2">
      <c r="A350" s="311"/>
      <c r="E350" s="311"/>
    </row>
    <row r="351" spans="1:5" outlineLevel="1" x14ac:dyDescent="0.2">
      <c r="A351" s="311"/>
      <c r="E351" s="311"/>
    </row>
    <row r="352" spans="1:5" outlineLevel="1" x14ac:dyDescent="0.2">
      <c r="A352" s="311"/>
      <c r="E352" s="311"/>
    </row>
    <row r="353" spans="1:5" outlineLevel="1" x14ac:dyDescent="0.2">
      <c r="A353" s="311"/>
      <c r="E353" s="311"/>
    </row>
    <row r="354" spans="1:5" outlineLevel="1" x14ac:dyDescent="0.2">
      <c r="A354" s="311"/>
      <c r="E354" s="311"/>
    </row>
    <row r="355" spans="1:5" outlineLevel="1" x14ac:dyDescent="0.2">
      <c r="A355" s="311"/>
      <c r="E355" s="311"/>
    </row>
    <row r="356" spans="1:5" outlineLevel="1" x14ac:dyDescent="0.2">
      <c r="A356" s="311"/>
      <c r="E356" s="311"/>
    </row>
    <row r="357" spans="1:5" outlineLevel="1" x14ac:dyDescent="0.2">
      <c r="A357" s="311"/>
      <c r="E357" s="311"/>
    </row>
    <row r="358" spans="1:5" outlineLevel="1" x14ac:dyDescent="0.2">
      <c r="A358" s="311"/>
      <c r="E358" s="311"/>
    </row>
    <row r="359" spans="1:5" outlineLevel="1" x14ac:dyDescent="0.2">
      <c r="A359" s="311"/>
      <c r="E359" s="311"/>
    </row>
    <row r="360" spans="1:5" outlineLevel="1" x14ac:dyDescent="0.2">
      <c r="A360" s="311"/>
      <c r="E360" s="311"/>
    </row>
    <row r="361" spans="1:5" outlineLevel="1" x14ac:dyDescent="0.2">
      <c r="A361" s="311"/>
      <c r="E361" s="311"/>
    </row>
    <row r="362" spans="1:5" outlineLevel="1" x14ac:dyDescent="0.2">
      <c r="A362" s="311"/>
      <c r="E362" s="311"/>
    </row>
    <row r="363" spans="1:5" outlineLevel="1" x14ac:dyDescent="0.2">
      <c r="A363" s="311"/>
      <c r="E363" s="311"/>
    </row>
    <row r="364" spans="1:5" outlineLevel="1" x14ac:dyDescent="0.2">
      <c r="A364" s="311"/>
      <c r="E364" s="311"/>
    </row>
    <row r="365" spans="1:5" outlineLevel="1" x14ac:dyDescent="0.2">
      <c r="A365" s="311"/>
      <c r="E365" s="311"/>
    </row>
    <row r="366" spans="1:5" outlineLevel="1" x14ac:dyDescent="0.2">
      <c r="A366" s="311"/>
      <c r="E366" s="311"/>
    </row>
    <row r="367" spans="1:5" outlineLevel="1" x14ac:dyDescent="0.2">
      <c r="A367" s="311"/>
      <c r="E367" s="311"/>
    </row>
    <row r="368" spans="1:5" outlineLevel="1" x14ac:dyDescent="0.2">
      <c r="A368" s="311"/>
      <c r="E368" s="311"/>
    </row>
    <row r="369" spans="1:5" outlineLevel="1" x14ac:dyDescent="0.2">
      <c r="A369" s="311"/>
      <c r="E369" s="311"/>
    </row>
    <row r="370" spans="1:5" outlineLevel="1" x14ac:dyDescent="0.2">
      <c r="A370" s="311"/>
      <c r="E370" s="311"/>
    </row>
    <row r="371" spans="1:5" outlineLevel="1" x14ac:dyDescent="0.2">
      <c r="A371" s="311"/>
      <c r="E371" s="311"/>
    </row>
    <row r="372" spans="1:5" outlineLevel="1" x14ac:dyDescent="0.2">
      <c r="A372" s="311"/>
      <c r="E372" s="311"/>
    </row>
    <row r="373" spans="1:5" outlineLevel="1" x14ac:dyDescent="0.2">
      <c r="A373" s="311"/>
      <c r="E373" s="311"/>
    </row>
    <row r="374" spans="1:5" outlineLevel="1" x14ac:dyDescent="0.2">
      <c r="A374" s="311"/>
      <c r="E374" s="311"/>
    </row>
    <row r="375" spans="1:5" outlineLevel="1" x14ac:dyDescent="0.2">
      <c r="A375" s="311"/>
      <c r="E375" s="311"/>
    </row>
    <row r="376" spans="1:5" outlineLevel="1" x14ac:dyDescent="0.2">
      <c r="A376" s="311"/>
      <c r="E376" s="311"/>
    </row>
    <row r="377" spans="1:5" outlineLevel="1" x14ac:dyDescent="0.2">
      <c r="A377" s="311"/>
      <c r="E377" s="311"/>
    </row>
    <row r="378" spans="1:5" outlineLevel="1" x14ac:dyDescent="0.2">
      <c r="A378" s="311"/>
      <c r="E378" s="311"/>
    </row>
    <row r="379" spans="1:5" outlineLevel="1" x14ac:dyDescent="0.2">
      <c r="A379" s="311"/>
      <c r="E379" s="311"/>
    </row>
    <row r="380" spans="1:5" outlineLevel="1" x14ac:dyDescent="0.2">
      <c r="A380" s="311"/>
      <c r="E380" s="311"/>
    </row>
    <row r="381" spans="1:5" outlineLevel="1" x14ac:dyDescent="0.2">
      <c r="A381" s="311"/>
      <c r="E381" s="311"/>
    </row>
    <row r="382" spans="1:5" outlineLevel="1" x14ac:dyDescent="0.2">
      <c r="A382" s="311"/>
      <c r="E382" s="311"/>
    </row>
    <row r="383" spans="1:5" outlineLevel="1" x14ac:dyDescent="0.2">
      <c r="A383" s="311"/>
      <c r="E383" s="311"/>
    </row>
    <row r="384" spans="1:5" outlineLevel="1" x14ac:dyDescent="0.2">
      <c r="A384" s="311"/>
      <c r="E384" s="311"/>
    </row>
    <row r="385" spans="1:5" outlineLevel="1" x14ac:dyDescent="0.2">
      <c r="A385" s="311"/>
      <c r="E385" s="311"/>
    </row>
    <row r="386" spans="1:5" outlineLevel="1" x14ac:dyDescent="0.2">
      <c r="A386" s="311"/>
      <c r="E386" s="311"/>
    </row>
    <row r="387" spans="1:5" outlineLevel="1" x14ac:dyDescent="0.2">
      <c r="A387" s="311"/>
      <c r="E387" s="311"/>
    </row>
    <row r="388" spans="1:5" outlineLevel="1" x14ac:dyDescent="0.2">
      <c r="A388" s="311"/>
      <c r="E388" s="311"/>
    </row>
    <row r="389" spans="1:5" outlineLevel="1" x14ac:dyDescent="0.2">
      <c r="A389" s="311"/>
      <c r="E389" s="311"/>
    </row>
    <row r="390" spans="1:5" outlineLevel="1" x14ac:dyDescent="0.2">
      <c r="A390" s="311"/>
      <c r="E390" s="311"/>
    </row>
    <row r="391" spans="1:5" outlineLevel="1" x14ac:dyDescent="0.2">
      <c r="A391" s="311"/>
      <c r="E391" s="311"/>
    </row>
    <row r="392" spans="1:5" outlineLevel="1" x14ac:dyDescent="0.2">
      <c r="A392" s="311"/>
      <c r="E392" s="311"/>
    </row>
    <row r="393" spans="1:5" outlineLevel="1" x14ac:dyDescent="0.2">
      <c r="A393" s="311"/>
      <c r="E393" s="311"/>
    </row>
    <row r="394" spans="1:5" outlineLevel="1" x14ac:dyDescent="0.2">
      <c r="A394" s="311"/>
      <c r="E394" s="311"/>
    </row>
    <row r="395" spans="1:5" outlineLevel="1" x14ac:dyDescent="0.2">
      <c r="A395" s="311"/>
      <c r="E395" s="311"/>
    </row>
    <row r="396" spans="1:5" outlineLevel="1" x14ac:dyDescent="0.2">
      <c r="A396" s="311"/>
      <c r="E396" s="311"/>
    </row>
    <row r="397" spans="1:5" outlineLevel="1" x14ac:dyDescent="0.2">
      <c r="A397" s="311"/>
      <c r="E397" s="311"/>
    </row>
    <row r="398" spans="1:5" outlineLevel="1" x14ac:dyDescent="0.2">
      <c r="A398" s="311"/>
      <c r="E398" s="311"/>
    </row>
    <row r="399" spans="1:5" outlineLevel="1" x14ac:dyDescent="0.2">
      <c r="A399" s="311"/>
      <c r="E399" s="311"/>
    </row>
    <row r="400" spans="1:5" outlineLevel="1" x14ac:dyDescent="0.2">
      <c r="A400" s="311"/>
      <c r="E400" s="311"/>
    </row>
    <row r="401" spans="1:5" outlineLevel="1" x14ac:dyDescent="0.2">
      <c r="A401" s="311"/>
      <c r="E401" s="311"/>
    </row>
    <row r="402" spans="1:5" outlineLevel="1" x14ac:dyDescent="0.2">
      <c r="A402" s="311"/>
      <c r="E402" s="311"/>
    </row>
    <row r="403" spans="1:5" outlineLevel="1" x14ac:dyDescent="0.2">
      <c r="A403" s="311"/>
      <c r="E403" s="311"/>
    </row>
    <row r="404" spans="1:5" outlineLevel="1" x14ac:dyDescent="0.2">
      <c r="A404" s="311"/>
      <c r="E404" s="311"/>
    </row>
    <row r="405" spans="1:5" outlineLevel="1" x14ac:dyDescent="0.2">
      <c r="A405" s="311"/>
      <c r="E405" s="311"/>
    </row>
    <row r="406" spans="1:5" outlineLevel="1" x14ac:dyDescent="0.2">
      <c r="A406" s="311"/>
      <c r="E406" s="311"/>
    </row>
    <row r="407" spans="1:5" outlineLevel="1" x14ac:dyDescent="0.2">
      <c r="A407" s="311"/>
      <c r="E407" s="311"/>
    </row>
    <row r="408" spans="1:5" outlineLevel="1" x14ac:dyDescent="0.2">
      <c r="A408" s="311"/>
      <c r="E408" s="311"/>
    </row>
    <row r="409" spans="1:5" outlineLevel="1" x14ac:dyDescent="0.2">
      <c r="A409" s="311"/>
      <c r="E409" s="311"/>
    </row>
    <row r="410" spans="1:5" outlineLevel="1" x14ac:dyDescent="0.2">
      <c r="A410" s="311"/>
      <c r="E410" s="311"/>
    </row>
    <row r="411" spans="1:5" outlineLevel="1" x14ac:dyDescent="0.2">
      <c r="A411" s="311"/>
      <c r="E411" s="311"/>
    </row>
    <row r="412" spans="1:5" outlineLevel="1" x14ac:dyDescent="0.2">
      <c r="A412" s="311"/>
      <c r="E412" s="311"/>
    </row>
    <row r="413" spans="1:5" outlineLevel="1" x14ac:dyDescent="0.2">
      <c r="A413" s="311"/>
      <c r="E413" s="311"/>
    </row>
    <row r="414" spans="1:5" outlineLevel="1" x14ac:dyDescent="0.2">
      <c r="A414" s="311"/>
      <c r="E414" s="311"/>
    </row>
    <row r="415" spans="1:5" outlineLevel="1" x14ac:dyDescent="0.2">
      <c r="A415" s="311"/>
      <c r="E415" s="311"/>
    </row>
    <row r="416" spans="1:5" outlineLevel="1" x14ac:dyDescent="0.2">
      <c r="A416" s="311"/>
      <c r="E416" s="311"/>
    </row>
    <row r="417" spans="1:5" outlineLevel="1" x14ac:dyDescent="0.2">
      <c r="A417" s="311"/>
      <c r="E417" s="311"/>
    </row>
    <row r="418" spans="1:5" outlineLevel="1" x14ac:dyDescent="0.2">
      <c r="A418" s="311"/>
      <c r="E418" s="311"/>
    </row>
    <row r="419" spans="1:5" outlineLevel="1" x14ac:dyDescent="0.2">
      <c r="A419" s="311"/>
      <c r="E419" s="311"/>
    </row>
    <row r="420" spans="1:5" outlineLevel="1" x14ac:dyDescent="0.2">
      <c r="A420" s="311"/>
      <c r="E420" s="311"/>
    </row>
    <row r="421" spans="1:5" outlineLevel="1" x14ac:dyDescent="0.2">
      <c r="A421" s="311"/>
      <c r="E421" s="311"/>
    </row>
    <row r="422" spans="1:5" outlineLevel="1" x14ac:dyDescent="0.2">
      <c r="A422" s="311"/>
      <c r="E422" s="311"/>
    </row>
    <row r="423" spans="1:5" outlineLevel="1" x14ac:dyDescent="0.2">
      <c r="A423" s="311"/>
      <c r="E423" s="311"/>
    </row>
    <row r="424" spans="1:5" outlineLevel="1" x14ac:dyDescent="0.2">
      <c r="A424" s="311"/>
      <c r="E424" s="311"/>
    </row>
    <row r="425" spans="1:5" outlineLevel="1" x14ac:dyDescent="0.2">
      <c r="A425" s="311"/>
      <c r="E425" s="311"/>
    </row>
    <row r="426" spans="1:5" outlineLevel="1" x14ac:dyDescent="0.2">
      <c r="A426" s="311"/>
      <c r="E426" s="311"/>
    </row>
    <row r="427" spans="1:5" outlineLevel="1" x14ac:dyDescent="0.2">
      <c r="A427" s="311"/>
      <c r="E427" s="311"/>
    </row>
    <row r="428" spans="1:5" outlineLevel="1" x14ac:dyDescent="0.2">
      <c r="A428" s="311"/>
      <c r="E428" s="311"/>
    </row>
    <row r="429" spans="1:5" outlineLevel="1" x14ac:dyDescent="0.2">
      <c r="A429" s="311"/>
      <c r="E429" s="311"/>
    </row>
    <row r="430" spans="1:5" outlineLevel="1" x14ac:dyDescent="0.2">
      <c r="A430" s="311"/>
      <c r="E430" s="311"/>
    </row>
    <row r="431" spans="1:5" outlineLevel="1" x14ac:dyDescent="0.2">
      <c r="A431" s="311"/>
      <c r="E431" s="311"/>
    </row>
    <row r="432" spans="1:5" outlineLevel="1" x14ac:dyDescent="0.2">
      <c r="A432" s="311"/>
      <c r="E432" s="311"/>
    </row>
    <row r="433" spans="1:5" outlineLevel="1" x14ac:dyDescent="0.2">
      <c r="A433" s="311"/>
      <c r="E433" s="311"/>
    </row>
    <row r="434" spans="1:5" outlineLevel="1" x14ac:dyDescent="0.2">
      <c r="A434" s="311"/>
      <c r="E434" s="311"/>
    </row>
    <row r="435" spans="1:5" outlineLevel="1" x14ac:dyDescent="0.2">
      <c r="A435" s="311"/>
      <c r="E435" s="311"/>
    </row>
    <row r="436" spans="1:5" outlineLevel="1" x14ac:dyDescent="0.2">
      <c r="A436" s="311"/>
      <c r="E436" s="311"/>
    </row>
    <row r="437" spans="1:5" outlineLevel="1" x14ac:dyDescent="0.2">
      <c r="A437" s="311"/>
      <c r="E437" s="311"/>
    </row>
    <row r="438" spans="1:5" outlineLevel="1" x14ac:dyDescent="0.2">
      <c r="A438" s="311"/>
      <c r="E438" s="311"/>
    </row>
    <row r="439" spans="1:5" outlineLevel="1" x14ac:dyDescent="0.2">
      <c r="A439" s="311"/>
      <c r="E439" s="311"/>
    </row>
    <row r="440" spans="1:5" outlineLevel="1" x14ac:dyDescent="0.2">
      <c r="A440" s="311"/>
      <c r="E440" s="311"/>
    </row>
    <row r="441" spans="1:5" outlineLevel="1" x14ac:dyDescent="0.2">
      <c r="A441" s="311"/>
      <c r="E441" s="311"/>
    </row>
    <row r="442" spans="1:5" outlineLevel="1" x14ac:dyDescent="0.2">
      <c r="A442" s="311"/>
      <c r="E442" s="311"/>
    </row>
    <row r="443" spans="1:5" outlineLevel="1" x14ac:dyDescent="0.2">
      <c r="A443" s="311"/>
      <c r="E443" s="311"/>
    </row>
    <row r="444" spans="1:5" outlineLevel="1" x14ac:dyDescent="0.2">
      <c r="A444" s="311"/>
      <c r="E444" s="311"/>
    </row>
    <row r="445" spans="1:5" outlineLevel="1" x14ac:dyDescent="0.2">
      <c r="A445" s="311"/>
      <c r="E445" s="311"/>
    </row>
    <row r="446" spans="1:5" outlineLevel="1" x14ac:dyDescent="0.2">
      <c r="A446" s="311"/>
      <c r="E446" s="311"/>
    </row>
    <row r="447" spans="1:5" outlineLevel="1" x14ac:dyDescent="0.2">
      <c r="A447" s="311"/>
      <c r="E447" s="311"/>
    </row>
    <row r="448" spans="1:5" outlineLevel="1" x14ac:dyDescent="0.2">
      <c r="A448" s="311"/>
      <c r="E448" s="311"/>
    </row>
    <row r="449" spans="1:5" outlineLevel="1" x14ac:dyDescent="0.2">
      <c r="A449" s="311"/>
      <c r="E449" s="311"/>
    </row>
    <row r="450" spans="1:5" outlineLevel="1" x14ac:dyDescent="0.2">
      <c r="A450" s="311"/>
      <c r="E450" s="311"/>
    </row>
    <row r="451" spans="1:5" outlineLevel="1" x14ac:dyDescent="0.2">
      <c r="A451" s="311"/>
      <c r="E451" s="311"/>
    </row>
    <row r="452" spans="1:5" outlineLevel="1" x14ac:dyDescent="0.2">
      <c r="A452" s="311"/>
      <c r="E452" s="311"/>
    </row>
    <row r="453" spans="1:5" outlineLevel="1" x14ac:dyDescent="0.2">
      <c r="A453" s="311"/>
      <c r="E453" s="311"/>
    </row>
    <row r="454" spans="1:5" outlineLevel="1" x14ac:dyDescent="0.2">
      <c r="A454" s="311"/>
      <c r="E454" s="311"/>
    </row>
    <row r="455" spans="1:5" outlineLevel="1" x14ac:dyDescent="0.2">
      <c r="A455" s="311"/>
      <c r="E455" s="311"/>
    </row>
    <row r="456" spans="1:5" outlineLevel="1" x14ac:dyDescent="0.2">
      <c r="A456" s="311"/>
      <c r="E456" s="311"/>
    </row>
    <row r="457" spans="1:5" outlineLevel="1" x14ac:dyDescent="0.2">
      <c r="A457" s="311"/>
      <c r="E457" s="311"/>
    </row>
    <row r="458" spans="1:5" outlineLevel="1" x14ac:dyDescent="0.2">
      <c r="A458" s="311"/>
      <c r="E458" s="311"/>
    </row>
    <row r="459" spans="1:5" outlineLevel="1" x14ac:dyDescent="0.2">
      <c r="A459" s="311"/>
      <c r="E459" s="311"/>
    </row>
    <row r="460" spans="1:5" outlineLevel="1" x14ac:dyDescent="0.2">
      <c r="A460" s="311"/>
      <c r="E460" s="311"/>
    </row>
    <row r="461" spans="1:5" outlineLevel="1" x14ac:dyDescent="0.2">
      <c r="A461" s="311"/>
      <c r="E461" s="311"/>
    </row>
    <row r="462" spans="1:5" outlineLevel="1" x14ac:dyDescent="0.2">
      <c r="A462" s="311"/>
      <c r="E462" s="311"/>
    </row>
    <row r="463" spans="1:5" outlineLevel="1" x14ac:dyDescent="0.2">
      <c r="A463" s="311"/>
      <c r="E463" s="311"/>
    </row>
    <row r="464" spans="1:5" outlineLevel="1" x14ac:dyDescent="0.2">
      <c r="A464" s="311"/>
      <c r="E464" s="311"/>
    </row>
    <row r="465" spans="1:5" outlineLevel="1" x14ac:dyDescent="0.2">
      <c r="A465" s="311"/>
      <c r="E465" s="311"/>
    </row>
    <row r="466" spans="1:5" outlineLevel="1" x14ac:dyDescent="0.2">
      <c r="A466" s="311"/>
      <c r="E466" s="311"/>
    </row>
    <row r="467" spans="1:5" outlineLevel="1" x14ac:dyDescent="0.2">
      <c r="A467" s="311"/>
      <c r="E467" s="311"/>
    </row>
    <row r="468" spans="1:5" outlineLevel="1" x14ac:dyDescent="0.2">
      <c r="A468" s="311"/>
      <c r="E468" s="311"/>
    </row>
    <row r="469" spans="1:5" outlineLevel="1" x14ac:dyDescent="0.2">
      <c r="A469" s="311"/>
      <c r="E469" s="311"/>
    </row>
    <row r="470" spans="1:5" outlineLevel="1" x14ac:dyDescent="0.2">
      <c r="A470" s="311"/>
      <c r="E470" s="311"/>
    </row>
    <row r="471" spans="1:5" outlineLevel="1" x14ac:dyDescent="0.2">
      <c r="A471" s="311"/>
      <c r="E471" s="311"/>
    </row>
    <row r="472" spans="1:5" outlineLevel="1" x14ac:dyDescent="0.2">
      <c r="A472" s="311"/>
      <c r="E472" s="311"/>
    </row>
    <row r="473" spans="1:5" outlineLevel="1" x14ac:dyDescent="0.2">
      <c r="A473" s="311"/>
      <c r="E473" s="311"/>
    </row>
    <row r="474" spans="1:5" outlineLevel="1" x14ac:dyDescent="0.2">
      <c r="A474" s="311"/>
      <c r="E474" s="311"/>
    </row>
    <row r="475" spans="1:5" outlineLevel="1" x14ac:dyDescent="0.2">
      <c r="A475" s="311"/>
      <c r="E475" s="311"/>
    </row>
    <row r="476" spans="1:5" outlineLevel="1" x14ac:dyDescent="0.2">
      <c r="A476" s="311"/>
      <c r="E476" s="311"/>
    </row>
    <row r="477" spans="1:5" outlineLevel="1" x14ac:dyDescent="0.2">
      <c r="A477" s="311"/>
      <c r="E477" s="311"/>
    </row>
    <row r="478" spans="1:5" outlineLevel="1" x14ac:dyDescent="0.2">
      <c r="A478" s="311"/>
      <c r="E478" s="311"/>
    </row>
    <row r="479" spans="1:5" outlineLevel="1" x14ac:dyDescent="0.2">
      <c r="A479" s="311"/>
      <c r="E479" s="311"/>
    </row>
    <row r="480" spans="1:5" outlineLevel="1" x14ac:dyDescent="0.2">
      <c r="A480" s="311"/>
      <c r="E480" s="311"/>
    </row>
    <row r="481" spans="1:5" outlineLevel="1" x14ac:dyDescent="0.2">
      <c r="A481" s="311"/>
      <c r="E481" s="311"/>
    </row>
    <row r="482" spans="1:5" outlineLevel="1" x14ac:dyDescent="0.2">
      <c r="A482" s="311"/>
      <c r="E482" s="311"/>
    </row>
    <row r="483" spans="1:5" outlineLevel="1" x14ac:dyDescent="0.2">
      <c r="A483" s="311"/>
      <c r="E483" s="311"/>
    </row>
    <row r="484" spans="1:5" outlineLevel="1" x14ac:dyDescent="0.2">
      <c r="A484" s="311"/>
      <c r="E484" s="311"/>
    </row>
    <row r="485" spans="1:5" outlineLevel="1" x14ac:dyDescent="0.2">
      <c r="A485" s="311"/>
      <c r="E485" s="311"/>
    </row>
    <row r="486" spans="1:5" outlineLevel="1" x14ac:dyDescent="0.2">
      <c r="A486" s="311"/>
      <c r="E486" s="311"/>
    </row>
    <row r="487" spans="1:5" outlineLevel="1" x14ac:dyDescent="0.2">
      <c r="A487" s="311"/>
      <c r="E487" s="311"/>
    </row>
    <row r="488" spans="1:5" outlineLevel="1" x14ac:dyDescent="0.2">
      <c r="A488" s="311"/>
      <c r="E488" s="311"/>
    </row>
    <row r="489" spans="1:5" outlineLevel="1" x14ac:dyDescent="0.2">
      <c r="A489" s="311"/>
      <c r="E489" s="311"/>
    </row>
    <row r="490" spans="1:5" outlineLevel="1" x14ac:dyDescent="0.2">
      <c r="A490" s="311"/>
      <c r="E490" s="311"/>
    </row>
    <row r="491" spans="1:5" outlineLevel="1" x14ac:dyDescent="0.2">
      <c r="A491" s="311"/>
      <c r="E491" s="311"/>
    </row>
    <row r="492" spans="1:5" outlineLevel="1" x14ac:dyDescent="0.2">
      <c r="A492" s="311"/>
      <c r="E492" s="311"/>
    </row>
    <row r="493" spans="1:5" outlineLevel="1" x14ac:dyDescent="0.2">
      <c r="A493" s="311"/>
      <c r="E493" s="311"/>
    </row>
    <row r="494" spans="1:5" outlineLevel="1" x14ac:dyDescent="0.2">
      <c r="A494" s="311"/>
      <c r="E494" s="311"/>
    </row>
    <row r="495" spans="1:5" outlineLevel="1" x14ac:dyDescent="0.2">
      <c r="A495" s="311"/>
      <c r="E495" s="311"/>
    </row>
    <row r="496" spans="1:5" outlineLevel="1" x14ac:dyDescent="0.2">
      <c r="A496" s="311"/>
      <c r="E496" s="311"/>
    </row>
    <row r="497" spans="1:5" outlineLevel="1" x14ac:dyDescent="0.2">
      <c r="A497" s="311"/>
      <c r="E497" s="311"/>
    </row>
    <row r="498" spans="1:5" outlineLevel="1" x14ac:dyDescent="0.2">
      <c r="A498" s="311"/>
      <c r="E498" s="311"/>
    </row>
    <row r="499" spans="1:5" outlineLevel="1" x14ac:dyDescent="0.2">
      <c r="A499" s="311"/>
      <c r="E499" s="311"/>
    </row>
    <row r="500" spans="1:5" outlineLevel="1" x14ac:dyDescent="0.2">
      <c r="A500" s="311"/>
      <c r="E500" s="311"/>
    </row>
    <row r="501" spans="1:5" outlineLevel="1" x14ac:dyDescent="0.2">
      <c r="A501" s="311"/>
      <c r="E501" s="311"/>
    </row>
    <row r="502" spans="1:5" outlineLevel="1" x14ac:dyDescent="0.2">
      <c r="A502" s="311"/>
      <c r="E502" s="311"/>
    </row>
    <row r="503" spans="1:5" outlineLevel="1" x14ac:dyDescent="0.2">
      <c r="A503" s="311"/>
      <c r="E503" s="311"/>
    </row>
    <row r="504" spans="1:5" outlineLevel="1" x14ac:dyDescent="0.2">
      <c r="A504" s="311"/>
      <c r="E504" s="311"/>
    </row>
    <row r="505" spans="1:5" outlineLevel="1" x14ac:dyDescent="0.2">
      <c r="A505" s="311"/>
      <c r="E505" s="311"/>
    </row>
    <row r="506" spans="1:5" outlineLevel="1" x14ac:dyDescent="0.2">
      <c r="A506" s="311"/>
      <c r="E506" s="311"/>
    </row>
    <row r="507" spans="1:5" outlineLevel="1" x14ac:dyDescent="0.2">
      <c r="A507" s="311"/>
      <c r="E507" s="311"/>
    </row>
    <row r="508" spans="1:5" outlineLevel="1" x14ac:dyDescent="0.2">
      <c r="A508" s="311"/>
      <c r="E508" s="311"/>
    </row>
    <row r="509" spans="1:5" outlineLevel="1" x14ac:dyDescent="0.2">
      <c r="A509" s="311"/>
      <c r="E509" s="311"/>
    </row>
    <row r="510" spans="1:5" outlineLevel="1" x14ac:dyDescent="0.2">
      <c r="A510" s="311"/>
      <c r="E510" s="311"/>
    </row>
    <row r="511" spans="1:5" outlineLevel="1" x14ac:dyDescent="0.2">
      <c r="A511" s="311"/>
      <c r="E511" s="311"/>
    </row>
    <row r="512" spans="1:5" outlineLevel="1" x14ac:dyDescent="0.2">
      <c r="A512" s="311"/>
      <c r="E512" s="311"/>
    </row>
    <row r="513" spans="1:5" outlineLevel="1" x14ac:dyDescent="0.2">
      <c r="A513" s="311"/>
      <c r="E513" s="311"/>
    </row>
    <row r="514" spans="1:5" outlineLevel="1" x14ac:dyDescent="0.2">
      <c r="A514" s="311"/>
      <c r="E514" s="311"/>
    </row>
    <row r="515" spans="1:5" outlineLevel="1" x14ac:dyDescent="0.2">
      <c r="A515" s="311"/>
      <c r="E515" s="311"/>
    </row>
    <row r="516" spans="1:5" outlineLevel="1" x14ac:dyDescent="0.2">
      <c r="A516" s="311"/>
      <c r="E516" s="311"/>
    </row>
    <row r="517" spans="1:5" outlineLevel="1" x14ac:dyDescent="0.2">
      <c r="A517" s="311"/>
      <c r="E517" s="311"/>
    </row>
    <row r="518" spans="1:5" outlineLevel="1" x14ac:dyDescent="0.2">
      <c r="A518" s="311"/>
      <c r="E518" s="311"/>
    </row>
    <row r="519" spans="1:5" outlineLevel="1" x14ac:dyDescent="0.2">
      <c r="A519" s="311"/>
      <c r="E519" s="311"/>
    </row>
    <row r="520" spans="1:5" outlineLevel="1" x14ac:dyDescent="0.2">
      <c r="A520" s="311"/>
      <c r="E520" s="311"/>
    </row>
    <row r="521" spans="1:5" outlineLevel="1" x14ac:dyDescent="0.2">
      <c r="A521" s="311"/>
      <c r="E521" s="311"/>
    </row>
    <row r="522" spans="1:5" outlineLevel="1" x14ac:dyDescent="0.2">
      <c r="A522" s="311"/>
      <c r="E522" s="311"/>
    </row>
    <row r="523" spans="1:5" outlineLevel="1" x14ac:dyDescent="0.2">
      <c r="A523" s="311"/>
      <c r="E523" s="311"/>
    </row>
    <row r="524" spans="1:5" outlineLevel="1" x14ac:dyDescent="0.2">
      <c r="A524" s="311"/>
      <c r="E524" s="311"/>
    </row>
    <row r="525" spans="1:5" outlineLevel="1" x14ac:dyDescent="0.2">
      <c r="A525" s="311"/>
      <c r="E525" s="311"/>
    </row>
    <row r="526" spans="1:5" outlineLevel="1" x14ac:dyDescent="0.2">
      <c r="A526" s="311"/>
      <c r="E526" s="311"/>
    </row>
    <row r="527" spans="1:5" outlineLevel="1" x14ac:dyDescent="0.2">
      <c r="A527" s="311"/>
      <c r="E527" s="311"/>
    </row>
    <row r="528" spans="1:5" outlineLevel="1" x14ac:dyDescent="0.2">
      <c r="A528" s="311"/>
      <c r="E528" s="311"/>
    </row>
    <row r="529" spans="1:5" outlineLevel="1" x14ac:dyDescent="0.2">
      <c r="A529" s="311"/>
      <c r="E529" s="311"/>
    </row>
    <row r="530" spans="1:5" outlineLevel="1" x14ac:dyDescent="0.2">
      <c r="A530" s="311"/>
      <c r="E530" s="311"/>
    </row>
    <row r="531" spans="1:5" outlineLevel="1" x14ac:dyDescent="0.2">
      <c r="A531" s="311"/>
      <c r="E531" s="311"/>
    </row>
    <row r="532" spans="1:5" outlineLevel="1" x14ac:dyDescent="0.2">
      <c r="A532" s="311"/>
      <c r="E532" s="311"/>
    </row>
    <row r="533" spans="1:5" outlineLevel="1" x14ac:dyDescent="0.2">
      <c r="A533" s="311"/>
      <c r="E533" s="311"/>
    </row>
    <row r="534" spans="1:5" outlineLevel="1" x14ac:dyDescent="0.2">
      <c r="A534" s="311"/>
      <c r="E534" s="311"/>
    </row>
    <row r="535" spans="1:5" outlineLevel="1" x14ac:dyDescent="0.2">
      <c r="A535" s="311"/>
      <c r="E535" s="311"/>
    </row>
    <row r="536" spans="1:5" outlineLevel="1" x14ac:dyDescent="0.2">
      <c r="A536" s="311"/>
      <c r="E536" s="311"/>
    </row>
    <row r="537" spans="1:5" outlineLevel="1" x14ac:dyDescent="0.2">
      <c r="A537" s="311"/>
      <c r="E537" s="311"/>
    </row>
    <row r="538" spans="1:5" outlineLevel="1" x14ac:dyDescent="0.2">
      <c r="A538" s="311"/>
      <c r="E538" s="311"/>
    </row>
    <row r="539" spans="1:5" outlineLevel="1" x14ac:dyDescent="0.2">
      <c r="A539" s="311"/>
      <c r="E539" s="311"/>
    </row>
    <row r="540" spans="1:5" outlineLevel="1" x14ac:dyDescent="0.2">
      <c r="A540" s="311"/>
      <c r="E540" s="311"/>
    </row>
    <row r="541" spans="1:5" outlineLevel="1" x14ac:dyDescent="0.2">
      <c r="A541" s="311"/>
      <c r="E541" s="311"/>
    </row>
    <row r="542" spans="1:5" outlineLevel="1" x14ac:dyDescent="0.2">
      <c r="A542" s="311"/>
      <c r="E542" s="311"/>
    </row>
    <row r="543" spans="1:5" outlineLevel="1" x14ac:dyDescent="0.2">
      <c r="A543" s="311"/>
      <c r="E543" s="311"/>
    </row>
    <row r="544" spans="1:5" outlineLevel="1" x14ac:dyDescent="0.2">
      <c r="A544" s="311"/>
      <c r="E544" s="311"/>
    </row>
    <row r="545" spans="1:5" outlineLevel="1" x14ac:dyDescent="0.2">
      <c r="A545" s="311"/>
      <c r="E545" s="311"/>
    </row>
    <row r="546" spans="1:5" outlineLevel="1" x14ac:dyDescent="0.2">
      <c r="A546" s="311"/>
      <c r="E546" s="311"/>
    </row>
    <row r="547" spans="1:5" outlineLevel="1" x14ac:dyDescent="0.2">
      <c r="A547" s="311"/>
      <c r="E547" s="311"/>
    </row>
    <row r="548" spans="1:5" outlineLevel="1" x14ac:dyDescent="0.2">
      <c r="A548" s="311"/>
      <c r="E548" s="311"/>
    </row>
    <row r="549" spans="1:5" outlineLevel="1" x14ac:dyDescent="0.2">
      <c r="A549" s="311"/>
      <c r="E549" s="311"/>
    </row>
    <row r="550" spans="1:5" outlineLevel="1" x14ac:dyDescent="0.2">
      <c r="A550" s="311"/>
      <c r="E550" s="311"/>
    </row>
    <row r="551" spans="1:5" outlineLevel="1" x14ac:dyDescent="0.2">
      <c r="A551" s="311"/>
      <c r="E551" s="311"/>
    </row>
    <row r="552" spans="1:5" outlineLevel="1" x14ac:dyDescent="0.2">
      <c r="A552" s="311"/>
      <c r="E552" s="311"/>
    </row>
    <row r="553" spans="1:5" outlineLevel="1" x14ac:dyDescent="0.2">
      <c r="A553" s="311"/>
      <c r="E553" s="311"/>
    </row>
    <row r="554" spans="1:5" outlineLevel="1" x14ac:dyDescent="0.2">
      <c r="A554" s="311"/>
      <c r="E554" s="311"/>
    </row>
    <row r="555" spans="1:5" outlineLevel="1" x14ac:dyDescent="0.2">
      <c r="A555" s="311"/>
      <c r="E555" s="311"/>
    </row>
    <row r="556" spans="1:5" outlineLevel="1" x14ac:dyDescent="0.2">
      <c r="A556" s="311"/>
      <c r="E556" s="311"/>
    </row>
    <row r="557" spans="1:5" outlineLevel="1" x14ac:dyDescent="0.2">
      <c r="A557" s="311"/>
      <c r="E557" s="311"/>
    </row>
    <row r="558" spans="1:5" outlineLevel="1" x14ac:dyDescent="0.2">
      <c r="A558" s="311"/>
      <c r="E558" s="311"/>
    </row>
    <row r="559" spans="1:5" outlineLevel="1" x14ac:dyDescent="0.2">
      <c r="A559" s="311"/>
      <c r="E559" s="311"/>
    </row>
    <row r="560" spans="1:5" outlineLevel="1" x14ac:dyDescent="0.2">
      <c r="A560" s="311"/>
      <c r="E560" s="311"/>
    </row>
    <row r="561" spans="1:5" outlineLevel="1" x14ac:dyDescent="0.2">
      <c r="A561" s="311"/>
      <c r="E561" s="311"/>
    </row>
    <row r="562" spans="1:5" outlineLevel="1" x14ac:dyDescent="0.2">
      <c r="A562" s="311"/>
      <c r="E562" s="311"/>
    </row>
    <row r="563" spans="1:5" outlineLevel="1" x14ac:dyDescent="0.2">
      <c r="A563" s="311"/>
      <c r="E563" s="311"/>
    </row>
    <row r="564" spans="1:5" outlineLevel="1" x14ac:dyDescent="0.2">
      <c r="A564" s="311"/>
      <c r="E564" s="311"/>
    </row>
    <row r="565" spans="1:5" outlineLevel="1" x14ac:dyDescent="0.2">
      <c r="A565" s="311"/>
      <c r="E565" s="311"/>
    </row>
    <row r="566" spans="1:5" outlineLevel="1" x14ac:dyDescent="0.2">
      <c r="A566" s="311"/>
      <c r="E566" s="311"/>
    </row>
    <row r="567" spans="1:5" outlineLevel="1" x14ac:dyDescent="0.2">
      <c r="A567" s="311"/>
      <c r="E567" s="311"/>
    </row>
    <row r="568" spans="1:5" outlineLevel="1" x14ac:dyDescent="0.2">
      <c r="A568" s="311"/>
      <c r="E568" s="311"/>
    </row>
    <row r="569" spans="1:5" outlineLevel="1" x14ac:dyDescent="0.2">
      <c r="A569" s="311"/>
      <c r="E569" s="311"/>
    </row>
    <row r="570" spans="1:5" outlineLevel="1" x14ac:dyDescent="0.2">
      <c r="A570" s="311"/>
      <c r="E570" s="311"/>
    </row>
    <row r="571" spans="1:5" outlineLevel="1" x14ac:dyDescent="0.2">
      <c r="A571" s="311"/>
      <c r="E571" s="311"/>
    </row>
    <row r="572" spans="1:5" outlineLevel="1" x14ac:dyDescent="0.2">
      <c r="A572" s="311"/>
      <c r="E572" s="311"/>
    </row>
    <row r="573" spans="1:5" outlineLevel="1" x14ac:dyDescent="0.2">
      <c r="A573" s="311"/>
      <c r="E573" s="311"/>
    </row>
    <row r="574" spans="1:5" outlineLevel="1" x14ac:dyDescent="0.2">
      <c r="A574" s="311"/>
      <c r="E574" s="311"/>
    </row>
    <row r="575" spans="1:5" outlineLevel="1" x14ac:dyDescent="0.2">
      <c r="A575" s="311"/>
      <c r="E575" s="311"/>
    </row>
    <row r="576" spans="1:5" outlineLevel="1" x14ac:dyDescent="0.2">
      <c r="A576" s="311"/>
      <c r="E576" s="311"/>
    </row>
    <row r="577" spans="1:5" outlineLevel="1" x14ac:dyDescent="0.2">
      <c r="A577" s="311"/>
      <c r="E577" s="311"/>
    </row>
    <row r="578" spans="1:5" outlineLevel="1" x14ac:dyDescent="0.2">
      <c r="A578" s="311"/>
      <c r="E578" s="311"/>
    </row>
    <row r="579" spans="1:5" outlineLevel="1" x14ac:dyDescent="0.2">
      <c r="A579" s="311"/>
      <c r="E579" s="311"/>
    </row>
    <row r="580" spans="1:5" outlineLevel="1" x14ac:dyDescent="0.2">
      <c r="A580" s="311"/>
      <c r="E580" s="311"/>
    </row>
    <row r="581" spans="1:5" outlineLevel="1" x14ac:dyDescent="0.2">
      <c r="A581" s="311"/>
      <c r="E581" s="311"/>
    </row>
    <row r="582" spans="1:5" outlineLevel="1" x14ac:dyDescent="0.2">
      <c r="A582" s="311"/>
      <c r="E582" s="311"/>
    </row>
    <row r="583" spans="1:5" outlineLevel="1" x14ac:dyDescent="0.2">
      <c r="A583" s="311"/>
      <c r="E583" s="311"/>
    </row>
    <row r="584" spans="1:5" outlineLevel="1" x14ac:dyDescent="0.2">
      <c r="A584" s="311"/>
      <c r="E584" s="311"/>
    </row>
    <row r="585" spans="1:5" outlineLevel="1" x14ac:dyDescent="0.2">
      <c r="A585" s="311"/>
      <c r="E585" s="311"/>
    </row>
    <row r="586" spans="1:5" outlineLevel="1" x14ac:dyDescent="0.2">
      <c r="A586" s="311"/>
      <c r="E586" s="311"/>
    </row>
    <row r="587" spans="1:5" outlineLevel="1" x14ac:dyDescent="0.2">
      <c r="A587" s="311"/>
      <c r="E587" s="311"/>
    </row>
    <row r="588" spans="1:5" outlineLevel="1" x14ac:dyDescent="0.2">
      <c r="A588" s="311"/>
      <c r="E588" s="311"/>
    </row>
    <row r="589" spans="1:5" outlineLevel="1" x14ac:dyDescent="0.2">
      <c r="A589" s="311"/>
      <c r="E589" s="311"/>
    </row>
    <row r="590" spans="1:5" outlineLevel="1" x14ac:dyDescent="0.2">
      <c r="A590" s="311"/>
      <c r="E590" s="311"/>
    </row>
    <row r="591" spans="1:5" outlineLevel="1" x14ac:dyDescent="0.2">
      <c r="A591" s="311"/>
      <c r="E591" s="311"/>
    </row>
    <row r="592" spans="1:5" outlineLevel="1" x14ac:dyDescent="0.2">
      <c r="A592" s="311"/>
      <c r="E592" s="311"/>
    </row>
    <row r="593" spans="1:5" outlineLevel="1" x14ac:dyDescent="0.2">
      <c r="A593" s="311"/>
      <c r="E593" s="311"/>
    </row>
    <row r="594" spans="1:5" outlineLevel="1" x14ac:dyDescent="0.2">
      <c r="A594" s="311"/>
      <c r="E594" s="311"/>
    </row>
    <row r="595" spans="1:5" outlineLevel="1" x14ac:dyDescent="0.2">
      <c r="A595" s="311"/>
      <c r="E595" s="311"/>
    </row>
    <row r="596" spans="1:5" outlineLevel="1" x14ac:dyDescent="0.2">
      <c r="A596" s="311"/>
      <c r="E596" s="311"/>
    </row>
    <row r="597" spans="1:5" outlineLevel="1" x14ac:dyDescent="0.2">
      <c r="A597" s="311"/>
      <c r="E597" s="311"/>
    </row>
    <row r="598" spans="1:5" outlineLevel="1" x14ac:dyDescent="0.2">
      <c r="A598" s="311"/>
      <c r="E598" s="311"/>
    </row>
    <row r="599" spans="1:5" outlineLevel="1" x14ac:dyDescent="0.2">
      <c r="A599" s="311"/>
      <c r="E599" s="311"/>
    </row>
    <row r="600" spans="1:5" outlineLevel="1" x14ac:dyDescent="0.2">
      <c r="A600" s="311"/>
      <c r="E600" s="311"/>
    </row>
    <row r="601" spans="1:5" outlineLevel="1" x14ac:dyDescent="0.2">
      <c r="A601" s="311"/>
      <c r="E601" s="311"/>
    </row>
    <row r="602" spans="1:5" outlineLevel="1" x14ac:dyDescent="0.2">
      <c r="A602" s="311"/>
      <c r="E602" s="311"/>
    </row>
    <row r="603" spans="1:5" outlineLevel="1" x14ac:dyDescent="0.2">
      <c r="A603" s="311"/>
      <c r="E603" s="311"/>
    </row>
    <row r="604" spans="1:5" outlineLevel="1" x14ac:dyDescent="0.2">
      <c r="A604" s="311"/>
      <c r="E604" s="311"/>
    </row>
    <row r="605" spans="1:5" outlineLevel="1" x14ac:dyDescent="0.2">
      <c r="A605" s="311"/>
      <c r="E605" s="311"/>
    </row>
    <row r="606" spans="1:5" outlineLevel="1" x14ac:dyDescent="0.2">
      <c r="A606" s="311"/>
      <c r="E606" s="311"/>
    </row>
    <row r="607" spans="1:5" outlineLevel="1" x14ac:dyDescent="0.2">
      <c r="A607" s="311"/>
      <c r="E607" s="311"/>
    </row>
    <row r="608" spans="1:5" outlineLevel="1" x14ac:dyDescent="0.2">
      <c r="A608" s="311"/>
      <c r="E608" s="311"/>
    </row>
    <row r="609" spans="1:5" outlineLevel="1" x14ac:dyDescent="0.2">
      <c r="A609" s="311"/>
      <c r="E609" s="311"/>
    </row>
    <row r="610" spans="1:5" outlineLevel="1" x14ac:dyDescent="0.2">
      <c r="A610" s="311"/>
      <c r="E610" s="311"/>
    </row>
    <row r="611" spans="1:5" outlineLevel="1" x14ac:dyDescent="0.2">
      <c r="A611" s="311"/>
      <c r="E611" s="311"/>
    </row>
    <row r="612" spans="1:5" outlineLevel="1" x14ac:dyDescent="0.2">
      <c r="A612" s="311"/>
      <c r="E612" s="311"/>
    </row>
    <row r="613" spans="1:5" outlineLevel="1" x14ac:dyDescent="0.2">
      <c r="A613" s="311"/>
      <c r="E613" s="311"/>
    </row>
    <row r="614" spans="1:5" outlineLevel="1" x14ac:dyDescent="0.2">
      <c r="A614" s="311"/>
      <c r="E614" s="311"/>
    </row>
    <row r="615" spans="1:5" outlineLevel="1" x14ac:dyDescent="0.2">
      <c r="A615" s="311"/>
      <c r="E615" s="311"/>
    </row>
    <row r="616" spans="1:5" outlineLevel="1" x14ac:dyDescent="0.2">
      <c r="A616" s="311"/>
      <c r="E616" s="311"/>
    </row>
    <row r="617" spans="1:5" outlineLevel="1" x14ac:dyDescent="0.2">
      <c r="A617" s="311"/>
      <c r="E617" s="311"/>
    </row>
    <row r="618" spans="1:5" outlineLevel="1" x14ac:dyDescent="0.2">
      <c r="A618" s="311"/>
      <c r="E618" s="311"/>
    </row>
    <row r="619" spans="1:5" outlineLevel="1" x14ac:dyDescent="0.2">
      <c r="A619" s="311"/>
      <c r="E619" s="311"/>
    </row>
    <row r="620" spans="1:5" outlineLevel="1" x14ac:dyDescent="0.2">
      <c r="A620" s="311"/>
      <c r="E620" s="311"/>
    </row>
    <row r="621" spans="1:5" outlineLevel="1" x14ac:dyDescent="0.2">
      <c r="A621" s="311"/>
      <c r="E621" s="311"/>
    </row>
    <row r="622" spans="1:5" outlineLevel="1" x14ac:dyDescent="0.2">
      <c r="A622" s="311"/>
      <c r="E622" s="311"/>
    </row>
    <row r="623" spans="1:5" outlineLevel="1" x14ac:dyDescent="0.2">
      <c r="A623" s="311"/>
      <c r="E623" s="311"/>
    </row>
    <row r="624" spans="1:5" outlineLevel="1" x14ac:dyDescent="0.2">
      <c r="A624" s="311"/>
      <c r="E624" s="311"/>
    </row>
    <row r="625" spans="1:5" outlineLevel="1" x14ac:dyDescent="0.2">
      <c r="A625" s="311"/>
      <c r="E625" s="311"/>
    </row>
    <row r="626" spans="1:5" outlineLevel="1" x14ac:dyDescent="0.2">
      <c r="A626" s="311"/>
      <c r="E626" s="311"/>
    </row>
    <row r="627" spans="1:5" outlineLevel="1" x14ac:dyDescent="0.2">
      <c r="A627" s="311"/>
      <c r="E627" s="311"/>
    </row>
    <row r="628" spans="1:5" outlineLevel="1" x14ac:dyDescent="0.2">
      <c r="A628" s="311"/>
      <c r="E628" s="311"/>
    </row>
    <row r="629" spans="1:5" outlineLevel="1" x14ac:dyDescent="0.2">
      <c r="A629" s="311"/>
      <c r="E629" s="311"/>
    </row>
    <row r="630" spans="1:5" outlineLevel="1" x14ac:dyDescent="0.2">
      <c r="A630" s="311"/>
      <c r="E630" s="311"/>
    </row>
    <row r="631" spans="1:5" outlineLevel="1" x14ac:dyDescent="0.2">
      <c r="A631" s="311"/>
      <c r="E631" s="311"/>
    </row>
    <row r="632" spans="1:5" outlineLevel="1" x14ac:dyDescent="0.2">
      <c r="A632" s="311"/>
      <c r="E632" s="311"/>
    </row>
    <row r="633" spans="1:5" outlineLevel="1" x14ac:dyDescent="0.2">
      <c r="A633" s="311"/>
      <c r="E633" s="311"/>
    </row>
    <row r="634" spans="1:5" outlineLevel="1" x14ac:dyDescent="0.2">
      <c r="A634" s="311"/>
      <c r="E634" s="311"/>
    </row>
    <row r="635" spans="1:5" outlineLevel="1" x14ac:dyDescent="0.2">
      <c r="A635" s="311"/>
      <c r="E635" s="311"/>
    </row>
    <row r="636" spans="1:5" outlineLevel="1" x14ac:dyDescent="0.2">
      <c r="A636" s="311"/>
      <c r="E636" s="311"/>
    </row>
    <row r="637" spans="1:5" outlineLevel="1" x14ac:dyDescent="0.2">
      <c r="A637" s="311"/>
      <c r="E637" s="311"/>
    </row>
    <row r="638" spans="1:5" outlineLevel="1" x14ac:dyDescent="0.2">
      <c r="A638" s="311"/>
      <c r="E638" s="311"/>
    </row>
    <row r="639" spans="1:5" outlineLevel="1" x14ac:dyDescent="0.2">
      <c r="A639" s="311"/>
      <c r="E639" s="311"/>
    </row>
    <row r="640" spans="1:5" outlineLevel="1" x14ac:dyDescent="0.2">
      <c r="A640" s="311"/>
      <c r="E640" s="311"/>
    </row>
    <row r="641" spans="1:5" outlineLevel="1" x14ac:dyDescent="0.2">
      <c r="A641" s="311"/>
      <c r="E641" s="311"/>
    </row>
    <row r="642" spans="1:5" outlineLevel="1" x14ac:dyDescent="0.2">
      <c r="A642" s="311"/>
      <c r="E642" s="311"/>
    </row>
    <row r="643" spans="1:5" outlineLevel="1" x14ac:dyDescent="0.2">
      <c r="A643" s="311"/>
      <c r="E643" s="311"/>
    </row>
    <row r="644" spans="1:5" outlineLevel="1" x14ac:dyDescent="0.2">
      <c r="A644" s="311"/>
      <c r="E644" s="311"/>
    </row>
    <row r="645" spans="1:5" outlineLevel="1" x14ac:dyDescent="0.2">
      <c r="A645" s="311"/>
      <c r="E645" s="311"/>
    </row>
    <row r="646" spans="1:5" outlineLevel="1" x14ac:dyDescent="0.2">
      <c r="A646" s="311"/>
      <c r="E646" s="311"/>
    </row>
    <row r="647" spans="1:5" outlineLevel="1" x14ac:dyDescent="0.2">
      <c r="A647" s="311"/>
      <c r="E647" s="311"/>
    </row>
    <row r="648" spans="1:5" outlineLevel="1" x14ac:dyDescent="0.2">
      <c r="A648" s="311"/>
      <c r="E648" s="311"/>
    </row>
    <row r="649" spans="1:5" outlineLevel="1" x14ac:dyDescent="0.2">
      <c r="A649" s="311"/>
      <c r="E649" s="311"/>
    </row>
    <row r="650" spans="1:5" outlineLevel="1" x14ac:dyDescent="0.2">
      <c r="A650" s="311"/>
      <c r="E650" s="311"/>
    </row>
    <row r="651" spans="1:5" outlineLevel="1" x14ac:dyDescent="0.2">
      <c r="A651" s="311"/>
      <c r="E651" s="311"/>
    </row>
    <row r="652" spans="1:5" outlineLevel="1" x14ac:dyDescent="0.2">
      <c r="A652" s="311"/>
      <c r="E652" s="311"/>
    </row>
    <row r="653" spans="1:5" outlineLevel="1" x14ac:dyDescent="0.2">
      <c r="A653" s="311"/>
      <c r="E653" s="311"/>
    </row>
    <row r="654" spans="1:5" outlineLevel="1" x14ac:dyDescent="0.2">
      <c r="A654" s="311"/>
      <c r="E654" s="311"/>
    </row>
    <row r="655" spans="1:5" outlineLevel="1" x14ac:dyDescent="0.2">
      <c r="A655" s="311"/>
      <c r="E655" s="311"/>
    </row>
    <row r="656" spans="1:5" outlineLevel="1" x14ac:dyDescent="0.2">
      <c r="A656" s="311"/>
      <c r="E656" s="311"/>
    </row>
    <row r="657" spans="1:5" outlineLevel="1" x14ac:dyDescent="0.2">
      <c r="A657" s="311"/>
      <c r="E657" s="311"/>
    </row>
    <row r="658" spans="1:5" outlineLevel="1" x14ac:dyDescent="0.2">
      <c r="A658" s="311"/>
      <c r="E658" s="311"/>
    </row>
    <row r="659" spans="1:5" outlineLevel="1" x14ac:dyDescent="0.2">
      <c r="A659" s="311"/>
      <c r="E659" s="311"/>
    </row>
    <row r="660" spans="1:5" outlineLevel="1" x14ac:dyDescent="0.2">
      <c r="A660" s="311"/>
      <c r="E660" s="311"/>
    </row>
    <row r="661" spans="1:5" outlineLevel="1" x14ac:dyDescent="0.2">
      <c r="A661" s="311"/>
      <c r="E661" s="311"/>
    </row>
    <row r="662" spans="1:5" outlineLevel="1" x14ac:dyDescent="0.2">
      <c r="A662" s="311"/>
      <c r="E662" s="311"/>
    </row>
    <row r="663" spans="1:5" outlineLevel="1" x14ac:dyDescent="0.2">
      <c r="A663" s="311"/>
      <c r="E663" s="311"/>
    </row>
    <row r="664" spans="1:5" outlineLevel="1" x14ac:dyDescent="0.2">
      <c r="A664" s="311"/>
      <c r="E664" s="311"/>
    </row>
    <row r="665" spans="1:5" outlineLevel="1" x14ac:dyDescent="0.2">
      <c r="A665" s="311"/>
      <c r="E665" s="311"/>
    </row>
    <row r="666" spans="1:5" outlineLevel="1" x14ac:dyDescent="0.2">
      <c r="A666" s="311"/>
      <c r="E666" s="311"/>
    </row>
    <row r="667" spans="1:5" outlineLevel="1" x14ac:dyDescent="0.2">
      <c r="A667" s="311"/>
      <c r="E667" s="311"/>
    </row>
    <row r="668" spans="1:5" outlineLevel="1" x14ac:dyDescent="0.2">
      <c r="A668" s="311"/>
      <c r="E668" s="311"/>
    </row>
    <row r="669" spans="1:5" outlineLevel="1" x14ac:dyDescent="0.2">
      <c r="A669" s="311"/>
      <c r="E669" s="311"/>
    </row>
    <row r="670" spans="1:5" outlineLevel="1" x14ac:dyDescent="0.2">
      <c r="A670" s="311"/>
      <c r="E670" s="311"/>
    </row>
    <row r="671" spans="1:5" outlineLevel="1" x14ac:dyDescent="0.2">
      <c r="A671" s="311"/>
      <c r="E671" s="311"/>
    </row>
    <row r="672" spans="1:5" outlineLevel="1" x14ac:dyDescent="0.2">
      <c r="A672" s="311"/>
      <c r="E672" s="311"/>
    </row>
    <row r="673" spans="1:5" outlineLevel="1" x14ac:dyDescent="0.2">
      <c r="A673" s="311"/>
      <c r="E673" s="311"/>
    </row>
    <row r="674" spans="1:5" outlineLevel="1" x14ac:dyDescent="0.2">
      <c r="A674" s="311"/>
      <c r="E674" s="311"/>
    </row>
    <row r="675" spans="1:5" outlineLevel="1" x14ac:dyDescent="0.2">
      <c r="A675" s="311"/>
      <c r="E675" s="311"/>
    </row>
    <row r="676" spans="1:5" outlineLevel="1" x14ac:dyDescent="0.2">
      <c r="A676" s="311"/>
      <c r="E676" s="311"/>
    </row>
    <row r="677" spans="1:5" outlineLevel="1" x14ac:dyDescent="0.2">
      <c r="A677" s="311"/>
      <c r="E677" s="311"/>
    </row>
    <row r="678" spans="1:5" outlineLevel="1" x14ac:dyDescent="0.2">
      <c r="A678" s="311"/>
      <c r="E678" s="311"/>
    </row>
    <row r="679" spans="1:5" outlineLevel="1" x14ac:dyDescent="0.2">
      <c r="A679" s="311"/>
      <c r="E679" s="311"/>
    </row>
    <row r="680" spans="1:5" outlineLevel="1" x14ac:dyDescent="0.2">
      <c r="A680" s="311"/>
      <c r="E680" s="311"/>
    </row>
    <row r="681" spans="1:5" outlineLevel="1" x14ac:dyDescent="0.2">
      <c r="A681" s="311"/>
      <c r="E681" s="311"/>
    </row>
    <row r="682" spans="1:5" outlineLevel="1" x14ac:dyDescent="0.2">
      <c r="A682" s="311"/>
      <c r="E682" s="311"/>
    </row>
    <row r="683" spans="1:5" outlineLevel="1" x14ac:dyDescent="0.2">
      <c r="A683" s="311"/>
      <c r="E683" s="311"/>
    </row>
    <row r="684" spans="1:5" outlineLevel="1" x14ac:dyDescent="0.2">
      <c r="A684" s="311"/>
      <c r="E684" s="311"/>
    </row>
    <row r="685" spans="1:5" outlineLevel="1" x14ac:dyDescent="0.2">
      <c r="A685" s="311"/>
      <c r="E685" s="311"/>
    </row>
    <row r="686" spans="1:5" outlineLevel="1" x14ac:dyDescent="0.2">
      <c r="A686" s="311"/>
      <c r="E686" s="311"/>
    </row>
    <row r="687" spans="1:5" outlineLevel="1" x14ac:dyDescent="0.2">
      <c r="A687" s="311"/>
      <c r="E687" s="311"/>
    </row>
    <row r="688" spans="1:5" outlineLevel="1" x14ac:dyDescent="0.2">
      <c r="A688" s="311"/>
      <c r="E688" s="311"/>
    </row>
    <row r="689" spans="1:5" outlineLevel="1" x14ac:dyDescent="0.2">
      <c r="A689" s="311"/>
      <c r="E689" s="311"/>
    </row>
    <row r="690" spans="1:5" outlineLevel="1" x14ac:dyDescent="0.2">
      <c r="A690" s="311"/>
      <c r="E690" s="311"/>
    </row>
    <row r="691" spans="1:5" outlineLevel="1" x14ac:dyDescent="0.2">
      <c r="A691" s="311"/>
      <c r="E691" s="311"/>
    </row>
    <row r="692" spans="1:5" outlineLevel="1" x14ac:dyDescent="0.2">
      <c r="A692" s="311"/>
      <c r="E692" s="311"/>
    </row>
    <row r="693" spans="1:5" outlineLevel="1" x14ac:dyDescent="0.2">
      <c r="A693" s="311"/>
      <c r="E693" s="311"/>
    </row>
    <row r="694" spans="1:5" outlineLevel="1" x14ac:dyDescent="0.2">
      <c r="A694" s="311"/>
      <c r="E694" s="311"/>
    </row>
    <row r="695" spans="1:5" outlineLevel="1" x14ac:dyDescent="0.2">
      <c r="A695" s="311"/>
      <c r="E695" s="311"/>
    </row>
    <row r="696" spans="1:5" outlineLevel="1" x14ac:dyDescent="0.2">
      <c r="A696" s="311"/>
      <c r="E696" s="311"/>
    </row>
    <row r="697" spans="1:5" outlineLevel="1" x14ac:dyDescent="0.2">
      <c r="A697" s="311"/>
      <c r="E697" s="311"/>
    </row>
    <row r="698" spans="1:5" outlineLevel="1" x14ac:dyDescent="0.2">
      <c r="A698" s="311"/>
      <c r="E698" s="311"/>
    </row>
    <row r="699" spans="1:5" outlineLevel="1" x14ac:dyDescent="0.2">
      <c r="A699" s="311"/>
      <c r="E699" s="311"/>
    </row>
    <row r="700" spans="1:5" outlineLevel="1" x14ac:dyDescent="0.2">
      <c r="A700" s="311"/>
      <c r="E700" s="311"/>
    </row>
    <row r="701" spans="1:5" outlineLevel="1" x14ac:dyDescent="0.2">
      <c r="A701" s="311"/>
      <c r="E701" s="311"/>
    </row>
    <row r="702" spans="1:5" outlineLevel="1" x14ac:dyDescent="0.2">
      <c r="A702" s="311"/>
      <c r="E702" s="311"/>
    </row>
    <row r="703" spans="1:5" outlineLevel="1" x14ac:dyDescent="0.2">
      <c r="A703" s="311"/>
      <c r="E703" s="311"/>
    </row>
    <row r="704" spans="1:5" outlineLevel="1" x14ac:dyDescent="0.2">
      <c r="A704" s="311"/>
      <c r="E704" s="311"/>
    </row>
    <row r="705" spans="1:5" outlineLevel="1" x14ac:dyDescent="0.2">
      <c r="A705" s="311"/>
      <c r="E705" s="311"/>
    </row>
    <row r="706" spans="1:5" outlineLevel="1" x14ac:dyDescent="0.2">
      <c r="A706" s="311"/>
      <c r="E706" s="311"/>
    </row>
    <row r="707" spans="1:5" outlineLevel="1" x14ac:dyDescent="0.2">
      <c r="A707" s="311"/>
      <c r="E707" s="311"/>
    </row>
    <row r="708" spans="1:5" outlineLevel="1" x14ac:dyDescent="0.2">
      <c r="A708" s="311"/>
      <c r="E708" s="311"/>
    </row>
    <row r="709" spans="1:5" outlineLevel="1" x14ac:dyDescent="0.2">
      <c r="A709" s="311"/>
      <c r="E709" s="311"/>
    </row>
    <row r="710" spans="1:5" outlineLevel="1" x14ac:dyDescent="0.2">
      <c r="A710" s="311"/>
      <c r="E710" s="311"/>
    </row>
    <row r="711" spans="1:5" outlineLevel="1" x14ac:dyDescent="0.2">
      <c r="A711" s="311"/>
      <c r="E711" s="311"/>
    </row>
    <row r="712" spans="1:5" outlineLevel="1" x14ac:dyDescent="0.2">
      <c r="A712" s="311"/>
      <c r="E712" s="311"/>
    </row>
    <row r="713" spans="1:5" outlineLevel="1" x14ac:dyDescent="0.2">
      <c r="A713" s="311"/>
      <c r="E713" s="311"/>
    </row>
    <row r="714" spans="1:5" outlineLevel="1" x14ac:dyDescent="0.2">
      <c r="A714" s="311"/>
      <c r="E714" s="311"/>
    </row>
    <row r="715" spans="1:5" outlineLevel="1" x14ac:dyDescent="0.2">
      <c r="A715" s="311"/>
      <c r="E715" s="311"/>
    </row>
    <row r="716" spans="1:5" outlineLevel="1" x14ac:dyDescent="0.2">
      <c r="A716" s="311"/>
      <c r="E716" s="311"/>
    </row>
    <row r="717" spans="1:5" outlineLevel="1" x14ac:dyDescent="0.2">
      <c r="A717" s="311"/>
      <c r="E717" s="311"/>
    </row>
    <row r="718" spans="1:5" outlineLevel="1" x14ac:dyDescent="0.2">
      <c r="A718" s="311"/>
      <c r="E718" s="311"/>
    </row>
    <row r="719" spans="1:5" outlineLevel="1" x14ac:dyDescent="0.2">
      <c r="A719" s="311"/>
      <c r="E719" s="311"/>
    </row>
    <row r="720" spans="1:5" outlineLevel="1" x14ac:dyDescent="0.2">
      <c r="A720" s="311"/>
      <c r="E720" s="311"/>
    </row>
    <row r="721" spans="1:5" outlineLevel="1" x14ac:dyDescent="0.2">
      <c r="A721" s="311"/>
      <c r="E721" s="311"/>
    </row>
    <row r="722" spans="1:5" outlineLevel="1" x14ac:dyDescent="0.2">
      <c r="A722" s="311"/>
      <c r="E722" s="311"/>
    </row>
    <row r="723" spans="1:5" outlineLevel="1" x14ac:dyDescent="0.2">
      <c r="A723" s="311"/>
      <c r="E723" s="311"/>
    </row>
    <row r="724" spans="1:5" outlineLevel="1" x14ac:dyDescent="0.2">
      <c r="A724" s="311"/>
      <c r="E724" s="311"/>
    </row>
    <row r="725" spans="1:5" outlineLevel="1" x14ac:dyDescent="0.2">
      <c r="A725" s="311"/>
      <c r="E725" s="311"/>
    </row>
    <row r="726" spans="1:5" outlineLevel="1" x14ac:dyDescent="0.2">
      <c r="A726" s="311"/>
      <c r="E726" s="311"/>
    </row>
    <row r="727" spans="1:5" outlineLevel="1" x14ac:dyDescent="0.2">
      <c r="A727" s="311"/>
      <c r="E727" s="311"/>
    </row>
    <row r="728" spans="1:5" outlineLevel="1" x14ac:dyDescent="0.2">
      <c r="A728" s="311"/>
      <c r="E728" s="311"/>
    </row>
    <row r="729" spans="1:5" outlineLevel="1" x14ac:dyDescent="0.2">
      <c r="A729" s="311"/>
      <c r="E729" s="311"/>
    </row>
    <row r="730" spans="1:5" outlineLevel="1" x14ac:dyDescent="0.2">
      <c r="A730" s="311"/>
      <c r="E730" s="311"/>
    </row>
    <row r="731" spans="1:5" outlineLevel="1" x14ac:dyDescent="0.2">
      <c r="A731" s="311"/>
      <c r="E731" s="311"/>
    </row>
    <row r="732" spans="1:5" outlineLevel="1" x14ac:dyDescent="0.2">
      <c r="A732" s="311"/>
      <c r="E732" s="311"/>
    </row>
    <row r="733" spans="1:5" outlineLevel="1" x14ac:dyDescent="0.2">
      <c r="A733" s="311"/>
      <c r="E733" s="311"/>
    </row>
    <row r="734" spans="1:5" outlineLevel="1" x14ac:dyDescent="0.2">
      <c r="A734" s="311"/>
      <c r="E734" s="311"/>
    </row>
    <row r="735" spans="1:5" outlineLevel="1" x14ac:dyDescent="0.2">
      <c r="A735" s="311"/>
      <c r="E735" s="311"/>
    </row>
    <row r="736" spans="1:5" outlineLevel="1" x14ac:dyDescent="0.2">
      <c r="A736" s="311"/>
      <c r="E736" s="311"/>
    </row>
    <row r="737" spans="1:5" outlineLevel="1" x14ac:dyDescent="0.2">
      <c r="A737" s="311"/>
      <c r="E737" s="311"/>
    </row>
    <row r="738" spans="1:5" outlineLevel="1" x14ac:dyDescent="0.2">
      <c r="A738" s="311"/>
      <c r="E738" s="311"/>
    </row>
    <row r="739" spans="1:5" outlineLevel="1" x14ac:dyDescent="0.2">
      <c r="A739" s="311"/>
      <c r="E739" s="311"/>
    </row>
    <row r="740" spans="1:5" outlineLevel="1" x14ac:dyDescent="0.2">
      <c r="A740" s="311"/>
      <c r="E740" s="311"/>
    </row>
    <row r="741" spans="1:5" outlineLevel="1" x14ac:dyDescent="0.2">
      <c r="A741" s="311"/>
      <c r="E741" s="311"/>
    </row>
    <row r="742" spans="1:5" outlineLevel="1" x14ac:dyDescent="0.2">
      <c r="A742" s="311"/>
      <c r="E742" s="311"/>
    </row>
    <row r="743" spans="1:5" outlineLevel="1" x14ac:dyDescent="0.2">
      <c r="A743" s="311"/>
      <c r="E743" s="311"/>
    </row>
    <row r="744" spans="1:5" outlineLevel="1" x14ac:dyDescent="0.2">
      <c r="A744" s="311"/>
      <c r="E744" s="311"/>
    </row>
    <row r="745" spans="1:5" outlineLevel="1" x14ac:dyDescent="0.2">
      <c r="A745" s="311"/>
      <c r="E745" s="311"/>
    </row>
    <row r="746" spans="1:5" outlineLevel="1" x14ac:dyDescent="0.2">
      <c r="A746" s="311"/>
      <c r="E746" s="311"/>
    </row>
    <row r="747" spans="1:5" outlineLevel="1" x14ac:dyDescent="0.2">
      <c r="A747" s="311"/>
      <c r="E747" s="311"/>
    </row>
    <row r="748" spans="1:5" outlineLevel="1" x14ac:dyDescent="0.2">
      <c r="A748" s="311"/>
      <c r="E748" s="311"/>
    </row>
    <row r="749" spans="1:5" outlineLevel="1" x14ac:dyDescent="0.2">
      <c r="A749" s="311"/>
      <c r="E749" s="311"/>
    </row>
    <row r="750" spans="1:5" outlineLevel="1" x14ac:dyDescent="0.2">
      <c r="A750" s="311"/>
      <c r="E750" s="311"/>
    </row>
    <row r="751" spans="1:5" outlineLevel="1" x14ac:dyDescent="0.2">
      <c r="A751" s="311"/>
      <c r="E751" s="311"/>
    </row>
    <row r="752" spans="1:5" outlineLevel="1" x14ac:dyDescent="0.2">
      <c r="A752" s="311"/>
      <c r="E752" s="311"/>
    </row>
    <row r="753" spans="1:5" outlineLevel="1" x14ac:dyDescent="0.2">
      <c r="A753" s="311"/>
      <c r="E753" s="311"/>
    </row>
    <row r="754" spans="1:5" outlineLevel="1" x14ac:dyDescent="0.2">
      <c r="A754" s="311"/>
      <c r="E754" s="311"/>
    </row>
    <row r="755" spans="1:5" outlineLevel="1" x14ac:dyDescent="0.2">
      <c r="A755" s="311"/>
      <c r="E755" s="311"/>
    </row>
    <row r="756" spans="1:5" outlineLevel="1" x14ac:dyDescent="0.2">
      <c r="A756" s="311"/>
      <c r="E756" s="311"/>
    </row>
    <row r="757" spans="1:5" outlineLevel="1" x14ac:dyDescent="0.2">
      <c r="A757" s="311"/>
      <c r="E757" s="311"/>
    </row>
    <row r="758" spans="1:5" outlineLevel="1" x14ac:dyDescent="0.2">
      <c r="A758" s="311"/>
      <c r="E758" s="311"/>
    </row>
    <row r="759" spans="1:5" outlineLevel="1" x14ac:dyDescent="0.2">
      <c r="A759" s="311"/>
      <c r="E759" s="311"/>
    </row>
    <row r="760" spans="1:5" outlineLevel="1" x14ac:dyDescent="0.2">
      <c r="A760" s="311"/>
      <c r="E760" s="311"/>
    </row>
    <row r="761" spans="1:5" outlineLevel="1" x14ac:dyDescent="0.2">
      <c r="A761" s="311"/>
      <c r="E761" s="311"/>
    </row>
    <row r="762" spans="1:5" outlineLevel="1" x14ac:dyDescent="0.2">
      <c r="A762" s="311"/>
      <c r="E762" s="311"/>
    </row>
    <row r="763" spans="1:5" outlineLevel="1" x14ac:dyDescent="0.2">
      <c r="A763" s="311"/>
      <c r="E763" s="311"/>
    </row>
    <row r="764" spans="1:5" outlineLevel="1" x14ac:dyDescent="0.2">
      <c r="A764" s="311"/>
      <c r="E764" s="311"/>
    </row>
    <row r="765" spans="1:5" outlineLevel="1" x14ac:dyDescent="0.2">
      <c r="A765" s="311"/>
      <c r="E765" s="311"/>
    </row>
    <row r="766" spans="1:5" outlineLevel="1" x14ac:dyDescent="0.2">
      <c r="A766" s="311"/>
      <c r="E766" s="311"/>
    </row>
    <row r="767" spans="1:5" outlineLevel="1" x14ac:dyDescent="0.2">
      <c r="A767" s="311"/>
      <c r="E767" s="311"/>
    </row>
    <row r="768" spans="1:5" outlineLevel="1" x14ac:dyDescent="0.2">
      <c r="A768" s="311"/>
      <c r="E768" s="311"/>
    </row>
    <row r="769" spans="1:5" outlineLevel="1" x14ac:dyDescent="0.2">
      <c r="A769" s="311"/>
      <c r="E769" s="311"/>
    </row>
    <row r="770" spans="1:5" outlineLevel="1" x14ac:dyDescent="0.2">
      <c r="A770" s="311"/>
      <c r="E770" s="311"/>
    </row>
    <row r="771" spans="1:5" outlineLevel="1" x14ac:dyDescent="0.2">
      <c r="A771" s="311"/>
      <c r="E771" s="311"/>
    </row>
    <row r="772" spans="1:5" outlineLevel="1" x14ac:dyDescent="0.2">
      <c r="A772" s="311"/>
      <c r="E772" s="311"/>
    </row>
    <row r="773" spans="1:5" outlineLevel="1" x14ac:dyDescent="0.2">
      <c r="A773" s="311"/>
      <c r="E773" s="311"/>
    </row>
    <row r="774" spans="1:5" outlineLevel="1" x14ac:dyDescent="0.2">
      <c r="A774" s="311"/>
      <c r="E774" s="311"/>
    </row>
    <row r="775" spans="1:5" outlineLevel="1" x14ac:dyDescent="0.2">
      <c r="A775" s="311"/>
      <c r="E775" s="311"/>
    </row>
    <row r="776" spans="1:5" outlineLevel="1" x14ac:dyDescent="0.2">
      <c r="A776" s="311"/>
      <c r="E776" s="311"/>
    </row>
    <row r="777" spans="1:5" outlineLevel="1" x14ac:dyDescent="0.2">
      <c r="A777" s="311"/>
      <c r="E777" s="311"/>
    </row>
    <row r="778" spans="1:5" outlineLevel="1" x14ac:dyDescent="0.2">
      <c r="A778" s="311"/>
      <c r="E778" s="311"/>
    </row>
    <row r="779" spans="1:5" outlineLevel="1" x14ac:dyDescent="0.2">
      <c r="A779" s="311"/>
      <c r="E779" s="311"/>
    </row>
    <row r="780" spans="1:5" outlineLevel="1" x14ac:dyDescent="0.2">
      <c r="A780" s="311"/>
      <c r="E780" s="311"/>
    </row>
    <row r="781" spans="1:5" outlineLevel="1" x14ac:dyDescent="0.2">
      <c r="A781" s="311"/>
      <c r="E781" s="311"/>
    </row>
    <row r="782" spans="1:5" outlineLevel="1" x14ac:dyDescent="0.2">
      <c r="A782" s="311"/>
      <c r="E782" s="311"/>
    </row>
    <row r="783" spans="1:5" outlineLevel="1" x14ac:dyDescent="0.2">
      <c r="A783" s="311"/>
      <c r="E783" s="311"/>
    </row>
    <row r="784" spans="1:5" outlineLevel="1" x14ac:dyDescent="0.2">
      <c r="A784" s="311"/>
      <c r="E784" s="311"/>
    </row>
    <row r="785" spans="1:5" outlineLevel="1" x14ac:dyDescent="0.2">
      <c r="A785" s="311"/>
      <c r="E785" s="311"/>
    </row>
    <row r="786" spans="1:5" outlineLevel="1" x14ac:dyDescent="0.2">
      <c r="A786" s="311"/>
      <c r="E786" s="311"/>
    </row>
    <row r="787" spans="1:5" outlineLevel="1" x14ac:dyDescent="0.2">
      <c r="A787" s="311"/>
      <c r="E787" s="311"/>
    </row>
    <row r="788" spans="1:5" outlineLevel="1" x14ac:dyDescent="0.2">
      <c r="A788" s="311"/>
      <c r="E788" s="311"/>
    </row>
    <row r="789" spans="1:5" outlineLevel="1" x14ac:dyDescent="0.2">
      <c r="A789" s="311"/>
      <c r="E789" s="311"/>
    </row>
    <row r="790" spans="1:5" outlineLevel="1" x14ac:dyDescent="0.2">
      <c r="A790" s="311"/>
      <c r="E790" s="311"/>
    </row>
    <row r="791" spans="1:5" outlineLevel="1" x14ac:dyDescent="0.2">
      <c r="A791" s="311"/>
      <c r="E791" s="311"/>
    </row>
    <row r="792" spans="1:5" outlineLevel="1" x14ac:dyDescent="0.2">
      <c r="A792" s="311"/>
      <c r="E792" s="311"/>
    </row>
    <row r="793" spans="1:5" outlineLevel="1" x14ac:dyDescent="0.2">
      <c r="A793" s="311"/>
      <c r="E793" s="311"/>
    </row>
    <row r="794" spans="1:5" outlineLevel="1" x14ac:dyDescent="0.2">
      <c r="A794" s="311"/>
      <c r="E794" s="311"/>
    </row>
    <row r="795" spans="1:5" outlineLevel="1" x14ac:dyDescent="0.2">
      <c r="A795" s="311"/>
      <c r="E795" s="311"/>
    </row>
    <row r="796" spans="1:5" outlineLevel="1" x14ac:dyDescent="0.2">
      <c r="A796" s="311"/>
      <c r="E796" s="311"/>
    </row>
    <row r="797" spans="1:5" outlineLevel="1" x14ac:dyDescent="0.2">
      <c r="A797" s="311"/>
      <c r="E797" s="311"/>
    </row>
    <row r="798" spans="1:5" outlineLevel="1" x14ac:dyDescent="0.2">
      <c r="A798" s="311"/>
      <c r="E798" s="311"/>
    </row>
    <row r="799" spans="1:5" outlineLevel="1" x14ac:dyDescent="0.2">
      <c r="A799" s="311"/>
      <c r="E799" s="311"/>
    </row>
    <row r="800" spans="1:5" outlineLevel="1" x14ac:dyDescent="0.2">
      <c r="A800" s="311"/>
      <c r="E800" s="311"/>
    </row>
    <row r="801" spans="1:5" outlineLevel="1" x14ac:dyDescent="0.2">
      <c r="A801" s="311"/>
      <c r="E801" s="311"/>
    </row>
    <row r="802" spans="1:5" outlineLevel="1" x14ac:dyDescent="0.2">
      <c r="A802" s="311"/>
      <c r="E802" s="311"/>
    </row>
    <row r="803" spans="1:5" outlineLevel="1" x14ac:dyDescent="0.2">
      <c r="A803" s="311"/>
      <c r="E803" s="311"/>
    </row>
    <row r="804" spans="1:5" outlineLevel="1" x14ac:dyDescent="0.2">
      <c r="A804" s="311"/>
      <c r="E804" s="311"/>
    </row>
    <row r="805" spans="1:5" outlineLevel="1" x14ac:dyDescent="0.2">
      <c r="A805" s="311"/>
      <c r="E805" s="311"/>
    </row>
    <row r="806" spans="1:5" outlineLevel="1" x14ac:dyDescent="0.2">
      <c r="A806" s="311"/>
      <c r="E806" s="311"/>
    </row>
    <row r="807" spans="1:5" outlineLevel="1" x14ac:dyDescent="0.2">
      <c r="A807" s="311"/>
      <c r="E807" s="311"/>
    </row>
    <row r="808" spans="1:5" outlineLevel="1" x14ac:dyDescent="0.2">
      <c r="A808" s="311"/>
      <c r="E808" s="311"/>
    </row>
    <row r="809" spans="1:5" outlineLevel="1" x14ac:dyDescent="0.2">
      <c r="A809" s="311"/>
      <c r="E809" s="311"/>
    </row>
    <row r="810" spans="1:5" outlineLevel="1" x14ac:dyDescent="0.2">
      <c r="A810" s="311"/>
      <c r="E810" s="311"/>
    </row>
    <row r="811" spans="1:5" outlineLevel="1" x14ac:dyDescent="0.2">
      <c r="A811" s="311"/>
      <c r="E811" s="311"/>
    </row>
    <row r="812" spans="1:5" outlineLevel="1" x14ac:dyDescent="0.2">
      <c r="A812" s="311"/>
      <c r="E812" s="311"/>
    </row>
    <row r="813" spans="1:5" outlineLevel="1" x14ac:dyDescent="0.2">
      <c r="A813" s="311"/>
      <c r="E813" s="311"/>
    </row>
    <row r="814" spans="1:5" outlineLevel="1" x14ac:dyDescent="0.2">
      <c r="A814" s="311"/>
      <c r="E814" s="311"/>
    </row>
    <row r="815" spans="1:5" outlineLevel="1" x14ac:dyDescent="0.2">
      <c r="A815" s="311"/>
      <c r="E815" s="311"/>
    </row>
    <row r="816" spans="1:5" outlineLevel="1" x14ac:dyDescent="0.2">
      <c r="A816" s="311"/>
      <c r="E816" s="311"/>
    </row>
    <row r="817" spans="1:5" outlineLevel="1" x14ac:dyDescent="0.2">
      <c r="A817" s="311"/>
      <c r="E817" s="311"/>
    </row>
    <row r="818" spans="1:5" outlineLevel="1" x14ac:dyDescent="0.2">
      <c r="A818" s="311"/>
      <c r="E818" s="311"/>
    </row>
    <row r="819" spans="1:5" outlineLevel="1" x14ac:dyDescent="0.2">
      <c r="A819" s="311"/>
      <c r="E819" s="311"/>
    </row>
    <row r="820" spans="1:5" outlineLevel="1" x14ac:dyDescent="0.2">
      <c r="A820" s="311"/>
      <c r="E820" s="311"/>
    </row>
    <row r="821" spans="1:5" outlineLevel="1" x14ac:dyDescent="0.2">
      <c r="A821" s="311"/>
      <c r="E821" s="311"/>
    </row>
    <row r="822" spans="1:5" outlineLevel="1" x14ac:dyDescent="0.2">
      <c r="A822" s="311"/>
      <c r="E822" s="311"/>
    </row>
    <row r="823" spans="1:5" outlineLevel="1" x14ac:dyDescent="0.2">
      <c r="A823" s="311"/>
      <c r="E823" s="311"/>
    </row>
    <row r="824" spans="1:5" outlineLevel="1" x14ac:dyDescent="0.2">
      <c r="A824" s="311"/>
      <c r="E824" s="311"/>
    </row>
    <row r="825" spans="1:5" outlineLevel="1" x14ac:dyDescent="0.2">
      <c r="A825" s="311"/>
      <c r="E825" s="311"/>
    </row>
    <row r="826" spans="1:5" outlineLevel="1" x14ac:dyDescent="0.2">
      <c r="A826" s="311"/>
      <c r="E826" s="311"/>
    </row>
    <row r="827" spans="1:5" outlineLevel="1" x14ac:dyDescent="0.2">
      <c r="A827" s="311"/>
      <c r="E827" s="311"/>
    </row>
    <row r="828" spans="1:5" outlineLevel="1" x14ac:dyDescent="0.2">
      <c r="A828" s="311"/>
      <c r="E828" s="311"/>
    </row>
    <row r="829" spans="1:5" outlineLevel="1" x14ac:dyDescent="0.2">
      <c r="A829" s="311"/>
      <c r="E829" s="311"/>
    </row>
    <row r="830" spans="1:5" outlineLevel="1" x14ac:dyDescent="0.2">
      <c r="A830" s="311"/>
      <c r="E830" s="311"/>
    </row>
    <row r="831" spans="1:5" outlineLevel="1" x14ac:dyDescent="0.2">
      <c r="A831" s="311"/>
      <c r="E831" s="311"/>
    </row>
    <row r="832" spans="1:5" outlineLevel="1" x14ac:dyDescent="0.2">
      <c r="A832" s="311"/>
      <c r="E832" s="311"/>
    </row>
    <row r="833" spans="1:5" outlineLevel="1" x14ac:dyDescent="0.2">
      <c r="A833" s="311"/>
      <c r="E833" s="311"/>
    </row>
    <row r="834" spans="1:5" outlineLevel="1" x14ac:dyDescent="0.2">
      <c r="A834" s="311"/>
      <c r="E834" s="311"/>
    </row>
    <row r="835" spans="1:5" outlineLevel="1" x14ac:dyDescent="0.2">
      <c r="A835" s="311"/>
      <c r="E835" s="311"/>
    </row>
    <row r="836" spans="1:5" outlineLevel="1" x14ac:dyDescent="0.2">
      <c r="A836" s="311"/>
      <c r="E836" s="311"/>
    </row>
    <row r="837" spans="1:5" outlineLevel="1" x14ac:dyDescent="0.2">
      <c r="A837" s="311"/>
      <c r="E837" s="311"/>
    </row>
    <row r="838" spans="1:5" outlineLevel="1" x14ac:dyDescent="0.2">
      <c r="A838" s="311"/>
      <c r="E838" s="311"/>
    </row>
    <row r="839" spans="1:5" outlineLevel="1" x14ac:dyDescent="0.2">
      <c r="A839" s="311"/>
      <c r="E839" s="311"/>
    </row>
    <row r="840" spans="1:5" outlineLevel="1" x14ac:dyDescent="0.2">
      <c r="A840" s="311"/>
      <c r="E840" s="311"/>
    </row>
    <row r="841" spans="1:5" outlineLevel="1" x14ac:dyDescent="0.2">
      <c r="A841" s="311"/>
      <c r="E841" s="311"/>
    </row>
    <row r="842" spans="1:5" outlineLevel="1" x14ac:dyDescent="0.2">
      <c r="A842" s="311"/>
      <c r="E842" s="311"/>
    </row>
    <row r="843" spans="1:5" outlineLevel="1" x14ac:dyDescent="0.2">
      <c r="A843" s="311"/>
      <c r="E843" s="311"/>
    </row>
    <row r="844" spans="1:5" outlineLevel="1" x14ac:dyDescent="0.2">
      <c r="A844" s="311"/>
      <c r="E844" s="311"/>
    </row>
    <row r="845" spans="1:5" outlineLevel="1" x14ac:dyDescent="0.2">
      <c r="A845" s="311"/>
      <c r="E845" s="311"/>
    </row>
    <row r="846" spans="1:5" outlineLevel="1" x14ac:dyDescent="0.2">
      <c r="A846" s="311"/>
      <c r="E846" s="311"/>
    </row>
    <row r="847" spans="1:5" outlineLevel="1" x14ac:dyDescent="0.2">
      <c r="A847" s="311"/>
      <c r="E847" s="311"/>
    </row>
    <row r="848" spans="1:5" outlineLevel="1" x14ac:dyDescent="0.2">
      <c r="A848" s="311"/>
      <c r="E848" s="311"/>
    </row>
    <row r="849" spans="1:5" outlineLevel="1" x14ac:dyDescent="0.2">
      <c r="A849" s="311"/>
      <c r="E849" s="311"/>
    </row>
    <row r="850" spans="1:5" outlineLevel="1" x14ac:dyDescent="0.2">
      <c r="A850" s="311"/>
      <c r="E850" s="311"/>
    </row>
    <row r="851" spans="1:5" outlineLevel="1" x14ac:dyDescent="0.2">
      <c r="A851" s="311"/>
      <c r="E851" s="311"/>
    </row>
    <row r="852" spans="1:5" outlineLevel="1" x14ac:dyDescent="0.2">
      <c r="A852" s="311"/>
      <c r="E852" s="311"/>
    </row>
    <row r="853" spans="1:5" outlineLevel="1" x14ac:dyDescent="0.2">
      <c r="A853" s="311"/>
      <c r="E853" s="311"/>
    </row>
    <row r="854" spans="1:5" outlineLevel="1" x14ac:dyDescent="0.2">
      <c r="A854" s="311"/>
      <c r="E854" s="311"/>
    </row>
    <row r="855" spans="1:5" outlineLevel="1" x14ac:dyDescent="0.2">
      <c r="A855" s="311"/>
      <c r="E855" s="311"/>
    </row>
    <row r="856" spans="1:5" outlineLevel="1" x14ac:dyDescent="0.2">
      <c r="A856" s="311"/>
      <c r="E856" s="311"/>
    </row>
    <row r="857" spans="1:5" outlineLevel="1" x14ac:dyDescent="0.2">
      <c r="A857" s="311"/>
      <c r="E857" s="311"/>
    </row>
    <row r="858" spans="1:5" outlineLevel="1" x14ac:dyDescent="0.2">
      <c r="A858" s="311"/>
      <c r="E858" s="311"/>
    </row>
    <row r="859" spans="1:5" outlineLevel="1" x14ac:dyDescent="0.2">
      <c r="A859" s="311"/>
      <c r="E859" s="311"/>
    </row>
    <row r="860" spans="1:5" outlineLevel="1" x14ac:dyDescent="0.2">
      <c r="A860" s="311"/>
      <c r="E860" s="311"/>
    </row>
    <row r="861" spans="1:5" outlineLevel="1" x14ac:dyDescent="0.2">
      <c r="A861" s="311"/>
      <c r="E861" s="311"/>
    </row>
    <row r="862" spans="1:5" outlineLevel="1" x14ac:dyDescent="0.2">
      <c r="A862" s="311"/>
      <c r="E862" s="311"/>
    </row>
    <row r="863" spans="1:5" outlineLevel="1" x14ac:dyDescent="0.2">
      <c r="A863" s="311"/>
      <c r="E863" s="311"/>
    </row>
    <row r="864" spans="1:5" outlineLevel="1" x14ac:dyDescent="0.2">
      <c r="A864" s="311"/>
      <c r="E864" s="311"/>
    </row>
    <row r="865" spans="1:5" outlineLevel="1" x14ac:dyDescent="0.2">
      <c r="A865" s="311"/>
      <c r="E865" s="311"/>
    </row>
    <row r="866" spans="1:5" outlineLevel="1" x14ac:dyDescent="0.2">
      <c r="A866" s="311"/>
      <c r="E866" s="311"/>
    </row>
    <row r="867" spans="1:5" outlineLevel="1" x14ac:dyDescent="0.2">
      <c r="A867" s="311"/>
      <c r="E867" s="311"/>
    </row>
    <row r="868" spans="1:5" outlineLevel="1" x14ac:dyDescent="0.2">
      <c r="A868" s="311"/>
      <c r="E868" s="311"/>
    </row>
    <row r="869" spans="1:5" outlineLevel="1" x14ac:dyDescent="0.2">
      <c r="A869" s="311"/>
      <c r="E869" s="311"/>
    </row>
    <row r="870" spans="1:5" outlineLevel="1" x14ac:dyDescent="0.2">
      <c r="A870" s="311"/>
      <c r="E870" s="311"/>
    </row>
    <row r="871" spans="1:5" outlineLevel="1" x14ac:dyDescent="0.2">
      <c r="A871" s="311"/>
      <c r="E871" s="311"/>
    </row>
    <row r="872" spans="1:5" outlineLevel="1" x14ac:dyDescent="0.2">
      <c r="A872" s="311"/>
      <c r="E872" s="311"/>
    </row>
    <row r="873" spans="1:5" outlineLevel="1" x14ac:dyDescent="0.2">
      <c r="A873" s="311"/>
      <c r="E873" s="311"/>
    </row>
    <row r="874" spans="1:5" outlineLevel="1" x14ac:dyDescent="0.2">
      <c r="A874" s="311"/>
      <c r="E874" s="311"/>
    </row>
    <row r="875" spans="1:5" outlineLevel="1" x14ac:dyDescent="0.2">
      <c r="A875" s="311"/>
      <c r="E875" s="311"/>
    </row>
    <row r="876" spans="1:5" outlineLevel="1" x14ac:dyDescent="0.2">
      <c r="A876" s="311"/>
      <c r="E876" s="311"/>
    </row>
    <row r="877" spans="1:5" outlineLevel="1" x14ac:dyDescent="0.2">
      <c r="A877" s="311"/>
      <c r="E877" s="311"/>
    </row>
    <row r="878" spans="1:5" outlineLevel="1" x14ac:dyDescent="0.2">
      <c r="A878" s="311"/>
      <c r="E878" s="311"/>
    </row>
    <row r="879" spans="1:5" outlineLevel="1" x14ac:dyDescent="0.2">
      <c r="A879" s="311"/>
      <c r="E879" s="311"/>
    </row>
    <row r="880" spans="1:5" outlineLevel="1" x14ac:dyDescent="0.2">
      <c r="A880" s="311"/>
      <c r="E880" s="311"/>
    </row>
    <row r="881" spans="1:5" outlineLevel="1" x14ac:dyDescent="0.2">
      <c r="A881" s="311"/>
      <c r="E881" s="311"/>
    </row>
    <row r="882" spans="1:5" outlineLevel="1" x14ac:dyDescent="0.2">
      <c r="A882" s="311"/>
      <c r="E882" s="311"/>
    </row>
    <row r="883" spans="1:5" outlineLevel="1" x14ac:dyDescent="0.2">
      <c r="A883" s="311"/>
      <c r="E883" s="311"/>
    </row>
    <row r="884" spans="1:5" outlineLevel="1" x14ac:dyDescent="0.2">
      <c r="A884" s="311"/>
      <c r="E884" s="311"/>
    </row>
    <row r="885" spans="1:5" outlineLevel="1" x14ac:dyDescent="0.2">
      <c r="A885" s="311"/>
      <c r="E885" s="311"/>
    </row>
    <row r="886" spans="1:5" outlineLevel="1" x14ac:dyDescent="0.2">
      <c r="A886" s="311"/>
      <c r="E886" s="311"/>
    </row>
    <row r="887" spans="1:5" outlineLevel="1" x14ac:dyDescent="0.2">
      <c r="A887" s="311"/>
      <c r="E887" s="311"/>
    </row>
    <row r="888" spans="1:5" outlineLevel="1" x14ac:dyDescent="0.2">
      <c r="A888" s="311"/>
      <c r="E888" s="311"/>
    </row>
    <row r="889" spans="1:5" outlineLevel="1" x14ac:dyDescent="0.2">
      <c r="A889" s="311"/>
      <c r="E889" s="311"/>
    </row>
    <row r="890" spans="1:5" outlineLevel="1" x14ac:dyDescent="0.2">
      <c r="A890" s="311"/>
      <c r="E890" s="311"/>
    </row>
    <row r="891" spans="1:5" outlineLevel="1" x14ac:dyDescent="0.2">
      <c r="A891" s="311"/>
      <c r="E891" s="311"/>
    </row>
    <row r="892" spans="1:5" outlineLevel="1" x14ac:dyDescent="0.2">
      <c r="A892" s="311"/>
      <c r="E892" s="311"/>
    </row>
    <row r="893" spans="1:5" outlineLevel="1" x14ac:dyDescent="0.2">
      <c r="A893" s="311"/>
      <c r="E893" s="311"/>
    </row>
    <row r="894" spans="1:5" outlineLevel="1" x14ac:dyDescent="0.2">
      <c r="A894" s="311"/>
      <c r="E894" s="311"/>
    </row>
    <row r="895" spans="1:5" outlineLevel="1" x14ac:dyDescent="0.2">
      <c r="A895" s="311"/>
      <c r="E895" s="311"/>
    </row>
    <row r="896" spans="1:5" outlineLevel="1" x14ac:dyDescent="0.2">
      <c r="A896" s="311"/>
      <c r="E896" s="311"/>
    </row>
    <row r="897" spans="1:5" outlineLevel="1" x14ac:dyDescent="0.2">
      <c r="A897" s="311"/>
      <c r="E897" s="311"/>
    </row>
    <row r="898" spans="1:5" outlineLevel="1" x14ac:dyDescent="0.2">
      <c r="A898" s="311"/>
      <c r="E898" s="311"/>
    </row>
    <row r="899" spans="1:5" outlineLevel="1" x14ac:dyDescent="0.2">
      <c r="A899" s="311"/>
      <c r="E899" s="311"/>
    </row>
    <row r="900" spans="1:5" outlineLevel="1" x14ac:dyDescent="0.2">
      <c r="A900" s="311"/>
      <c r="E900" s="311"/>
    </row>
    <row r="901" spans="1:5" outlineLevel="1" x14ac:dyDescent="0.2">
      <c r="A901" s="311"/>
      <c r="E901" s="311"/>
    </row>
    <row r="902" spans="1:5" outlineLevel="1" x14ac:dyDescent="0.2">
      <c r="A902" s="311"/>
      <c r="E902" s="311"/>
    </row>
    <row r="903" spans="1:5" outlineLevel="1" x14ac:dyDescent="0.2">
      <c r="A903" s="311"/>
      <c r="E903" s="311"/>
    </row>
    <row r="904" spans="1:5" outlineLevel="1" x14ac:dyDescent="0.2">
      <c r="A904" s="311"/>
      <c r="E904" s="311"/>
    </row>
    <row r="905" spans="1:5" outlineLevel="1" x14ac:dyDescent="0.2">
      <c r="A905" s="311"/>
      <c r="E905" s="311"/>
    </row>
    <row r="906" spans="1:5" outlineLevel="1" x14ac:dyDescent="0.2">
      <c r="A906" s="311"/>
      <c r="E906" s="311"/>
    </row>
    <row r="907" spans="1:5" outlineLevel="1" x14ac:dyDescent="0.2">
      <c r="A907" s="311"/>
      <c r="E907" s="311"/>
    </row>
    <row r="908" spans="1:5" outlineLevel="1" x14ac:dyDescent="0.2">
      <c r="A908" s="311"/>
      <c r="E908" s="311"/>
    </row>
    <row r="909" spans="1:5" outlineLevel="1" x14ac:dyDescent="0.2">
      <c r="A909" s="311"/>
      <c r="E909" s="311"/>
    </row>
    <row r="910" spans="1:5" outlineLevel="1" x14ac:dyDescent="0.2">
      <c r="A910" s="311"/>
      <c r="E910" s="311"/>
    </row>
    <row r="911" spans="1:5" outlineLevel="1" x14ac:dyDescent="0.2">
      <c r="A911" s="311"/>
      <c r="E911" s="311"/>
    </row>
    <row r="912" spans="1:5" outlineLevel="1" x14ac:dyDescent="0.2">
      <c r="A912" s="311"/>
      <c r="E912" s="311"/>
    </row>
    <row r="913" spans="1:5" outlineLevel="1" x14ac:dyDescent="0.2">
      <c r="A913" s="311"/>
      <c r="E913" s="311"/>
    </row>
    <row r="914" spans="1:5" outlineLevel="1" x14ac:dyDescent="0.2">
      <c r="A914" s="311"/>
      <c r="E914" s="311"/>
    </row>
    <row r="915" spans="1:5" outlineLevel="1" x14ac:dyDescent="0.2">
      <c r="A915" s="311"/>
      <c r="E915" s="311"/>
    </row>
    <row r="916" spans="1:5" outlineLevel="1" x14ac:dyDescent="0.2">
      <c r="A916" s="311"/>
      <c r="E916" s="311"/>
    </row>
    <row r="917" spans="1:5" outlineLevel="1" x14ac:dyDescent="0.2">
      <c r="A917" s="311"/>
      <c r="E917" s="311"/>
    </row>
    <row r="918" spans="1:5" outlineLevel="1" x14ac:dyDescent="0.2">
      <c r="A918" s="311"/>
      <c r="E918" s="311"/>
    </row>
    <row r="919" spans="1:5" outlineLevel="1" x14ac:dyDescent="0.2">
      <c r="A919" s="311"/>
      <c r="E919" s="311"/>
    </row>
    <row r="920" spans="1:5" outlineLevel="1" x14ac:dyDescent="0.2">
      <c r="A920" s="311"/>
      <c r="E920" s="311"/>
    </row>
    <row r="921" spans="1:5" outlineLevel="1" x14ac:dyDescent="0.2">
      <c r="A921" s="311"/>
      <c r="E921" s="311"/>
    </row>
    <row r="922" spans="1:5" outlineLevel="1" x14ac:dyDescent="0.2">
      <c r="A922" s="311"/>
      <c r="E922" s="311"/>
    </row>
    <row r="923" spans="1:5" outlineLevel="1" x14ac:dyDescent="0.2">
      <c r="A923" s="311"/>
      <c r="E923" s="311"/>
    </row>
    <row r="924" spans="1:5" outlineLevel="1" x14ac:dyDescent="0.2">
      <c r="A924" s="311"/>
      <c r="E924" s="311"/>
    </row>
    <row r="925" spans="1:5" outlineLevel="1" x14ac:dyDescent="0.2">
      <c r="A925" s="311"/>
      <c r="E925" s="311"/>
    </row>
    <row r="926" spans="1:5" outlineLevel="1" x14ac:dyDescent="0.2">
      <c r="A926" s="311"/>
      <c r="E926" s="311"/>
    </row>
    <row r="927" spans="1:5" outlineLevel="1" x14ac:dyDescent="0.2">
      <c r="A927" s="311"/>
      <c r="E927" s="311"/>
    </row>
    <row r="928" spans="1:5" outlineLevel="1" x14ac:dyDescent="0.2">
      <c r="A928" s="311"/>
      <c r="E928" s="311"/>
    </row>
    <row r="929" spans="1:5" outlineLevel="1" x14ac:dyDescent="0.2">
      <c r="A929" s="311"/>
      <c r="E929" s="311"/>
    </row>
    <row r="930" spans="1:5" outlineLevel="1" x14ac:dyDescent="0.2">
      <c r="A930" s="311"/>
      <c r="E930" s="311"/>
    </row>
    <row r="931" spans="1:5" outlineLevel="1" x14ac:dyDescent="0.2">
      <c r="A931" s="311"/>
      <c r="E931" s="311"/>
    </row>
    <row r="932" spans="1:5" outlineLevel="1" x14ac:dyDescent="0.2">
      <c r="A932" s="311"/>
      <c r="E932" s="311"/>
    </row>
    <row r="933" spans="1:5" outlineLevel="1" x14ac:dyDescent="0.2">
      <c r="A933" s="311"/>
      <c r="E933" s="311"/>
    </row>
    <row r="934" spans="1:5" outlineLevel="1" x14ac:dyDescent="0.2">
      <c r="A934" s="311"/>
      <c r="E934" s="311"/>
    </row>
    <row r="935" spans="1:5" outlineLevel="1" x14ac:dyDescent="0.2">
      <c r="A935" s="311"/>
      <c r="E935" s="311"/>
    </row>
    <row r="936" spans="1:5" outlineLevel="1" x14ac:dyDescent="0.2">
      <c r="A936" s="311"/>
      <c r="E936" s="311"/>
    </row>
    <row r="937" spans="1:5" outlineLevel="1" x14ac:dyDescent="0.2">
      <c r="A937" s="311"/>
      <c r="E937" s="311"/>
    </row>
    <row r="938" spans="1:5" outlineLevel="1" x14ac:dyDescent="0.2">
      <c r="A938" s="311"/>
      <c r="E938" s="311"/>
    </row>
    <row r="939" spans="1:5" outlineLevel="1" x14ac:dyDescent="0.2">
      <c r="A939" s="311"/>
      <c r="E939" s="311"/>
    </row>
    <row r="940" spans="1:5" outlineLevel="1" x14ac:dyDescent="0.2">
      <c r="A940" s="311"/>
      <c r="E940" s="311"/>
    </row>
    <row r="941" spans="1:5" outlineLevel="1" x14ac:dyDescent="0.2">
      <c r="A941" s="311"/>
      <c r="E941" s="311"/>
    </row>
    <row r="942" spans="1:5" outlineLevel="1" x14ac:dyDescent="0.2">
      <c r="A942" s="311"/>
      <c r="E942" s="311"/>
    </row>
    <row r="943" spans="1:5" outlineLevel="1" x14ac:dyDescent="0.2">
      <c r="A943" s="311"/>
      <c r="E943" s="311"/>
    </row>
    <row r="944" spans="1:5" outlineLevel="1" x14ac:dyDescent="0.2">
      <c r="A944" s="311"/>
      <c r="E944" s="311"/>
    </row>
    <row r="945" spans="1:5" outlineLevel="1" x14ac:dyDescent="0.2">
      <c r="A945" s="311"/>
      <c r="E945" s="311"/>
    </row>
    <row r="946" spans="1:5" outlineLevel="1" x14ac:dyDescent="0.2">
      <c r="A946" s="311"/>
      <c r="E946" s="311"/>
    </row>
    <row r="947" spans="1:5" outlineLevel="1" x14ac:dyDescent="0.2">
      <c r="A947" s="311"/>
      <c r="E947" s="311"/>
    </row>
    <row r="948" spans="1:5" outlineLevel="1" x14ac:dyDescent="0.2">
      <c r="A948" s="311"/>
      <c r="E948" s="311"/>
    </row>
    <row r="949" spans="1:5" outlineLevel="1" x14ac:dyDescent="0.2">
      <c r="A949" s="311"/>
      <c r="E949" s="311"/>
    </row>
    <row r="950" spans="1:5" outlineLevel="1" x14ac:dyDescent="0.2">
      <c r="A950" s="311"/>
      <c r="E950" s="311"/>
    </row>
    <row r="951" spans="1:5" outlineLevel="1" x14ac:dyDescent="0.2">
      <c r="A951" s="311"/>
      <c r="E951" s="311"/>
    </row>
    <row r="952" spans="1:5" outlineLevel="1" x14ac:dyDescent="0.2">
      <c r="A952" s="311"/>
      <c r="E952" s="311"/>
    </row>
    <row r="953" spans="1:5" outlineLevel="1" x14ac:dyDescent="0.2">
      <c r="A953" s="311"/>
      <c r="E953" s="311"/>
    </row>
    <row r="954" spans="1:5" outlineLevel="1" x14ac:dyDescent="0.2">
      <c r="A954" s="311"/>
      <c r="E954" s="311"/>
    </row>
    <row r="955" spans="1:5" outlineLevel="1" x14ac:dyDescent="0.2">
      <c r="A955" s="311"/>
    </row>
    <row r="956" spans="1:5" outlineLevel="1" x14ac:dyDescent="0.2">
      <c r="A956" s="311"/>
    </row>
    <row r="957" spans="1:5" outlineLevel="1" x14ac:dyDescent="0.2">
      <c r="A957" s="311"/>
    </row>
    <row r="958" spans="1:5" outlineLevel="1" x14ac:dyDescent="0.2">
      <c r="A958" s="311"/>
    </row>
    <row r="959" spans="1:5" outlineLevel="1" x14ac:dyDescent="0.2">
      <c r="A959" s="311"/>
    </row>
    <row r="960" spans="1:5" outlineLevel="1" x14ac:dyDescent="0.2">
      <c r="A960" s="311"/>
    </row>
    <row r="961" spans="1:1" outlineLevel="1" x14ac:dyDescent="0.2">
      <c r="A961" s="311"/>
    </row>
    <row r="962" spans="1:1" outlineLevel="1" x14ac:dyDescent="0.2">
      <c r="A962" s="311"/>
    </row>
    <row r="963" spans="1:1" outlineLevel="1" x14ac:dyDescent="0.2">
      <c r="A963" s="311"/>
    </row>
    <row r="964" spans="1:1" outlineLevel="1" x14ac:dyDescent="0.2">
      <c r="A964" s="311"/>
    </row>
    <row r="965" spans="1:1" outlineLevel="1" x14ac:dyDescent="0.2">
      <c r="A965" s="311"/>
    </row>
    <row r="966" spans="1:1" outlineLevel="1" x14ac:dyDescent="0.2">
      <c r="A966" s="311"/>
    </row>
    <row r="967" spans="1:1" outlineLevel="1" x14ac:dyDescent="0.2">
      <c r="A967" s="311"/>
    </row>
    <row r="968" spans="1:1" outlineLevel="1" x14ac:dyDescent="0.2">
      <c r="A968" s="311"/>
    </row>
    <row r="969" spans="1:1" outlineLevel="1" x14ac:dyDescent="0.2">
      <c r="A969" s="311"/>
    </row>
    <row r="970" spans="1:1" outlineLevel="1" x14ac:dyDescent="0.2">
      <c r="A970" s="311"/>
    </row>
    <row r="971" spans="1:1" outlineLevel="1" x14ac:dyDescent="0.2">
      <c r="A971" s="311"/>
    </row>
    <row r="972" spans="1:1" outlineLevel="1" x14ac:dyDescent="0.2">
      <c r="A972" s="311"/>
    </row>
    <row r="973" spans="1:1" outlineLevel="1" x14ac:dyDescent="0.2">
      <c r="A973" s="311"/>
    </row>
    <row r="974" spans="1:1" outlineLevel="1" x14ac:dyDescent="0.2">
      <c r="A974" s="311"/>
    </row>
    <row r="975" spans="1:1" outlineLevel="1" x14ac:dyDescent="0.2">
      <c r="A975" s="311"/>
    </row>
    <row r="976" spans="1:1" outlineLevel="1" x14ac:dyDescent="0.2">
      <c r="A976" s="311"/>
    </row>
    <row r="977" spans="1:1" outlineLevel="1" x14ac:dyDescent="0.2">
      <c r="A977" s="311"/>
    </row>
    <row r="978" spans="1:1" outlineLevel="1" x14ac:dyDescent="0.2">
      <c r="A978" s="311"/>
    </row>
    <row r="979" spans="1:1" outlineLevel="1" x14ac:dyDescent="0.2">
      <c r="A979" s="311"/>
    </row>
    <row r="980" spans="1:1" outlineLevel="1" x14ac:dyDescent="0.2">
      <c r="A980" s="311"/>
    </row>
    <row r="981" spans="1:1" outlineLevel="1" x14ac:dyDescent="0.2">
      <c r="A981" s="311"/>
    </row>
    <row r="982" spans="1:1" outlineLevel="1" x14ac:dyDescent="0.2">
      <c r="A982" s="311"/>
    </row>
    <row r="983" spans="1:1" outlineLevel="1" x14ac:dyDescent="0.2">
      <c r="A983" s="311"/>
    </row>
    <row r="984" spans="1:1" outlineLevel="1" x14ac:dyDescent="0.2">
      <c r="A984" s="311"/>
    </row>
    <row r="985" spans="1:1" outlineLevel="1" x14ac:dyDescent="0.2">
      <c r="A985" s="311"/>
    </row>
    <row r="986" spans="1:1" outlineLevel="1" x14ac:dyDescent="0.2">
      <c r="A986" s="311"/>
    </row>
    <row r="987" spans="1:1" outlineLevel="1" x14ac:dyDescent="0.2">
      <c r="A987" s="311"/>
    </row>
    <row r="988" spans="1:1" outlineLevel="1" x14ac:dyDescent="0.2">
      <c r="A988" s="311"/>
    </row>
    <row r="989" spans="1:1" outlineLevel="1" x14ac:dyDescent="0.2">
      <c r="A989" s="311"/>
    </row>
    <row r="990" spans="1:1" outlineLevel="1" x14ac:dyDescent="0.2">
      <c r="A990" s="311"/>
    </row>
    <row r="991" spans="1:1" outlineLevel="1" x14ac:dyDescent="0.2">
      <c r="A991" s="311"/>
    </row>
    <row r="992" spans="1:1" outlineLevel="1" x14ac:dyDescent="0.2">
      <c r="A992" s="311"/>
    </row>
    <row r="993" spans="1:1" outlineLevel="1" x14ac:dyDescent="0.2">
      <c r="A993" s="311"/>
    </row>
    <row r="994" spans="1:1" outlineLevel="1" x14ac:dyDescent="0.2">
      <c r="A994" s="311"/>
    </row>
    <row r="995" spans="1:1" outlineLevel="1" x14ac:dyDescent="0.2">
      <c r="A995" s="311"/>
    </row>
    <row r="996" spans="1:1" outlineLevel="1" x14ac:dyDescent="0.2">
      <c r="A996" s="311"/>
    </row>
    <row r="997" spans="1:1" outlineLevel="1" x14ac:dyDescent="0.2">
      <c r="A997" s="311"/>
    </row>
    <row r="998" spans="1:1" outlineLevel="1" x14ac:dyDescent="0.2">
      <c r="A998" s="311"/>
    </row>
    <row r="999" spans="1:1" outlineLevel="1" x14ac:dyDescent="0.2">
      <c r="A999" s="311"/>
    </row>
    <row r="1000" spans="1:1" outlineLevel="1" x14ac:dyDescent="0.2">
      <c r="A1000" s="311"/>
    </row>
    <row r="1001" spans="1:1" outlineLevel="1" x14ac:dyDescent="0.2">
      <c r="A1001" s="311"/>
    </row>
    <row r="1002" spans="1:1" outlineLevel="1" x14ac:dyDescent="0.2">
      <c r="A1002" s="311"/>
    </row>
    <row r="1003" spans="1:1" outlineLevel="1" x14ac:dyDescent="0.2">
      <c r="A1003" s="311"/>
    </row>
    <row r="1004" spans="1:1" outlineLevel="1" x14ac:dyDescent="0.2">
      <c r="A1004" s="311"/>
    </row>
    <row r="1005" spans="1:1" outlineLevel="1" x14ac:dyDescent="0.2">
      <c r="A1005" s="311"/>
    </row>
    <row r="1006" spans="1:1" outlineLevel="1" x14ac:dyDescent="0.2">
      <c r="A1006" s="311"/>
    </row>
    <row r="1007" spans="1:1" outlineLevel="1" x14ac:dyDescent="0.2">
      <c r="A1007" s="311"/>
    </row>
    <row r="1008" spans="1:1" outlineLevel="1" x14ac:dyDescent="0.2">
      <c r="A1008" s="311"/>
    </row>
    <row r="1009" spans="1:1" outlineLevel="1" x14ac:dyDescent="0.2">
      <c r="A1009" s="311"/>
    </row>
    <row r="1010" spans="1:1" outlineLevel="1" x14ac:dyDescent="0.2">
      <c r="A1010" s="311"/>
    </row>
    <row r="1011" spans="1:1" outlineLevel="1" x14ac:dyDescent="0.2">
      <c r="A1011" s="311"/>
    </row>
    <row r="1012" spans="1:1" outlineLevel="1" x14ac:dyDescent="0.2">
      <c r="A1012" s="311"/>
    </row>
    <row r="1013" spans="1:1" outlineLevel="1" x14ac:dyDescent="0.2">
      <c r="A1013" s="311"/>
    </row>
    <row r="1014" spans="1:1" outlineLevel="1" x14ac:dyDescent="0.2">
      <c r="A1014" s="311"/>
    </row>
    <row r="1015" spans="1:1" outlineLevel="1" x14ac:dyDescent="0.2">
      <c r="A1015" s="311"/>
    </row>
    <row r="1016" spans="1:1" outlineLevel="1" x14ac:dyDescent="0.2">
      <c r="A1016" s="311"/>
    </row>
    <row r="1017" spans="1:1" outlineLevel="1" x14ac:dyDescent="0.2">
      <c r="A1017" s="311"/>
    </row>
    <row r="1018" spans="1:1" outlineLevel="1" x14ac:dyDescent="0.2">
      <c r="A1018" s="311"/>
    </row>
    <row r="1019" spans="1:1" outlineLevel="1" x14ac:dyDescent="0.2">
      <c r="A1019" s="311"/>
    </row>
    <row r="1020" spans="1:1" outlineLevel="1" x14ac:dyDescent="0.2">
      <c r="A1020" s="311"/>
    </row>
    <row r="1021" spans="1:1" outlineLevel="1" x14ac:dyDescent="0.2">
      <c r="A1021" s="311"/>
    </row>
    <row r="1022" spans="1:1" outlineLevel="1" x14ac:dyDescent="0.2">
      <c r="A1022" s="311"/>
    </row>
    <row r="1023" spans="1:1" outlineLevel="1" x14ac:dyDescent="0.2">
      <c r="A1023" s="311"/>
    </row>
    <row r="1024" spans="1:1" outlineLevel="1" x14ac:dyDescent="0.2">
      <c r="A1024" s="311"/>
    </row>
    <row r="1025" spans="1:1" outlineLevel="1" x14ac:dyDescent="0.2">
      <c r="A1025" s="311"/>
    </row>
    <row r="1026" spans="1:1" outlineLevel="1" x14ac:dyDescent="0.2">
      <c r="A1026" s="311"/>
    </row>
    <row r="1027" spans="1:1" outlineLevel="1" x14ac:dyDescent="0.2">
      <c r="A1027" s="311"/>
    </row>
    <row r="1028" spans="1:1" outlineLevel="1" x14ac:dyDescent="0.2">
      <c r="A1028" s="311"/>
    </row>
    <row r="1029" spans="1:1" outlineLevel="1" x14ac:dyDescent="0.2">
      <c r="A1029" s="311"/>
    </row>
    <row r="1030" spans="1:1" outlineLevel="1" x14ac:dyDescent="0.2">
      <c r="A1030" s="311"/>
    </row>
    <row r="1031" spans="1:1" outlineLevel="1" x14ac:dyDescent="0.2">
      <c r="A1031" s="311"/>
    </row>
    <row r="1032" spans="1:1" outlineLevel="1" x14ac:dyDescent="0.2">
      <c r="A1032" s="311"/>
    </row>
    <row r="1033" spans="1:1" outlineLevel="1" x14ac:dyDescent="0.2">
      <c r="A1033" s="311"/>
    </row>
    <row r="1034" spans="1:1" outlineLevel="1" x14ac:dyDescent="0.2">
      <c r="A1034" s="311"/>
    </row>
    <row r="1035" spans="1:1" outlineLevel="1" x14ac:dyDescent="0.2">
      <c r="A1035" s="311"/>
    </row>
    <row r="1036" spans="1:1" outlineLevel="1" x14ac:dyDescent="0.2">
      <c r="A1036" s="311"/>
    </row>
    <row r="1037" spans="1:1" outlineLevel="1" x14ac:dyDescent="0.2">
      <c r="A1037" s="311"/>
    </row>
    <row r="1038" spans="1:1" outlineLevel="1" x14ac:dyDescent="0.2">
      <c r="A1038" s="311"/>
    </row>
    <row r="1039" spans="1:1" outlineLevel="1" x14ac:dyDescent="0.2">
      <c r="A1039" s="311"/>
    </row>
    <row r="1040" spans="1:1" outlineLevel="1" x14ac:dyDescent="0.2">
      <c r="A1040" s="311"/>
    </row>
    <row r="1041" spans="1:1" outlineLevel="1" x14ac:dyDescent="0.2">
      <c r="A1041" s="311"/>
    </row>
    <row r="1042" spans="1:1" outlineLevel="1" x14ac:dyDescent="0.2">
      <c r="A1042" s="311"/>
    </row>
    <row r="1043" spans="1:1" outlineLevel="1" x14ac:dyDescent="0.2">
      <c r="A1043" s="311"/>
    </row>
    <row r="1044" spans="1:1" outlineLevel="1" x14ac:dyDescent="0.2">
      <c r="A1044" s="311"/>
    </row>
    <row r="1045" spans="1:1" outlineLevel="1" x14ac:dyDescent="0.2">
      <c r="A1045" s="311"/>
    </row>
    <row r="1046" spans="1:1" outlineLevel="1" x14ac:dyDescent="0.2">
      <c r="A1046" s="311"/>
    </row>
    <row r="1047" spans="1:1" outlineLevel="1" x14ac:dyDescent="0.2">
      <c r="A1047" s="311"/>
    </row>
    <row r="1048" spans="1:1" outlineLevel="1" x14ac:dyDescent="0.2">
      <c r="A1048" s="311"/>
    </row>
    <row r="1049" spans="1:1" outlineLevel="1" x14ac:dyDescent="0.2">
      <c r="A1049" s="311"/>
    </row>
    <row r="1050" spans="1:1" outlineLevel="1" x14ac:dyDescent="0.2">
      <c r="A1050" s="311"/>
    </row>
    <row r="1051" spans="1:1" outlineLevel="1" x14ac:dyDescent="0.2">
      <c r="A1051" s="311"/>
    </row>
    <row r="1052" spans="1:1" outlineLevel="1" x14ac:dyDescent="0.2">
      <c r="A1052" s="311"/>
    </row>
    <row r="1053" spans="1:1" outlineLevel="1" x14ac:dyDescent="0.2">
      <c r="A1053" s="311"/>
    </row>
    <row r="1054" spans="1:1" outlineLevel="1" x14ac:dyDescent="0.2">
      <c r="A1054" s="311"/>
    </row>
    <row r="1055" spans="1:1" outlineLevel="1" x14ac:dyDescent="0.2">
      <c r="A1055" s="311"/>
    </row>
    <row r="1056" spans="1:1" outlineLevel="1" x14ac:dyDescent="0.2">
      <c r="A1056" s="311"/>
    </row>
    <row r="1057" spans="1:1" outlineLevel="1" x14ac:dyDescent="0.2">
      <c r="A1057" s="311"/>
    </row>
    <row r="1058" spans="1:1" outlineLevel="1" x14ac:dyDescent="0.2">
      <c r="A1058" s="311"/>
    </row>
    <row r="1059" spans="1:1" outlineLevel="1" x14ac:dyDescent="0.2">
      <c r="A1059" s="311"/>
    </row>
    <row r="1060" spans="1:1" outlineLevel="1" x14ac:dyDescent="0.2">
      <c r="A1060" s="311"/>
    </row>
    <row r="1061" spans="1:1" outlineLevel="1" x14ac:dyDescent="0.2">
      <c r="A1061" s="311"/>
    </row>
    <row r="1062" spans="1:1" outlineLevel="1" x14ac:dyDescent="0.2">
      <c r="A1062" s="311"/>
    </row>
    <row r="1063" spans="1:1" outlineLevel="1" x14ac:dyDescent="0.2">
      <c r="A1063" s="311"/>
    </row>
    <row r="1064" spans="1:1" outlineLevel="1" x14ac:dyDescent="0.2">
      <c r="A1064" s="311"/>
    </row>
    <row r="1065" spans="1:1" outlineLevel="1" x14ac:dyDescent="0.2">
      <c r="A1065" s="311"/>
    </row>
    <row r="1066" spans="1:1" outlineLevel="1" x14ac:dyDescent="0.2">
      <c r="A1066" s="311"/>
    </row>
    <row r="1067" spans="1:1" outlineLevel="1" x14ac:dyDescent="0.2">
      <c r="A1067" s="311"/>
    </row>
    <row r="1068" spans="1:1" outlineLevel="1" x14ac:dyDescent="0.2">
      <c r="A1068" s="311"/>
    </row>
    <row r="1069" spans="1:1" outlineLevel="1" x14ac:dyDescent="0.2">
      <c r="A1069" s="311"/>
    </row>
    <row r="1070" spans="1:1" outlineLevel="1" x14ac:dyDescent="0.2">
      <c r="A1070" s="311"/>
    </row>
    <row r="1071" spans="1:1" outlineLevel="1" x14ac:dyDescent="0.2"/>
    <row r="1072" spans="1:1" outlineLevel="1" x14ac:dyDescent="0.2"/>
    <row r="1073" outlineLevel="1" x14ac:dyDescent="0.2"/>
    <row r="1074" outlineLevel="1" x14ac:dyDescent="0.2"/>
    <row r="1075" outlineLevel="1" x14ac:dyDescent="0.2"/>
    <row r="1076" outlineLevel="1" x14ac:dyDescent="0.2"/>
    <row r="1077" outlineLevel="1" x14ac:dyDescent="0.2"/>
    <row r="1078" outlineLevel="1" x14ac:dyDescent="0.2"/>
    <row r="1079" outlineLevel="1" x14ac:dyDescent="0.2"/>
    <row r="1080" outlineLevel="1" x14ac:dyDescent="0.2"/>
    <row r="1081" outlineLevel="1" x14ac:dyDescent="0.2"/>
    <row r="1082" outlineLevel="1" x14ac:dyDescent="0.2"/>
    <row r="1083" outlineLevel="1" x14ac:dyDescent="0.2"/>
    <row r="1084" outlineLevel="1" x14ac:dyDescent="0.2"/>
    <row r="1085" outlineLevel="1" x14ac:dyDescent="0.2"/>
    <row r="1086" outlineLevel="1" x14ac:dyDescent="0.2"/>
    <row r="1087" outlineLevel="1" x14ac:dyDescent="0.2"/>
    <row r="1088" outlineLevel="1" x14ac:dyDescent="0.2"/>
    <row r="1089" outlineLevel="1" x14ac:dyDescent="0.2"/>
    <row r="1090" outlineLevel="1" x14ac:dyDescent="0.2"/>
    <row r="1091" outlineLevel="1" x14ac:dyDescent="0.2"/>
    <row r="1092" outlineLevel="1" x14ac:dyDescent="0.2"/>
    <row r="1093" outlineLevel="1" x14ac:dyDescent="0.2"/>
    <row r="1094" outlineLevel="1" x14ac:dyDescent="0.2"/>
    <row r="1095" outlineLevel="1" x14ac:dyDescent="0.2"/>
    <row r="1096" outlineLevel="1" x14ac:dyDescent="0.2"/>
    <row r="1097" outlineLevel="1" x14ac:dyDescent="0.2"/>
    <row r="1098" outlineLevel="1" x14ac:dyDescent="0.2"/>
    <row r="1099" outlineLevel="1" x14ac:dyDescent="0.2"/>
    <row r="1100" outlineLevel="1" x14ac:dyDescent="0.2"/>
    <row r="1101" outlineLevel="1" x14ac:dyDescent="0.2"/>
    <row r="1102" outlineLevel="1" x14ac:dyDescent="0.2"/>
    <row r="1103" outlineLevel="1" x14ac:dyDescent="0.2"/>
    <row r="1104" outlineLevel="1" x14ac:dyDescent="0.2"/>
    <row r="1105" outlineLevel="1" x14ac:dyDescent="0.2"/>
    <row r="1106" outlineLevel="1" x14ac:dyDescent="0.2"/>
    <row r="1107" outlineLevel="1" x14ac:dyDescent="0.2"/>
    <row r="1108" outlineLevel="1" x14ac:dyDescent="0.2"/>
    <row r="1109" outlineLevel="1" x14ac:dyDescent="0.2"/>
    <row r="1110" outlineLevel="1" x14ac:dyDescent="0.2"/>
    <row r="1111" outlineLevel="1" x14ac:dyDescent="0.2"/>
    <row r="1112" outlineLevel="1" x14ac:dyDescent="0.2"/>
    <row r="1113" outlineLevel="1" x14ac:dyDescent="0.2"/>
    <row r="1114" outlineLevel="1" x14ac:dyDescent="0.2"/>
    <row r="1115" outlineLevel="1" x14ac:dyDescent="0.2"/>
    <row r="1116" outlineLevel="1" x14ac:dyDescent="0.2"/>
    <row r="1117" outlineLevel="1" x14ac:dyDescent="0.2"/>
    <row r="1118" outlineLevel="1" x14ac:dyDescent="0.2"/>
    <row r="1119" outlineLevel="1" x14ac:dyDescent="0.2"/>
    <row r="1120" outlineLevel="1" x14ac:dyDescent="0.2"/>
    <row r="1121" outlineLevel="1" x14ac:dyDescent="0.2"/>
    <row r="1122" outlineLevel="1" x14ac:dyDescent="0.2"/>
    <row r="1123" outlineLevel="1" x14ac:dyDescent="0.2"/>
    <row r="1124" outlineLevel="1" x14ac:dyDescent="0.2"/>
    <row r="1125" outlineLevel="1" x14ac:dyDescent="0.2"/>
    <row r="1126" outlineLevel="1" x14ac:dyDescent="0.2"/>
    <row r="1127" outlineLevel="1" x14ac:dyDescent="0.2"/>
    <row r="1128" outlineLevel="1" x14ac:dyDescent="0.2"/>
    <row r="1129" outlineLevel="1" x14ac:dyDescent="0.2"/>
    <row r="1130" outlineLevel="1" x14ac:dyDescent="0.2"/>
    <row r="1131" outlineLevel="1" x14ac:dyDescent="0.2"/>
    <row r="1132" outlineLevel="1" x14ac:dyDescent="0.2"/>
    <row r="1133" outlineLevel="1" x14ac:dyDescent="0.2"/>
    <row r="1134" outlineLevel="1" x14ac:dyDescent="0.2"/>
    <row r="1135" outlineLevel="1" x14ac:dyDescent="0.2"/>
    <row r="1136" outlineLevel="1" x14ac:dyDescent="0.2"/>
    <row r="1137" outlineLevel="1" x14ac:dyDescent="0.2"/>
    <row r="1138" outlineLevel="1" x14ac:dyDescent="0.2"/>
    <row r="1139" outlineLevel="1" x14ac:dyDescent="0.2"/>
    <row r="1140" outlineLevel="1" x14ac:dyDescent="0.2"/>
    <row r="1141" outlineLevel="1" x14ac:dyDescent="0.2"/>
    <row r="1142" outlineLevel="1" x14ac:dyDescent="0.2"/>
    <row r="1143" outlineLevel="1" x14ac:dyDescent="0.2"/>
    <row r="1144" outlineLevel="1" x14ac:dyDescent="0.2"/>
    <row r="1145" outlineLevel="1" x14ac:dyDescent="0.2"/>
    <row r="1146" outlineLevel="1" x14ac:dyDescent="0.2"/>
    <row r="1147" outlineLevel="1" x14ac:dyDescent="0.2"/>
    <row r="1148" outlineLevel="1" x14ac:dyDescent="0.2"/>
    <row r="1149" outlineLevel="1" x14ac:dyDescent="0.2"/>
    <row r="1150" outlineLevel="1" x14ac:dyDescent="0.2"/>
    <row r="1151" outlineLevel="1" x14ac:dyDescent="0.2"/>
    <row r="1152" outlineLevel="1" x14ac:dyDescent="0.2"/>
    <row r="1153" outlineLevel="1" x14ac:dyDescent="0.2"/>
    <row r="1154" outlineLevel="1" x14ac:dyDescent="0.2"/>
    <row r="1155" outlineLevel="1" x14ac:dyDescent="0.2"/>
    <row r="1156" outlineLevel="1" x14ac:dyDescent="0.2"/>
    <row r="1157" outlineLevel="1" x14ac:dyDescent="0.2"/>
    <row r="1158" outlineLevel="1" x14ac:dyDescent="0.2"/>
    <row r="1159" outlineLevel="1" x14ac:dyDescent="0.2"/>
    <row r="1160" outlineLevel="1" x14ac:dyDescent="0.2"/>
    <row r="1161" outlineLevel="1" x14ac:dyDescent="0.2"/>
    <row r="1162" outlineLevel="1" x14ac:dyDescent="0.2"/>
    <row r="1163" outlineLevel="1" x14ac:dyDescent="0.2"/>
    <row r="1164" outlineLevel="1" x14ac:dyDescent="0.2"/>
    <row r="1165" outlineLevel="1" x14ac:dyDescent="0.2"/>
    <row r="1166" outlineLevel="1" x14ac:dyDescent="0.2"/>
    <row r="1167" outlineLevel="1" x14ac:dyDescent="0.2"/>
    <row r="1168" outlineLevel="1" x14ac:dyDescent="0.2"/>
    <row r="1169" outlineLevel="1" x14ac:dyDescent="0.2"/>
    <row r="1170" outlineLevel="1" x14ac:dyDescent="0.2"/>
    <row r="1171" outlineLevel="1" x14ac:dyDescent="0.2"/>
    <row r="1172" outlineLevel="1" x14ac:dyDescent="0.2"/>
    <row r="1173" outlineLevel="1" x14ac:dyDescent="0.2"/>
    <row r="1174" outlineLevel="1" x14ac:dyDescent="0.2"/>
    <row r="1175" outlineLevel="1" x14ac:dyDescent="0.2"/>
    <row r="1176" outlineLevel="1" x14ac:dyDescent="0.2"/>
    <row r="1177" outlineLevel="1" x14ac:dyDescent="0.2"/>
    <row r="1178" outlineLevel="1" x14ac:dyDescent="0.2"/>
    <row r="1179" outlineLevel="1" x14ac:dyDescent="0.2"/>
    <row r="1180" outlineLevel="1" x14ac:dyDescent="0.2"/>
    <row r="1181" outlineLevel="1" x14ac:dyDescent="0.2"/>
    <row r="1182" outlineLevel="1" x14ac:dyDescent="0.2"/>
    <row r="1183" outlineLevel="1" x14ac:dyDescent="0.2"/>
    <row r="1184" outlineLevel="1" x14ac:dyDescent="0.2"/>
    <row r="1185" outlineLevel="1" x14ac:dyDescent="0.2"/>
    <row r="1186" outlineLevel="1" x14ac:dyDescent="0.2"/>
    <row r="1187" outlineLevel="1" x14ac:dyDescent="0.2"/>
    <row r="1188" outlineLevel="1" x14ac:dyDescent="0.2"/>
    <row r="1189" outlineLevel="1" x14ac:dyDescent="0.2"/>
    <row r="1190" outlineLevel="1" x14ac:dyDescent="0.2"/>
    <row r="1191" outlineLevel="1" x14ac:dyDescent="0.2"/>
    <row r="1192" outlineLevel="1" x14ac:dyDescent="0.2"/>
    <row r="1193" outlineLevel="1" x14ac:dyDescent="0.2"/>
    <row r="1194" outlineLevel="1" x14ac:dyDescent="0.2"/>
    <row r="1195" outlineLevel="1" x14ac:dyDescent="0.2"/>
    <row r="1196" outlineLevel="1" x14ac:dyDescent="0.2"/>
    <row r="1197" outlineLevel="1" x14ac:dyDescent="0.2"/>
    <row r="1198" outlineLevel="1" x14ac:dyDescent="0.2"/>
    <row r="1199" outlineLevel="1" x14ac:dyDescent="0.2"/>
    <row r="1200" outlineLevel="1" x14ac:dyDescent="0.2"/>
    <row r="1201" outlineLevel="1" x14ac:dyDescent="0.2"/>
    <row r="1202" outlineLevel="1" x14ac:dyDescent="0.2"/>
    <row r="1203" outlineLevel="1" x14ac:dyDescent="0.2"/>
    <row r="1204" outlineLevel="1" x14ac:dyDescent="0.2"/>
    <row r="1205" outlineLevel="1" x14ac:dyDescent="0.2"/>
    <row r="1206" outlineLevel="1" x14ac:dyDescent="0.2"/>
    <row r="1207" outlineLevel="1" x14ac:dyDescent="0.2"/>
    <row r="1208" outlineLevel="1" x14ac:dyDescent="0.2"/>
    <row r="1209" outlineLevel="1" x14ac:dyDescent="0.2"/>
    <row r="1210" outlineLevel="1" x14ac:dyDescent="0.2"/>
    <row r="1211" outlineLevel="1" x14ac:dyDescent="0.2"/>
    <row r="1212" outlineLevel="1" x14ac:dyDescent="0.2"/>
    <row r="1213" outlineLevel="1" x14ac:dyDescent="0.2"/>
    <row r="1214" outlineLevel="1" x14ac:dyDescent="0.2"/>
    <row r="1215" outlineLevel="1" x14ac:dyDescent="0.2"/>
    <row r="1216" outlineLevel="1" x14ac:dyDescent="0.2"/>
    <row r="1217" outlineLevel="1" x14ac:dyDescent="0.2"/>
    <row r="1218" outlineLevel="1" x14ac:dyDescent="0.2"/>
    <row r="1219" outlineLevel="1" x14ac:dyDescent="0.2"/>
    <row r="1220" outlineLevel="1" x14ac:dyDescent="0.2"/>
    <row r="1221" outlineLevel="1" x14ac:dyDescent="0.2"/>
    <row r="1222" outlineLevel="1" x14ac:dyDescent="0.2"/>
    <row r="1223" outlineLevel="1" x14ac:dyDescent="0.2"/>
    <row r="1224" outlineLevel="1" x14ac:dyDescent="0.2"/>
    <row r="1225" outlineLevel="1" x14ac:dyDescent="0.2"/>
    <row r="1226" outlineLevel="1" x14ac:dyDescent="0.2"/>
    <row r="1227" outlineLevel="1" x14ac:dyDescent="0.2"/>
    <row r="1228" outlineLevel="1" x14ac:dyDescent="0.2"/>
    <row r="1229" outlineLevel="1" x14ac:dyDescent="0.2"/>
    <row r="1230" outlineLevel="1" x14ac:dyDescent="0.2"/>
    <row r="1231" outlineLevel="1" x14ac:dyDescent="0.2"/>
    <row r="1232" outlineLevel="1" x14ac:dyDescent="0.2"/>
    <row r="1233" outlineLevel="1" x14ac:dyDescent="0.2"/>
    <row r="1234" outlineLevel="1" x14ac:dyDescent="0.2"/>
    <row r="1235" outlineLevel="1" x14ac:dyDescent="0.2"/>
    <row r="1236" outlineLevel="1" x14ac:dyDescent="0.2"/>
    <row r="1237" outlineLevel="1" x14ac:dyDescent="0.2"/>
    <row r="1238" outlineLevel="1" x14ac:dyDescent="0.2"/>
    <row r="1239" outlineLevel="1" x14ac:dyDescent="0.2"/>
    <row r="1240" outlineLevel="1" x14ac:dyDescent="0.2"/>
    <row r="1241" outlineLevel="1" x14ac:dyDescent="0.2"/>
    <row r="1242" outlineLevel="1" x14ac:dyDescent="0.2"/>
    <row r="1243" outlineLevel="1" x14ac:dyDescent="0.2"/>
    <row r="1244" outlineLevel="1" x14ac:dyDescent="0.2"/>
    <row r="1245" outlineLevel="1" x14ac:dyDescent="0.2"/>
    <row r="1246" outlineLevel="1" x14ac:dyDescent="0.2"/>
    <row r="1247" outlineLevel="1" x14ac:dyDescent="0.2"/>
    <row r="1248" outlineLevel="1" x14ac:dyDescent="0.2"/>
    <row r="1249" outlineLevel="1" x14ac:dyDescent="0.2"/>
    <row r="1250" outlineLevel="1" x14ac:dyDescent="0.2"/>
    <row r="1251" outlineLevel="1" x14ac:dyDescent="0.2"/>
    <row r="1252" outlineLevel="1" x14ac:dyDescent="0.2"/>
    <row r="1253" outlineLevel="1" x14ac:dyDescent="0.2"/>
    <row r="1254" outlineLevel="1" x14ac:dyDescent="0.2"/>
    <row r="1255" outlineLevel="1" x14ac:dyDescent="0.2"/>
    <row r="1256" outlineLevel="1" x14ac:dyDescent="0.2"/>
    <row r="1257" outlineLevel="1" x14ac:dyDescent="0.2"/>
    <row r="1258" outlineLevel="1" x14ac:dyDescent="0.2"/>
    <row r="1259" outlineLevel="1" x14ac:dyDescent="0.2"/>
    <row r="1260" outlineLevel="1" x14ac:dyDescent="0.2"/>
    <row r="1261" outlineLevel="1" x14ac:dyDescent="0.2"/>
    <row r="1262" outlineLevel="1" x14ac:dyDescent="0.2"/>
    <row r="1263" outlineLevel="1" x14ac:dyDescent="0.2"/>
    <row r="1264" outlineLevel="1" x14ac:dyDescent="0.2"/>
    <row r="1265" outlineLevel="1" x14ac:dyDescent="0.2"/>
    <row r="1266" outlineLevel="1" x14ac:dyDescent="0.2"/>
    <row r="1267" outlineLevel="1" x14ac:dyDescent="0.2"/>
    <row r="1268" outlineLevel="1" x14ac:dyDescent="0.2"/>
    <row r="1269" outlineLevel="1" x14ac:dyDescent="0.2"/>
    <row r="1270" outlineLevel="1" x14ac:dyDescent="0.2"/>
    <row r="1271" outlineLevel="1" x14ac:dyDescent="0.2"/>
    <row r="1272" outlineLevel="1" x14ac:dyDescent="0.2"/>
    <row r="1273" outlineLevel="1" x14ac:dyDescent="0.2"/>
    <row r="1274" outlineLevel="1" x14ac:dyDescent="0.2"/>
    <row r="1275" outlineLevel="1" x14ac:dyDescent="0.2"/>
    <row r="1276" outlineLevel="1" x14ac:dyDescent="0.2"/>
    <row r="1277" outlineLevel="1" x14ac:dyDescent="0.2"/>
    <row r="1278" outlineLevel="1" x14ac:dyDescent="0.2"/>
    <row r="1279" outlineLevel="1" x14ac:dyDescent="0.2"/>
    <row r="1280" outlineLevel="1" x14ac:dyDescent="0.2"/>
    <row r="1281" outlineLevel="1" x14ac:dyDescent="0.2"/>
    <row r="1282" outlineLevel="1" x14ac:dyDescent="0.2"/>
    <row r="1283" outlineLevel="1" x14ac:dyDescent="0.2"/>
    <row r="1284" outlineLevel="1" x14ac:dyDescent="0.2"/>
    <row r="1285" outlineLevel="1" x14ac:dyDescent="0.2"/>
    <row r="1286" outlineLevel="1" x14ac:dyDescent="0.2"/>
    <row r="1287" outlineLevel="1" x14ac:dyDescent="0.2"/>
    <row r="1288" outlineLevel="1" x14ac:dyDescent="0.2"/>
    <row r="1289" outlineLevel="1" x14ac:dyDescent="0.2"/>
    <row r="1290" outlineLevel="1" x14ac:dyDescent="0.2"/>
    <row r="1291" outlineLevel="1" x14ac:dyDescent="0.2"/>
    <row r="1292" outlineLevel="1" x14ac:dyDescent="0.2"/>
    <row r="1293" outlineLevel="1" x14ac:dyDescent="0.2"/>
    <row r="1294" outlineLevel="1" x14ac:dyDescent="0.2"/>
    <row r="1295" outlineLevel="1" x14ac:dyDescent="0.2"/>
    <row r="1296" outlineLevel="1" x14ac:dyDescent="0.2"/>
    <row r="1297" outlineLevel="1" x14ac:dyDescent="0.2"/>
    <row r="1298" outlineLevel="1" x14ac:dyDescent="0.2"/>
    <row r="1299" outlineLevel="1" x14ac:dyDescent="0.2"/>
    <row r="1300" outlineLevel="1" x14ac:dyDescent="0.2"/>
    <row r="1301" outlineLevel="1" x14ac:dyDescent="0.2"/>
    <row r="1302" outlineLevel="1" x14ac:dyDescent="0.2"/>
    <row r="1303" outlineLevel="1" x14ac:dyDescent="0.2"/>
    <row r="1304" outlineLevel="1" x14ac:dyDescent="0.2"/>
    <row r="1305" outlineLevel="1" x14ac:dyDescent="0.2"/>
    <row r="1306" outlineLevel="1" x14ac:dyDescent="0.2"/>
    <row r="1307" outlineLevel="1" x14ac:dyDescent="0.2"/>
    <row r="1308" outlineLevel="1" x14ac:dyDescent="0.2"/>
    <row r="1309" outlineLevel="1" x14ac:dyDescent="0.2"/>
    <row r="1310" outlineLevel="1" x14ac:dyDescent="0.2"/>
    <row r="1311" outlineLevel="1" x14ac:dyDescent="0.2"/>
    <row r="1312" outlineLevel="1" x14ac:dyDescent="0.2"/>
    <row r="1313" outlineLevel="1" x14ac:dyDescent="0.2"/>
    <row r="1314" outlineLevel="1" x14ac:dyDescent="0.2"/>
    <row r="1315" outlineLevel="1" x14ac:dyDescent="0.2"/>
    <row r="1316" outlineLevel="1" x14ac:dyDescent="0.2"/>
    <row r="1317" outlineLevel="1" x14ac:dyDescent="0.2"/>
    <row r="1318" outlineLevel="1" x14ac:dyDescent="0.2"/>
    <row r="1319" outlineLevel="1" x14ac:dyDescent="0.2"/>
    <row r="1320" outlineLevel="1" x14ac:dyDescent="0.2"/>
    <row r="1321" outlineLevel="1" x14ac:dyDescent="0.2"/>
    <row r="1322" outlineLevel="1" x14ac:dyDescent="0.2"/>
    <row r="1323" outlineLevel="1" x14ac:dyDescent="0.2"/>
    <row r="1324" outlineLevel="1" x14ac:dyDescent="0.2"/>
    <row r="1325" outlineLevel="1" x14ac:dyDescent="0.2"/>
    <row r="1326" outlineLevel="1" x14ac:dyDescent="0.2"/>
    <row r="1327" outlineLevel="1" x14ac:dyDescent="0.2"/>
    <row r="1328" outlineLevel="1" x14ac:dyDescent="0.2"/>
    <row r="1329" outlineLevel="1" x14ac:dyDescent="0.2"/>
    <row r="1330" outlineLevel="1" x14ac:dyDescent="0.2"/>
    <row r="1331" outlineLevel="1" x14ac:dyDescent="0.2"/>
    <row r="1332" outlineLevel="1" x14ac:dyDescent="0.2"/>
    <row r="1333" outlineLevel="1" x14ac:dyDescent="0.2"/>
    <row r="1334" outlineLevel="1" x14ac:dyDescent="0.2"/>
    <row r="1335" outlineLevel="1" x14ac:dyDescent="0.2"/>
    <row r="1336" outlineLevel="1" x14ac:dyDescent="0.2"/>
    <row r="1337" outlineLevel="1" x14ac:dyDescent="0.2"/>
    <row r="1338" outlineLevel="1" x14ac:dyDescent="0.2"/>
    <row r="1339" outlineLevel="1" x14ac:dyDescent="0.2"/>
    <row r="1340" outlineLevel="1" x14ac:dyDescent="0.2"/>
    <row r="1341" outlineLevel="1" x14ac:dyDescent="0.2"/>
    <row r="1342" outlineLevel="1" x14ac:dyDescent="0.2"/>
    <row r="1343" outlineLevel="1" x14ac:dyDescent="0.2"/>
    <row r="1344" outlineLevel="1" x14ac:dyDescent="0.2"/>
    <row r="1345" outlineLevel="1" x14ac:dyDescent="0.2"/>
    <row r="1346" outlineLevel="1" x14ac:dyDescent="0.2"/>
    <row r="1347" outlineLevel="1" x14ac:dyDescent="0.2"/>
    <row r="1348" outlineLevel="1" x14ac:dyDescent="0.2"/>
    <row r="1349" outlineLevel="1" x14ac:dyDescent="0.2"/>
    <row r="1350" outlineLevel="1" x14ac:dyDescent="0.2"/>
    <row r="1351" outlineLevel="1" x14ac:dyDescent="0.2"/>
    <row r="1352" outlineLevel="1" x14ac:dyDescent="0.2"/>
    <row r="1353" outlineLevel="1" x14ac:dyDescent="0.2"/>
    <row r="1354" outlineLevel="1" x14ac:dyDescent="0.2"/>
    <row r="1355" outlineLevel="1" x14ac:dyDescent="0.2"/>
    <row r="1356" outlineLevel="1" x14ac:dyDescent="0.2"/>
    <row r="1357" outlineLevel="1" x14ac:dyDescent="0.2"/>
    <row r="1358" outlineLevel="1" x14ac:dyDescent="0.2"/>
    <row r="1359" outlineLevel="1" x14ac:dyDescent="0.2"/>
    <row r="1360" outlineLevel="1" x14ac:dyDescent="0.2"/>
    <row r="1361" outlineLevel="1" x14ac:dyDescent="0.2"/>
    <row r="1362" outlineLevel="1" x14ac:dyDescent="0.2"/>
    <row r="1363" outlineLevel="1" x14ac:dyDescent="0.2"/>
    <row r="1364" outlineLevel="1" x14ac:dyDescent="0.2"/>
    <row r="1365" outlineLevel="1" x14ac:dyDescent="0.2"/>
    <row r="1366" outlineLevel="1" x14ac:dyDescent="0.2"/>
    <row r="1367" outlineLevel="1" x14ac:dyDescent="0.2"/>
    <row r="1368" outlineLevel="1" x14ac:dyDescent="0.2"/>
    <row r="1369" outlineLevel="1" x14ac:dyDescent="0.2"/>
    <row r="1370" outlineLevel="1" x14ac:dyDescent="0.2"/>
    <row r="1371" outlineLevel="1" x14ac:dyDescent="0.2"/>
    <row r="1372" outlineLevel="1" x14ac:dyDescent="0.2"/>
    <row r="1373" outlineLevel="1" x14ac:dyDescent="0.2"/>
    <row r="1374" outlineLevel="1" x14ac:dyDescent="0.2"/>
    <row r="1375" outlineLevel="1" x14ac:dyDescent="0.2"/>
    <row r="1376" outlineLevel="1" x14ac:dyDescent="0.2"/>
    <row r="1377" outlineLevel="1" x14ac:dyDescent="0.2"/>
    <row r="1378" outlineLevel="1" x14ac:dyDescent="0.2"/>
    <row r="1379" outlineLevel="1" x14ac:dyDescent="0.2"/>
    <row r="1380" outlineLevel="1" x14ac:dyDescent="0.2"/>
    <row r="1381" outlineLevel="1" x14ac:dyDescent="0.2"/>
    <row r="1382" outlineLevel="1" x14ac:dyDescent="0.2"/>
    <row r="1383" outlineLevel="1" x14ac:dyDescent="0.2"/>
    <row r="1384" outlineLevel="1" x14ac:dyDescent="0.2"/>
    <row r="1385" outlineLevel="1" x14ac:dyDescent="0.2"/>
    <row r="1386" outlineLevel="1" x14ac:dyDescent="0.2"/>
    <row r="1387" outlineLevel="1" x14ac:dyDescent="0.2"/>
    <row r="1388" outlineLevel="1" x14ac:dyDescent="0.2"/>
    <row r="1389" outlineLevel="1" x14ac:dyDescent="0.2"/>
    <row r="1390" outlineLevel="1" x14ac:dyDescent="0.2"/>
    <row r="1391" outlineLevel="1" x14ac:dyDescent="0.2"/>
    <row r="1392" outlineLevel="1" x14ac:dyDescent="0.2"/>
    <row r="1393" outlineLevel="1" x14ac:dyDescent="0.2"/>
    <row r="1394" outlineLevel="1" x14ac:dyDescent="0.2"/>
    <row r="1395" outlineLevel="1" x14ac:dyDescent="0.2"/>
    <row r="1396" outlineLevel="1" x14ac:dyDescent="0.2"/>
    <row r="1397" outlineLevel="1" x14ac:dyDescent="0.2"/>
    <row r="1398" outlineLevel="1" x14ac:dyDescent="0.2"/>
    <row r="1399" outlineLevel="1" x14ac:dyDescent="0.2"/>
    <row r="1400" outlineLevel="1" x14ac:dyDescent="0.2"/>
    <row r="1401" outlineLevel="1" x14ac:dyDescent="0.2"/>
    <row r="1402" outlineLevel="1" x14ac:dyDescent="0.2"/>
    <row r="1403" outlineLevel="1" x14ac:dyDescent="0.2"/>
    <row r="1404" outlineLevel="1" x14ac:dyDescent="0.2"/>
    <row r="1405" outlineLevel="1" x14ac:dyDescent="0.2"/>
    <row r="1406" outlineLevel="1" x14ac:dyDescent="0.2"/>
    <row r="1407" outlineLevel="1" x14ac:dyDescent="0.2"/>
    <row r="1408" outlineLevel="1" x14ac:dyDescent="0.2"/>
    <row r="1409" outlineLevel="1" x14ac:dyDescent="0.2"/>
    <row r="1410" outlineLevel="1" x14ac:dyDescent="0.2"/>
    <row r="1411" outlineLevel="1" x14ac:dyDescent="0.2"/>
    <row r="1412" outlineLevel="1" x14ac:dyDescent="0.2"/>
    <row r="1413" outlineLevel="1" x14ac:dyDescent="0.2"/>
    <row r="1414" outlineLevel="1" x14ac:dyDescent="0.2"/>
    <row r="1415" outlineLevel="1" x14ac:dyDescent="0.2"/>
    <row r="1416" outlineLevel="1" x14ac:dyDescent="0.2"/>
    <row r="1417" outlineLevel="1" x14ac:dyDescent="0.2"/>
    <row r="1418" outlineLevel="1" x14ac:dyDescent="0.2"/>
    <row r="1419" outlineLevel="1" x14ac:dyDescent="0.2"/>
    <row r="1420" outlineLevel="1" x14ac:dyDescent="0.2"/>
    <row r="1421" outlineLevel="1" x14ac:dyDescent="0.2"/>
    <row r="1422" outlineLevel="1" x14ac:dyDescent="0.2"/>
    <row r="1423" outlineLevel="1" x14ac:dyDescent="0.2"/>
    <row r="1424" outlineLevel="1" x14ac:dyDescent="0.2"/>
    <row r="1425" outlineLevel="1" x14ac:dyDescent="0.2"/>
    <row r="1426" outlineLevel="1" x14ac:dyDescent="0.2"/>
    <row r="1427" outlineLevel="1" x14ac:dyDescent="0.2"/>
    <row r="1428" outlineLevel="1" x14ac:dyDescent="0.2"/>
    <row r="1429" outlineLevel="1" x14ac:dyDescent="0.2"/>
    <row r="1430" outlineLevel="1" x14ac:dyDescent="0.2"/>
    <row r="1431" outlineLevel="1" x14ac:dyDescent="0.2"/>
    <row r="1432" outlineLevel="1" x14ac:dyDescent="0.2"/>
    <row r="1433" outlineLevel="1" x14ac:dyDescent="0.2"/>
    <row r="1434" outlineLevel="1" x14ac:dyDescent="0.2"/>
    <row r="1435" outlineLevel="1" x14ac:dyDescent="0.2"/>
    <row r="1436" outlineLevel="1" x14ac:dyDescent="0.2"/>
    <row r="1437" outlineLevel="1" x14ac:dyDescent="0.2"/>
    <row r="1438" outlineLevel="1" x14ac:dyDescent="0.2"/>
    <row r="1439" outlineLevel="1" x14ac:dyDescent="0.2"/>
    <row r="1440" outlineLevel="1" x14ac:dyDescent="0.2"/>
    <row r="1441" outlineLevel="1" x14ac:dyDescent="0.2"/>
    <row r="1442" outlineLevel="1" x14ac:dyDescent="0.2"/>
    <row r="1443" outlineLevel="1" x14ac:dyDescent="0.2"/>
    <row r="1444" outlineLevel="1" x14ac:dyDescent="0.2"/>
    <row r="1445" outlineLevel="1" x14ac:dyDescent="0.2"/>
    <row r="1446" outlineLevel="1" x14ac:dyDescent="0.2"/>
    <row r="1447" outlineLevel="1" x14ac:dyDescent="0.2"/>
    <row r="1448" outlineLevel="1" x14ac:dyDescent="0.2"/>
    <row r="1449" outlineLevel="1" x14ac:dyDescent="0.2"/>
    <row r="1450" outlineLevel="1" x14ac:dyDescent="0.2"/>
    <row r="1451" outlineLevel="1" x14ac:dyDescent="0.2"/>
    <row r="1452" outlineLevel="1" x14ac:dyDescent="0.2"/>
    <row r="1453" outlineLevel="1" x14ac:dyDescent="0.2"/>
    <row r="1454" outlineLevel="1" x14ac:dyDescent="0.2"/>
    <row r="1455" outlineLevel="1" x14ac:dyDescent="0.2"/>
    <row r="1456" outlineLevel="1" x14ac:dyDescent="0.2"/>
    <row r="1457" outlineLevel="1" x14ac:dyDescent="0.2"/>
    <row r="1458" outlineLevel="1" x14ac:dyDescent="0.2"/>
    <row r="1459" outlineLevel="1" x14ac:dyDescent="0.2"/>
    <row r="1460" outlineLevel="1" x14ac:dyDescent="0.2"/>
    <row r="1461" outlineLevel="1" x14ac:dyDescent="0.2"/>
    <row r="1462" outlineLevel="1" x14ac:dyDescent="0.2"/>
    <row r="1463" outlineLevel="1" x14ac:dyDescent="0.2"/>
    <row r="1464" outlineLevel="1" x14ac:dyDescent="0.2"/>
    <row r="1465" outlineLevel="1" x14ac:dyDescent="0.2"/>
    <row r="1466" outlineLevel="1" x14ac:dyDescent="0.2"/>
    <row r="1467" outlineLevel="1" x14ac:dyDescent="0.2"/>
    <row r="1468" outlineLevel="1" x14ac:dyDescent="0.2"/>
    <row r="1469" outlineLevel="1" x14ac:dyDescent="0.2"/>
    <row r="1470" outlineLevel="1" x14ac:dyDescent="0.2"/>
    <row r="1471" outlineLevel="1" x14ac:dyDescent="0.2"/>
    <row r="1472" outlineLevel="1" x14ac:dyDescent="0.2"/>
    <row r="1473" outlineLevel="1" x14ac:dyDescent="0.2"/>
    <row r="1474" outlineLevel="1" x14ac:dyDescent="0.2"/>
    <row r="1475" outlineLevel="1" x14ac:dyDescent="0.2"/>
    <row r="1476" outlineLevel="1" x14ac:dyDescent="0.2"/>
    <row r="1477" outlineLevel="1" x14ac:dyDescent="0.2"/>
    <row r="1478" outlineLevel="1" x14ac:dyDescent="0.2"/>
    <row r="1479" outlineLevel="1" x14ac:dyDescent="0.2"/>
    <row r="1480" outlineLevel="1" x14ac:dyDescent="0.2"/>
    <row r="1481" outlineLevel="1" x14ac:dyDescent="0.2"/>
    <row r="1482" outlineLevel="1" x14ac:dyDescent="0.2"/>
    <row r="1483" outlineLevel="1" x14ac:dyDescent="0.2"/>
    <row r="1484" outlineLevel="1" x14ac:dyDescent="0.2"/>
    <row r="1485" outlineLevel="1" x14ac:dyDescent="0.2"/>
    <row r="1486" outlineLevel="1" x14ac:dyDescent="0.2"/>
    <row r="1487" outlineLevel="1" x14ac:dyDescent="0.2"/>
    <row r="1488" outlineLevel="1" x14ac:dyDescent="0.2"/>
    <row r="1489" outlineLevel="1" x14ac:dyDescent="0.2"/>
    <row r="1490" outlineLevel="1" x14ac:dyDescent="0.2"/>
    <row r="1491" outlineLevel="1" x14ac:dyDescent="0.2"/>
    <row r="1492" outlineLevel="1" x14ac:dyDescent="0.2"/>
    <row r="1493" outlineLevel="1" x14ac:dyDescent="0.2"/>
    <row r="1494" outlineLevel="1" x14ac:dyDescent="0.2"/>
    <row r="1495" outlineLevel="1" x14ac:dyDescent="0.2"/>
    <row r="1496" outlineLevel="1" x14ac:dyDescent="0.2"/>
    <row r="1497" outlineLevel="1" x14ac:dyDescent="0.2"/>
    <row r="1498" outlineLevel="1" x14ac:dyDescent="0.2"/>
    <row r="1499" outlineLevel="1" x14ac:dyDescent="0.2"/>
    <row r="1500" outlineLevel="1" x14ac:dyDescent="0.2"/>
    <row r="1501" outlineLevel="1" x14ac:dyDescent="0.2"/>
    <row r="1502" outlineLevel="1" x14ac:dyDescent="0.2"/>
    <row r="1503" outlineLevel="1" x14ac:dyDescent="0.2"/>
    <row r="1504" outlineLevel="1" x14ac:dyDescent="0.2"/>
    <row r="1505" outlineLevel="1" x14ac:dyDescent="0.2"/>
    <row r="1506" outlineLevel="1" x14ac:dyDescent="0.2"/>
    <row r="1507" outlineLevel="1" x14ac:dyDescent="0.2"/>
    <row r="1508" outlineLevel="1" x14ac:dyDescent="0.2"/>
    <row r="1509" outlineLevel="1" x14ac:dyDescent="0.2"/>
    <row r="1510" outlineLevel="1" x14ac:dyDescent="0.2"/>
    <row r="1511" outlineLevel="1" x14ac:dyDescent="0.2"/>
    <row r="1512" outlineLevel="1" x14ac:dyDescent="0.2"/>
    <row r="1513" outlineLevel="1" x14ac:dyDescent="0.2"/>
    <row r="1514" outlineLevel="1" x14ac:dyDescent="0.2"/>
    <row r="1515" outlineLevel="1" x14ac:dyDescent="0.2"/>
    <row r="1516" outlineLevel="1" x14ac:dyDescent="0.2"/>
    <row r="1517" outlineLevel="1" x14ac:dyDescent="0.2"/>
    <row r="1518" outlineLevel="1" x14ac:dyDescent="0.2"/>
    <row r="1519" outlineLevel="1" x14ac:dyDescent="0.2"/>
    <row r="1520" outlineLevel="1" x14ac:dyDescent="0.2"/>
    <row r="1521" outlineLevel="1" x14ac:dyDescent="0.2"/>
    <row r="1522" outlineLevel="1" x14ac:dyDescent="0.2"/>
    <row r="1523" outlineLevel="1" x14ac:dyDescent="0.2"/>
    <row r="1524" outlineLevel="1" x14ac:dyDescent="0.2"/>
    <row r="1525" outlineLevel="1" x14ac:dyDescent="0.2"/>
    <row r="1526" outlineLevel="1" x14ac:dyDescent="0.2"/>
    <row r="1527" outlineLevel="1" x14ac:dyDescent="0.2"/>
    <row r="1528" outlineLevel="1" x14ac:dyDescent="0.2"/>
    <row r="1529" outlineLevel="1" x14ac:dyDescent="0.2"/>
    <row r="1530" outlineLevel="1" x14ac:dyDescent="0.2"/>
    <row r="1531" outlineLevel="1" x14ac:dyDescent="0.2"/>
    <row r="1532" outlineLevel="1" x14ac:dyDescent="0.2"/>
    <row r="1533" outlineLevel="1" x14ac:dyDescent="0.2"/>
    <row r="1534" outlineLevel="1" x14ac:dyDescent="0.2"/>
    <row r="1535" outlineLevel="1" x14ac:dyDescent="0.2"/>
    <row r="1536" outlineLevel="1" x14ac:dyDescent="0.2"/>
    <row r="1537" outlineLevel="1" x14ac:dyDescent="0.2"/>
    <row r="1538" outlineLevel="1" x14ac:dyDescent="0.2"/>
    <row r="1539" outlineLevel="1" x14ac:dyDescent="0.2"/>
    <row r="1540" outlineLevel="1" x14ac:dyDescent="0.2"/>
    <row r="1541" outlineLevel="1" x14ac:dyDescent="0.2"/>
    <row r="1542" outlineLevel="1" x14ac:dyDescent="0.2"/>
    <row r="1543" outlineLevel="1" x14ac:dyDescent="0.2"/>
    <row r="1544" outlineLevel="1" x14ac:dyDescent="0.2"/>
    <row r="1545" outlineLevel="1" x14ac:dyDescent="0.2"/>
    <row r="1546" outlineLevel="1" x14ac:dyDescent="0.2"/>
    <row r="1547" outlineLevel="1" x14ac:dyDescent="0.2"/>
    <row r="1548" outlineLevel="1" x14ac:dyDescent="0.2"/>
    <row r="1549" outlineLevel="1" x14ac:dyDescent="0.2"/>
    <row r="1550" outlineLevel="1" x14ac:dyDescent="0.2"/>
    <row r="1551" outlineLevel="1" x14ac:dyDescent="0.2"/>
    <row r="1552" outlineLevel="1" x14ac:dyDescent="0.2"/>
    <row r="1553" outlineLevel="1" x14ac:dyDescent="0.2"/>
    <row r="1554" outlineLevel="1" x14ac:dyDescent="0.2"/>
    <row r="1555" outlineLevel="1" x14ac:dyDescent="0.2"/>
    <row r="1556" outlineLevel="1" x14ac:dyDescent="0.2"/>
    <row r="1557" outlineLevel="1" x14ac:dyDescent="0.2"/>
    <row r="1558" outlineLevel="1" x14ac:dyDescent="0.2"/>
    <row r="1559" outlineLevel="1" x14ac:dyDescent="0.2"/>
    <row r="1560" outlineLevel="1" x14ac:dyDescent="0.2"/>
    <row r="1561" outlineLevel="1" x14ac:dyDescent="0.2"/>
    <row r="1562" outlineLevel="1" x14ac:dyDescent="0.2"/>
    <row r="1563" outlineLevel="1" x14ac:dyDescent="0.2"/>
    <row r="1564" outlineLevel="1" x14ac:dyDescent="0.2"/>
    <row r="1565" outlineLevel="1" x14ac:dyDescent="0.2"/>
    <row r="1566" outlineLevel="1" x14ac:dyDescent="0.2"/>
    <row r="1567" outlineLevel="1" x14ac:dyDescent="0.2"/>
    <row r="1568" outlineLevel="1" x14ac:dyDescent="0.2"/>
    <row r="1569" outlineLevel="1" x14ac:dyDescent="0.2"/>
    <row r="1570" outlineLevel="1" x14ac:dyDescent="0.2"/>
    <row r="1571" outlineLevel="1" x14ac:dyDescent="0.2"/>
    <row r="1572" outlineLevel="1" x14ac:dyDescent="0.2"/>
    <row r="1573" outlineLevel="1" x14ac:dyDescent="0.2"/>
    <row r="1574" outlineLevel="1" x14ac:dyDescent="0.2"/>
    <row r="1575" outlineLevel="1" x14ac:dyDescent="0.2"/>
    <row r="1576" outlineLevel="1" x14ac:dyDescent="0.2"/>
    <row r="1577" outlineLevel="1" x14ac:dyDescent="0.2"/>
    <row r="1578" outlineLevel="1" x14ac:dyDescent="0.2"/>
    <row r="1579" outlineLevel="1" x14ac:dyDescent="0.2"/>
    <row r="1580" outlineLevel="1" x14ac:dyDescent="0.2"/>
    <row r="1581" outlineLevel="1" x14ac:dyDescent="0.2"/>
    <row r="1582" outlineLevel="1" x14ac:dyDescent="0.2"/>
    <row r="1583" outlineLevel="1" x14ac:dyDescent="0.2"/>
    <row r="1584" outlineLevel="1" x14ac:dyDescent="0.2"/>
    <row r="1585" outlineLevel="1" x14ac:dyDescent="0.2"/>
    <row r="1586" outlineLevel="1" x14ac:dyDescent="0.2"/>
    <row r="1587" outlineLevel="1" x14ac:dyDescent="0.2"/>
    <row r="1588" outlineLevel="1" x14ac:dyDescent="0.2"/>
    <row r="1589" outlineLevel="1" x14ac:dyDescent="0.2"/>
    <row r="1590" outlineLevel="1" x14ac:dyDescent="0.2"/>
    <row r="1591" outlineLevel="1" x14ac:dyDescent="0.2"/>
    <row r="1592" outlineLevel="1" x14ac:dyDescent="0.2"/>
    <row r="1593" outlineLevel="1" x14ac:dyDescent="0.2"/>
    <row r="1594" outlineLevel="1" x14ac:dyDescent="0.2"/>
    <row r="1595" outlineLevel="1" x14ac:dyDescent="0.2"/>
    <row r="1596" outlineLevel="1" x14ac:dyDescent="0.2"/>
    <row r="1597" outlineLevel="1" x14ac:dyDescent="0.2"/>
    <row r="1598" outlineLevel="1" x14ac:dyDescent="0.2"/>
    <row r="1599" outlineLevel="1" x14ac:dyDescent="0.2"/>
    <row r="1600" outlineLevel="1" x14ac:dyDescent="0.2"/>
    <row r="1601" outlineLevel="1" x14ac:dyDescent="0.2"/>
    <row r="1602" outlineLevel="1" x14ac:dyDescent="0.2"/>
    <row r="1603" outlineLevel="1" x14ac:dyDescent="0.2"/>
    <row r="1604" outlineLevel="1" x14ac:dyDescent="0.2"/>
    <row r="1605" outlineLevel="1" x14ac:dyDescent="0.2"/>
    <row r="1606" outlineLevel="1" x14ac:dyDescent="0.2"/>
    <row r="1607" outlineLevel="1" x14ac:dyDescent="0.2"/>
    <row r="1608" outlineLevel="1" x14ac:dyDescent="0.2"/>
    <row r="1609" outlineLevel="1" x14ac:dyDescent="0.2"/>
    <row r="1610" outlineLevel="1" x14ac:dyDescent="0.2"/>
    <row r="1611" outlineLevel="1" x14ac:dyDescent="0.2"/>
    <row r="1612" outlineLevel="1" x14ac:dyDescent="0.2"/>
    <row r="1613" outlineLevel="1" x14ac:dyDescent="0.2"/>
    <row r="1614" outlineLevel="1" x14ac:dyDescent="0.2"/>
    <row r="1615" outlineLevel="1" x14ac:dyDescent="0.2"/>
    <row r="1616" outlineLevel="1" x14ac:dyDescent="0.2"/>
    <row r="1617" outlineLevel="1" x14ac:dyDescent="0.2"/>
    <row r="1618" outlineLevel="1" x14ac:dyDescent="0.2"/>
    <row r="1619" outlineLevel="1" x14ac:dyDescent="0.2"/>
    <row r="1620" outlineLevel="1" x14ac:dyDescent="0.2"/>
    <row r="1621" outlineLevel="1" x14ac:dyDescent="0.2"/>
    <row r="1622" outlineLevel="1" x14ac:dyDescent="0.2"/>
    <row r="1623" outlineLevel="1" x14ac:dyDescent="0.2"/>
    <row r="1624" outlineLevel="1" x14ac:dyDescent="0.2"/>
    <row r="1625" outlineLevel="1" x14ac:dyDescent="0.2"/>
    <row r="1626" outlineLevel="1" x14ac:dyDescent="0.2"/>
    <row r="1627" outlineLevel="1" x14ac:dyDescent="0.2"/>
    <row r="1628" outlineLevel="1" x14ac:dyDescent="0.2"/>
    <row r="1629" outlineLevel="1" x14ac:dyDescent="0.2"/>
    <row r="1630" outlineLevel="1" x14ac:dyDescent="0.2"/>
    <row r="1631" outlineLevel="1" x14ac:dyDescent="0.2"/>
    <row r="1632" outlineLevel="1" x14ac:dyDescent="0.2"/>
    <row r="1633" outlineLevel="1" x14ac:dyDescent="0.2"/>
    <row r="1634" outlineLevel="1" x14ac:dyDescent="0.2"/>
    <row r="1635" outlineLevel="1" x14ac:dyDescent="0.2"/>
    <row r="1636" outlineLevel="1" x14ac:dyDescent="0.2"/>
    <row r="1637" outlineLevel="1" x14ac:dyDescent="0.2"/>
    <row r="1638" outlineLevel="1" x14ac:dyDescent="0.2"/>
    <row r="1639" outlineLevel="1" x14ac:dyDescent="0.2"/>
    <row r="1640" outlineLevel="1" x14ac:dyDescent="0.2"/>
    <row r="1641" outlineLevel="1" x14ac:dyDescent="0.2"/>
    <row r="1642" outlineLevel="1" x14ac:dyDescent="0.2"/>
    <row r="1643" outlineLevel="1" x14ac:dyDescent="0.2"/>
    <row r="1644" outlineLevel="1" x14ac:dyDescent="0.2"/>
    <row r="1645" outlineLevel="1" x14ac:dyDescent="0.2"/>
    <row r="1646" outlineLevel="1" x14ac:dyDescent="0.2"/>
    <row r="1647" outlineLevel="1" x14ac:dyDescent="0.2"/>
    <row r="1648" outlineLevel="1" x14ac:dyDescent="0.2"/>
    <row r="1649" outlineLevel="1" x14ac:dyDescent="0.2"/>
    <row r="1650" outlineLevel="1" x14ac:dyDescent="0.2"/>
    <row r="1651" outlineLevel="1" x14ac:dyDescent="0.2"/>
    <row r="1652" outlineLevel="1" x14ac:dyDescent="0.2"/>
    <row r="1653" outlineLevel="1" x14ac:dyDescent="0.2"/>
    <row r="1654" outlineLevel="1" x14ac:dyDescent="0.2"/>
    <row r="1655" outlineLevel="1" x14ac:dyDescent="0.2"/>
    <row r="1656" outlineLevel="1" x14ac:dyDescent="0.2"/>
    <row r="1657" outlineLevel="1" x14ac:dyDescent="0.2"/>
    <row r="1658" outlineLevel="1" x14ac:dyDescent="0.2"/>
    <row r="1659" outlineLevel="1" x14ac:dyDescent="0.2"/>
    <row r="1660" outlineLevel="1" x14ac:dyDescent="0.2"/>
    <row r="1661" outlineLevel="1" x14ac:dyDescent="0.2"/>
    <row r="1662" outlineLevel="1" x14ac:dyDescent="0.2"/>
    <row r="1663" outlineLevel="1" x14ac:dyDescent="0.2"/>
    <row r="1664" outlineLevel="1" x14ac:dyDescent="0.2"/>
    <row r="1665" outlineLevel="1" x14ac:dyDescent="0.2"/>
    <row r="1666" outlineLevel="1" x14ac:dyDescent="0.2"/>
    <row r="1667" outlineLevel="1" x14ac:dyDescent="0.2"/>
    <row r="1668" outlineLevel="1" x14ac:dyDescent="0.2"/>
    <row r="1669" outlineLevel="1" x14ac:dyDescent="0.2"/>
    <row r="1670" outlineLevel="1" x14ac:dyDescent="0.2"/>
    <row r="1671" outlineLevel="1" x14ac:dyDescent="0.2"/>
    <row r="1672" outlineLevel="1" x14ac:dyDescent="0.2"/>
    <row r="1673" outlineLevel="1" x14ac:dyDescent="0.2"/>
    <row r="1674" outlineLevel="1" x14ac:dyDescent="0.2"/>
    <row r="1675" outlineLevel="1" x14ac:dyDescent="0.2"/>
    <row r="1676" outlineLevel="1" x14ac:dyDescent="0.2"/>
    <row r="1677" outlineLevel="1" x14ac:dyDescent="0.2"/>
    <row r="1678" outlineLevel="1" x14ac:dyDescent="0.2"/>
    <row r="1679" outlineLevel="1" x14ac:dyDescent="0.2"/>
    <row r="1680" outlineLevel="1" x14ac:dyDescent="0.2"/>
    <row r="1681" outlineLevel="1" x14ac:dyDescent="0.2"/>
    <row r="1682" outlineLevel="1" x14ac:dyDescent="0.2"/>
    <row r="1683" outlineLevel="1" x14ac:dyDescent="0.2"/>
    <row r="1684" outlineLevel="1" x14ac:dyDescent="0.2"/>
    <row r="1685" outlineLevel="1" x14ac:dyDescent="0.2"/>
    <row r="1686" outlineLevel="1" x14ac:dyDescent="0.2"/>
    <row r="1687" outlineLevel="1" x14ac:dyDescent="0.2"/>
    <row r="1688" outlineLevel="1" x14ac:dyDescent="0.2"/>
    <row r="1689" outlineLevel="1" x14ac:dyDescent="0.2"/>
    <row r="1690" outlineLevel="1" x14ac:dyDescent="0.2"/>
    <row r="1691" outlineLevel="1" x14ac:dyDescent="0.2"/>
    <row r="1692" outlineLevel="1" x14ac:dyDescent="0.2"/>
    <row r="1693" outlineLevel="1" x14ac:dyDescent="0.2"/>
    <row r="1694" outlineLevel="1" x14ac:dyDescent="0.2"/>
    <row r="1695" outlineLevel="1" x14ac:dyDescent="0.2"/>
    <row r="1696" outlineLevel="1" x14ac:dyDescent="0.2"/>
    <row r="1697" outlineLevel="1" x14ac:dyDescent="0.2"/>
    <row r="1698" outlineLevel="1" x14ac:dyDescent="0.2"/>
    <row r="1699" outlineLevel="1" x14ac:dyDescent="0.2"/>
    <row r="1700" outlineLevel="1" x14ac:dyDescent="0.2"/>
    <row r="1701" outlineLevel="1" x14ac:dyDescent="0.2"/>
    <row r="1702" outlineLevel="1" x14ac:dyDescent="0.2"/>
    <row r="1703" outlineLevel="1" x14ac:dyDescent="0.2"/>
    <row r="1704" outlineLevel="1" x14ac:dyDescent="0.2"/>
    <row r="1705" outlineLevel="1" x14ac:dyDescent="0.2"/>
    <row r="1706" outlineLevel="1" x14ac:dyDescent="0.2"/>
    <row r="1707" outlineLevel="1" x14ac:dyDescent="0.2"/>
    <row r="1708" outlineLevel="1" x14ac:dyDescent="0.2"/>
    <row r="1709" outlineLevel="1" x14ac:dyDescent="0.2"/>
    <row r="1710" outlineLevel="1" x14ac:dyDescent="0.2"/>
    <row r="1711" outlineLevel="1" x14ac:dyDescent="0.2"/>
    <row r="1712" outlineLevel="1" x14ac:dyDescent="0.2"/>
    <row r="1713" outlineLevel="1" x14ac:dyDescent="0.2"/>
    <row r="1714" outlineLevel="1" x14ac:dyDescent="0.2"/>
    <row r="1715" outlineLevel="1" x14ac:dyDescent="0.2"/>
    <row r="1716" outlineLevel="1" x14ac:dyDescent="0.2"/>
    <row r="1717" outlineLevel="1" x14ac:dyDescent="0.2"/>
    <row r="1718" outlineLevel="1" x14ac:dyDescent="0.2"/>
    <row r="1719" outlineLevel="1" x14ac:dyDescent="0.2"/>
    <row r="1720" outlineLevel="1" x14ac:dyDescent="0.2"/>
    <row r="1721" outlineLevel="1" x14ac:dyDescent="0.2"/>
    <row r="1722" outlineLevel="1" x14ac:dyDescent="0.2"/>
    <row r="1723" outlineLevel="1" x14ac:dyDescent="0.2"/>
    <row r="1724" outlineLevel="1" x14ac:dyDescent="0.2"/>
    <row r="1725" outlineLevel="1" x14ac:dyDescent="0.2"/>
    <row r="1726" outlineLevel="1" x14ac:dyDescent="0.2"/>
    <row r="1727" outlineLevel="1" x14ac:dyDescent="0.2"/>
    <row r="1728" outlineLevel="1" x14ac:dyDescent="0.2"/>
    <row r="1729" outlineLevel="1" x14ac:dyDescent="0.2"/>
    <row r="1730" outlineLevel="1" x14ac:dyDescent="0.2"/>
    <row r="1731" outlineLevel="1" x14ac:dyDescent="0.2"/>
    <row r="1732" outlineLevel="1" x14ac:dyDescent="0.2"/>
    <row r="1733" outlineLevel="1" x14ac:dyDescent="0.2"/>
    <row r="1734" outlineLevel="1" x14ac:dyDescent="0.2"/>
    <row r="1735" outlineLevel="1" x14ac:dyDescent="0.2"/>
    <row r="1736" outlineLevel="1" x14ac:dyDescent="0.2"/>
    <row r="1737" outlineLevel="1" x14ac:dyDescent="0.2"/>
    <row r="1738" outlineLevel="1" x14ac:dyDescent="0.2"/>
    <row r="1739" outlineLevel="1" x14ac:dyDescent="0.2"/>
    <row r="1740" outlineLevel="1" x14ac:dyDescent="0.2"/>
    <row r="1741" outlineLevel="1" x14ac:dyDescent="0.2"/>
    <row r="1742" outlineLevel="1" x14ac:dyDescent="0.2"/>
    <row r="1743" outlineLevel="1" x14ac:dyDescent="0.2"/>
    <row r="1744" outlineLevel="1" x14ac:dyDescent="0.2"/>
    <row r="1745" outlineLevel="1" x14ac:dyDescent="0.2"/>
    <row r="1746" outlineLevel="1" x14ac:dyDescent="0.2"/>
    <row r="1747" outlineLevel="1" x14ac:dyDescent="0.2"/>
    <row r="1748" outlineLevel="1" x14ac:dyDescent="0.2"/>
    <row r="1749" outlineLevel="1" x14ac:dyDescent="0.2"/>
    <row r="1750" outlineLevel="1" x14ac:dyDescent="0.2"/>
    <row r="1751" outlineLevel="1" x14ac:dyDescent="0.2"/>
    <row r="1752" outlineLevel="1" x14ac:dyDescent="0.2"/>
    <row r="1753" outlineLevel="1" x14ac:dyDescent="0.2"/>
    <row r="1754" outlineLevel="1" x14ac:dyDescent="0.2"/>
    <row r="1755" outlineLevel="1" x14ac:dyDescent="0.2"/>
    <row r="1756" outlineLevel="1" x14ac:dyDescent="0.2"/>
    <row r="1757" outlineLevel="1" x14ac:dyDescent="0.2"/>
    <row r="1758" outlineLevel="1" x14ac:dyDescent="0.2"/>
    <row r="1759" outlineLevel="1" x14ac:dyDescent="0.2"/>
    <row r="1760" outlineLevel="1" x14ac:dyDescent="0.2"/>
    <row r="1761" outlineLevel="1" x14ac:dyDescent="0.2"/>
    <row r="1762" outlineLevel="1" x14ac:dyDescent="0.2"/>
    <row r="1763" outlineLevel="1" x14ac:dyDescent="0.2"/>
    <row r="1764" outlineLevel="1" x14ac:dyDescent="0.2"/>
    <row r="1765" outlineLevel="1" x14ac:dyDescent="0.2"/>
    <row r="1766" outlineLevel="1" x14ac:dyDescent="0.2"/>
    <row r="1767" outlineLevel="1" x14ac:dyDescent="0.2"/>
    <row r="1768" outlineLevel="1" x14ac:dyDescent="0.2"/>
    <row r="1769" outlineLevel="1" x14ac:dyDescent="0.2"/>
    <row r="1770" outlineLevel="1" x14ac:dyDescent="0.2"/>
    <row r="1771" outlineLevel="1" x14ac:dyDescent="0.2"/>
    <row r="1772" outlineLevel="1" x14ac:dyDescent="0.2"/>
    <row r="1773" outlineLevel="1" x14ac:dyDescent="0.2"/>
    <row r="1774" outlineLevel="1" x14ac:dyDescent="0.2"/>
    <row r="1775" outlineLevel="1" x14ac:dyDescent="0.2"/>
    <row r="1776" outlineLevel="1" x14ac:dyDescent="0.2"/>
    <row r="1777" outlineLevel="1" x14ac:dyDescent="0.2"/>
    <row r="1778" outlineLevel="1" x14ac:dyDescent="0.2"/>
    <row r="1779" outlineLevel="1" x14ac:dyDescent="0.2"/>
    <row r="1780" outlineLevel="1" x14ac:dyDescent="0.2"/>
    <row r="1781" outlineLevel="1" x14ac:dyDescent="0.2"/>
    <row r="1782" outlineLevel="1" x14ac:dyDescent="0.2"/>
    <row r="1783" outlineLevel="1" x14ac:dyDescent="0.2"/>
    <row r="1784" outlineLevel="1" x14ac:dyDescent="0.2"/>
    <row r="1785" outlineLevel="1" x14ac:dyDescent="0.2"/>
    <row r="1786" outlineLevel="1" x14ac:dyDescent="0.2"/>
    <row r="1787" outlineLevel="1" x14ac:dyDescent="0.2"/>
    <row r="1788" outlineLevel="1" x14ac:dyDescent="0.2"/>
    <row r="1789" outlineLevel="1" x14ac:dyDescent="0.2"/>
    <row r="1790" outlineLevel="1" x14ac:dyDescent="0.2"/>
    <row r="1791" outlineLevel="1" x14ac:dyDescent="0.2"/>
    <row r="1792" outlineLevel="1" x14ac:dyDescent="0.2"/>
    <row r="1793" outlineLevel="1" x14ac:dyDescent="0.2"/>
    <row r="1794" outlineLevel="1" x14ac:dyDescent="0.2"/>
    <row r="1795" outlineLevel="1" x14ac:dyDescent="0.2"/>
    <row r="1796" outlineLevel="1" x14ac:dyDescent="0.2"/>
    <row r="1797" outlineLevel="1" x14ac:dyDescent="0.2"/>
    <row r="1798" outlineLevel="1" x14ac:dyDescent="0.2"/>
    <row r="1799" outlineLevel="1" x14ac:dyDescent="0.2"/>
    <row r="1800" outlineLevel="1" x14ac:dyDescent="0.2"/>
    <row r="1801" outlineLevel="1" x14ac:dyDescent="0.2"/>
    <row r="1802" outlineLevel="1" x14ac:dyDescent="0.2"/>
    <row r="1803" outlineLevel="1" x14ac:dyDescent="0.2"/>
    <row r="1804" outlineLevel="1" x14ac:dyDescent="0.2"/>
    <row r="1805" outlineLevel="1" x14ac:dyDescent="0.2"/>
    <row r="1806" outlineLevel="1" x14ac:dyDescent="0.2"/>
    <row r="1807" outlineLevel="1" x14ac:dyDescent="0.2"/>
    <row r="1808" outlineLevel="1" x14ac:dyDescent="0.2"/>
    <row r="1809" outlineLevel="1" x14ac:dyDescent="0.2"/>
    <row r="1810" outlineLevel="1" x14ac:dyDescent="0.2"/>
    <row r="1811" outlineLevel="1" x14ac:dyDescent="0.2"/>
    <row r="1812" outlineLevel="1" x14ac:dyDescent="0.2"/>
    <row r="1813" outlineLevel="1" x14ac:dyDescent="0.2"/>
    <row r="1814" outlineLevel="1" x14ac:dyDescent="0.2"/>
    <row r="1815" outlineLevel="1" x14ac:dyDescent="0.2"/>
    <row r="1816" outlineLevel="1" x14ac:dyDescent="0.2"/>
    <row r="1817" outlineLevel="1" x14ac:dyDescent="0.2"/>
    <row r="1818" outlineLevel="1" x14ac:dyDescent="0.2"/>
    <row r="1819" outlineLevel="1" x14ac:dyDescent="0.2"/>
    <row r="1820" outlineLevel="1" x14ac:dyDescent="0.2"/>
    <row r="1821" outlineLevel="1" x14ac:dyDescent="0.2"/>
    <row r="1822" outlineLevel="1" x14ac:dyDescent="0.2"/>
    <row r="1823" outlineLevel="1" x14ac:dyDescent="0.2"/>
    <row r="1824" outlineLevel="1" x14ac:dyDescent="0.2"/>
    <row r="1825" outlineLevel="1" x14ac:dyDescent="0.2"/>
    <row r="1826" outlineLevel="1" x14ac:dyDescent="0.2"/>
    <row r="1827" outlineLevel="1" x14ac:dyDescent="0.2"/>
    <row r="1828" outlineLevel="1" x14ac:dyDescent="0.2"/>
    <row r="1829" outlineLevel="1" x14ac:dyDescent="0.2"/>
    <row r="1830" outlineLevel="1" x14ac:dyDescent="0.2"/>
    <row r="1831" outlineLevel="1" x14ac:dyDescent="0.2"/>
    <row r="1832" outlineLevel="1" x14ac:dyDescent="0.2"/>
    <row r="1833" outlineLevel="1" x14ac:dyDescent="0.2"/>
    <row r="1834" outlineLevel="1" x14ac:dyDescent="0.2"/>
    <row r="1835" outlineLevel="1" x14ac:dyDescent="0.2"/>
    <row r="1836" outlineLevel="1" x14ac:dyDescent="0.2"/>
    <row r="1837" outlineLevel="1" x14ac:dyDescent="0.2"/>
    <row r="1838" outlineLevel="1" x14ac:dyDescent="0.2"/>
    <row r="1839" outlineLevel="1" x14ac:dyDescent="0.2"/>
    <row r="1840" outlineLevel="1" x14ac:dyDescent="0.2"/>
    <row r="1841" outlineLevel="1" x14ac:dyDescent="0.2"/>
    <row r="1842" outlineLevel="1" x14ac:dyDescent="0.2"/>
    <row r="1843" outlineLevel="1" x14ac:dyDescent="0.2"/>
    <row r="1844" outlineLevel="1" x14ac:dyDescent="0.2"/>
    <row r="1845" outlineLevel="1" x14ac:dyDescent="0.2"/>
    <row r="1846" outlineLevel="1" x14ac:dyDescent="0.2"/>
    <row r="1847" outlineLevel="1" x14ac:dyDescent="0.2"/>
    <row r="1848" outlineLevel="1" x14ac:dyDescent="0.2"/>
    <row r="1849" outlineLevel="1" x14ac:dyDescent="0.2"/>
    <row r="1850" outlineLevel="1" x14ac:dyDescent="0.2"/>
    <row r="1851" outlineLevel="1" x14ac:dyDescent="0.2"/>
    <row r="1852" outlineLevel="1" x14ac:dyDescent="0.2"/>
    <row r="1853" outlineLevel="1" x14ac:dyDescent="0.2"/>
    <row r="1854" outlineLevel="1" x14ac:dyDescent="0.2"/>
    <row r="1855" outlineLevel="1" x14ac:dyDescent="0.2"/>
    <row r="1856" outlineLevel="1" x14ac:dyDescent="0.2"/>
    <row r="1857" outlineLevel="1" x14ac:dyDescent="0.2"/>
    <row r="1858" outlineLevel="1" x14ac:dyDescent="0.2"/>
    <row r="1859" outlineLevel="1" x14ac:dyDescent="0.2"/>
    <row r="1860" outlineLevel="1" x14ac:dyDescent="0.2"/>
    <row r="1861" outlineLevel="1" x14ac:dyDescent="0.2"/>
    <row r="1862" outlineLevel="1" x14ac:dyDescent="0.2"/>
    <row r="1863" outlineLevel="1" x14ac:dyDescent="0.2"/>
    <row r="1864" outlineLevel="1" x14ac:dyDescent="0.2"/>
    <row r="1865" outlineLevel="1" x14ac:dyDescent="0.2"/>
    <row r="1866" outlineLevel="1" x14ac:dyDescent="0.2"/>
    <row r="1867" outlineLevel="1" x14ac:dyDescent="0.2"/>
    <row r="1868" outlineLevel="1" x14ac:dyDescent="0.2"/>
    <row r="1869" outlineLevel="1" x14ac:dyDescent="0.2"/>
    <row r="1870" outlineLevel="1" x14ac:dyDescent="0.2"/>
    <row r="1871" outlineLevel="1" x14ac:dyDescent="0.2"/>
    <row r="1872" outlineLevel="1" x14ac:dyDescent="0.2"/>
    <row r="1873" outlineLevel="1" x14ac:dyDescent="0.2"/>
    <row r="1874" outlineLevel="1" x14ac:dyDescent="0.2"/>
    <row r="1875" outlineLevel="1" x14ac:dyDescent="0.2"/>
    <row r="1876" outlineLevel="1" x14ac:dyDescent="0.2"/>
    <row r="1877" outlineLevel="1" x14ac:dyDescent="0.2"/>
    <row r="1878" outlineLevel="1" x14ac:dyDescent="0.2"/>
    <row r="1879" outlineLevel="1" x14ac:dyDescent="0.2"/>
    <row r="1880" outlineLevel="1" x14ac:dyDescent="0.2"/>
    <row r="1881" outlineLevel="1" x14ac:dyDescent="0.2"/>
    <row r="1882" outlineLevel="1" x14ac:dyDescent="0.2"/>
    <row r="1883" outlineLevel="1" x14ac:dyDescent="0.2"/>
    <row r="1884" outlineLevel="1" x14ac:dyDescent="0.2"/>
    <row r="1885" outlineLevel="1" x14ac:dyDescent="0.2"/>
    <row r="1886" outlineLevel="1" x14ac:dyDescent="0.2"/>
    <row r="1887" outlineLevel="1" x14ac:dyDescent="0.2"/>
    <row r="1888" outlineLevel="1" x14ac:dyDescent="0.2"/>
    <row r="1889" outlineLevel="1" x14ac:dyDescent="0.2"/>
    <row r="1890" outlineLevel="1" x14ac:dyDescent="0.2"/>
    <row r="1891" outlineLevel="1" x14ac:dyDescent="0.2"/>
    <row r="1892" outlineLevel="1" x14ac:dyDescent="0.2"/>
    <row r="1893" outlineLevel="1" x14ac:dyDescent="0.2"/>
    <row r="1894" outlineLevel="1" x14ac:dyDescent="0.2"/>
    <row r="1895" outlineLevel="1" x14ac:dyDescent="0.2"/>
    <row r="1896" outlineLevel="1" x14ac:dyDescent="0.2"/>
    <row r="1897" outlineLevel="1" x14ac:dyDescent="0.2"/>
    <row r="1898" outlineLevel="1" x14ac:dyDescent="0.2"/>
    <row r="1899" outlineLevel="1" x14ac:dyDescent="0.2"/>
    <row r="1900" outlineLevel="1" x14ac:dyDescent="0.2"/>
    <row r="1901" outlineLevel="1" x14ac:dyDescent="0.2"/>
    <row r="1902" outlineLevel="1" x14ac:dyDescent="0.2"/>
    <row r="1903" outlineLevel="1" x14ac:dyDescent="0.2"/>
    <row r="1904" outlineLevel="1" x14ac:dyDescent="0.2"/>
    <row r="1905" outlineLevel="1" x14ac:dyDescent="0.2"/>
    <row r="1906" outlineLevel="1" x14ac:dyDescent="0.2"/>
    <row r="1907" outlineLevel="1" x14ac:dyDescent="0.2"/>
    <row r="1908" outlineLevel="1" x14ac:dyDescent="0.2"/>
    <row r="1909" outlineLevel="1" x14ac:dyDescent="0.2"/>
    <row r="1910" outlineLevel="1" x14ac:dyDescent="0.2"/>
    <row r="1911" outlineLevel="1" x14ac:dyDescent="0.2"/>
    <row r="1912" outlineLevel="1" x14ac:dyDescent="0.2"/>
    <row r="1913" outlineLevel="1" x14ac:dyDescent="0.2"/>
    <row r="1914" outlineLevel="1" x14ac:dyDescent="0.2"/>
    <row r="1915" outlineLevel="1" x14ac:dyDescent="0.2"/>
    <row r="1916" outlineLevel="1" x14ac:dyDescent="0.2"/>
    <row r="1917" outlineLevel="1" x14ac:dyDescent="0.2"/>
    <row r="1918" outlineLevel="1" x14ac:dyDescent="0.2"/>
    <row r="1919" outlineLevel="1" x14ac:dyDescent="0.2"/>
    <row r="1920" outlineLevel="1" x14ac:dyDescent="0.2"/>
    <row r="1921" outlineLevel="1" x14ac:dyDescent="0.2"/>
    <row r="1922" outlineLevel="1" x14ac:dyDescent="0.2"/>
    <row r="1923" outlineLevel="1" x14ac:dyDescent="0.2"/>
    <row r="1924" outlineLevel="1" x14ac:dyDescent="0.2"/>
    <row r="1925" outlineLevel="1" x14ac:dyDescent="0.2"/>
    <row r="1926" outlineLevel="1" x14ac:dyDescent="0.2"/>
    <row r="1927" outlineLevel="1" x14ac:dyDescent="0.2"/>
    <row r="1928" outlineLevel="1" x14ac:dyDescent="0.2"/>
    <row r="1929" outlineLevel="1" x14ac:dyDescent="0.2"/>
    <row r="1930" outlineLevel="1" x14ac:dyDescent="0.2"/>
    <row r="1931" outlineLevel="1" x14ac:dyDescent="0.2"/>
    <row r="1932" outlineLevel="1" x14ac:dyDescent="0.2"/>
    <row r="1933" outlineLevel="1" x14ac:dyDescent="0.2"/>
    <row r="1934" outlineLevel="1" x14ac:dyDescent="0.2"/>
    <row r="1935" outlineLevel="1" x14ac:dyDescent="0.2"/>
    <row r="1936" outlineLevel="1" x14ac:dyDescent="0.2"/>
    <row r="1937" outlineLevel="1" x14ac:dyDescent="0.2"/>
    <row r="1938" outlineLevel="1" x14ac:dyDescent="0.2"/>
    <row r="1939" outlineLevel="1" x14ac:dyDescent="0.2"/>
    <row r="1940" outlineLevel="1" x14ac:dyDescent="0.2"/>
    <row r="1941" outlineLevel="1" x14ac:dyDescent="0.2"/>
    <row r="1942" outlineLevel="1" x14ac:dyDescent="0.2"/>
    <row r="1943" outlineLevel="1" x14ac:dyDescent="0.2"/>
    <row r="1944" outlineLevel="1" x14ac:dyDescent="0.2"/>
    <row r="1945" outlineLevel="1" x14ac:dyDescent="0.2"/>
    <row r="1946" outlineLevel="1" x14ac:dyDescent="0.2"/>
    <row r="1947" outlineLevel="1" x14ac:dyDescent="0.2"/>
    <row r="1948" outlineLevel="1" x14ac:dyDescent="0.2"/>
    <row r="1949" outlineLevel="1" x14ac:dyDescent="0.2"/>
    <row r="1950" outlineLevel="1" x14ac:dyDescent="0.2"/>
    <row r="1951" outlineLevel="1" x14ac:dyDescent="0.2"/>
    <row r="1952" outlineLevel="1" x14ac:dyDescent="0.2"/>
    <row r="1953" outlineLevel="1" x14ac:dyDescent="0.2"/>
    <row r="1954" outlineLevel="1" x14ac:dyDescent="0.2"/>
    <row r="1955" outlineLevel="1" x14ac:dyDescent="0.2"/>
    <row r="1956" outlineLevel="1" x14ac:dyDescent="0.2"/>
    <row r="1957" outlineLevel="1" x14ac:dyDescent="0.2"/>
    <row r="1958" outlineLevel="1" x14ac:dyDescent="0.2"/>
    <row r="1959" outlineLevel="1" x14ac:dyDescent="0.2"/>
    <row r="1960" outlineLevel="1" x14ac:dyDescent="0.2"/>
    <row r="1961" outlineLevel="1" x14ac:dyDescent="0.2"/>
    <row r="1962" outlineLevel="1" x14ac:dyDescent="0.2"/>
    <row r="1963" outlineLevel="1" x14ac:dyDescent="0.2"/>
    <row r="1964" outlineLevel="1" x14ac:dyDescent="0.2"/>
    <row r="1965" outlineLevel="1" x14ac:dyDescent="0.2"/>
    <row r="1966" outlineLevel="1" x14ac:dyDescent="0.2"/>
    <row r="1967" outlineLevel="1" x14ac:dyDescent="0.2"/>
    <row r="1968" outlineLevel="1" x14ac:dyDescent="0.2"/>
    <row r="1969" outlineLevel="1" x14ac:dyDescent="0.2"/>
    <row r="1970" outlineLevel="1" x14ac:dyDescent="0.2"/>
    <row r="1971" outlineLevel="1" x14ac:dyDescent="0.2"/>
    <row r="1972" outlineLevel="1" x14ac:dyDescent="0.2"/>
    <row r="1973" outlineLevel="1" x14ac:dyDescent="0.2"/>
    <row r="1974" outlineLevel="1" x14ac:dyDescent="0.2"/>
    <row r="1975" outlineLevel="1" x14ac:dyDescent="0.2"/>
    <row r="1976" outlineLevel="1" x14ac:dyDescent="0.2"/>
    <row r="1977" outlineLevel="1" x14ac:dyDescent="0.2"/>
    <row r="1978" outlineLevel="1" x14ac:dyDescent="0.2"/>
    <row r="1979" outlineLevel="1" x14ac:dyDescent="0.2"/>
    <row r="1980" outlineLevel="1" x14ac:dyDescent="0.2"/>
    <row r="1981" outlineLevel="1" x14ac:dyDescent="0.2"/>
    <row r="1982" outlineLevel="1" x14ac:dyDescent="0.2"/>
    <row r="1983" outlineLevel="1" x14ac:dyDescent="0.2"/>
    <row r="1984" outlineLevel="1" x14ac:dyDescent="0.2"/>
    <row r="1985" outlineLevel="1" x14ac:dyDescent="0.2"/>
    <row r="1986" outlineLevel="1" x14ac:dyDescent="0.2"/>
    <row r="1987" outlineLevel="1" x14ac:dyDescent="0.2"/>
    <row r="1988" outlineLevel="1" x14ac:dyDescent="0.2"/>
    <row r="1989" outlineLevel="1" x14ac:dyDescent="0.2"/>
    <row r="1990" outlineLevel="1" x14ac:dyDescent="0.2"/>
    <row r="1991" outlineLevel="1" x14ac:dyDescent="0.2"/>
    <row r="1992" outlineLevel="1" x14ac:dyDescent="0.2"/>
    <row r="1993" outlineLevel="1" x14ac:dyDescent="0.2"/>
    <row r="1994" outlineLevel="1" x14ac:dyDescent="0.2"/>
    <row r="1995" outlineLevel="1" x14ac:dyDescent="0.2"/>
    <row r="1996" outlineLevel="1" x14ac:dyDescent="0.2"/>
    <row r="1997" outlineLevel="1" x14ac:dyDescent="0.2"/>
    <row r="1998" outlineLevel="1" x14ac:dyDescent="0.2"/>
    <row r="1999" outlineLevel="1" x14ac:dyDescent="0.2"/>
    <row r="2000" outlineLevel="1" x14ac:dyDescent="0.2"/>
    <row r="2001" outlineLevel="1" x14ac:dyDescent="0.2"/>
    <row r="2002" outlineLevel="1" x14ac:dyDescent="0.2"/>
    <row r="2003" outlineLevel="1" x14ac:dyDescent="0.2"/>
    <row r="2004" outlineLevel="1" x14ac:dyDescent="0.2"/>
    <row r="2005" outlineLevel="1" x14ac:dyDescent="0.2"/>
    <row r="2006" outlineLevel="1" x14ac:dyDescent="0.2"/>
    <row r="2007" outlineLevel="1" x14ac:dyDescent="0.2"/>
    <row r="2008" outlineLevel="1" x14ac:dyDescent="0.2"/>
    <row r="2009" outlineLevel="1" x14ac:dyDescent="0.2"/>
    <row r="2010" outlineLevel="1" x14ac:dyDescent="0.2"/>
    <row r="2011" outlineLevel="1" x14ac:dyDescent="0.2"/>
    <row r="2012" outlineLevel="1" x14ac:dyDescent="0.2"/>
    <row r="2013" outlineLevel="1" x14ac:dyDescent="0.2"/>
    <row r="2014" outlineLevel="1" x14ac:dyDescent="0.2"/>
    <row r="2015" outlineLevel="1" x14ac:dyDescent="0.2"/>
    <row r="2016" outlineLevel="1" x14ac:dyDescent="0.2"/>
    <row r="2017" outlineLevel="1" x14ac:dyDescent="0.2"/>
    <row r="2018" outlineLevel="1" x14ac:dyDescent="0.2"/>
    <row r="2019" outlineLevel="1" x14ac:dyDescent="0.2"/>
    <row r="2020" outlineLevel="1" x14ac:dyDescent="0.2"/>
    <row r="2021" outlineLevel="1" x14ac:dyDescent="0.2"/>
    <row r="2022" outlineLevel="1" x14ac:dyDescent="0.2"/>
    <row r="2023" outlineLevel="1" x14ac:dyDescent="0.2"/>
    <row r="2024" outlineLevel="1" x14ac:dyDescent="0.2"/>
    <row r="2025" outlineLevel="1" x14ac:dyDescent="0.2"/>
    <row r="2026" outlineLevel="1" x14ac:dyDescent="0.2"/>
    <row r="2027" outlineLevel="1" x14ac:dyDescent="0.2"/>
    <row r="2028" outlineLevel="1" x14ac:dyDescent="0.2"/>
    <row r="2029" outlineLevel="1" x14ac:dyDescent="0.2"/>
    <row r="2030" outlineLevel="1" x14ac:dyDescent="0.2"/>
    <row r="2031" outlineLevel="1" x14ac:dyDescent="0.2"/>
    <row r="2032" outlineLevel="1" x14ac:dyDescent="0.2"/>
    <row r="2033" outlineLevel="1" x14ac:dyDescent="0.2"/>
    <row r="2034" outlineLevel="1" x14ac:dyDescent="0.2"/>
    <row r="2035" outlineLevel="1" x14ac:dyDescent="0.2"/>
    <row r="2036" outlineLevel="1" x14ac:dyDescent="0.2"/>
    <row r="2037" outlineLevel="1" x14ac:dyDescent="0.2"/>
    <row r="2038" outlineLevel="1" x14ac:dyDescent="0.2"/>
    <row r="2039" outlineLevel="1" x14ac:dyDescent="0.2"/>
    <row r="2040" outlineLevel="1" x14ac:dyDescent="0.2"/>
    <row r="2041" outlineLevel="1" x14ac:dyDescent="0.2"/>
    <row r="2042" outlineLevel="1" x14ac:dyDescent="0.2"/>
    <row r="2043" outlineLevel="1" x14ac:dyDescent="0.2"/>
    <row r="2044" outlineLevel="1" x14ac:dyDescent="0.2"/>
    <row r="2045" outlineLevel="1" x14ac:dyDescent="0.2"/>
    <row r="2046" outlineLevel="1" x14ac:dyDescent="0.2"/>
    <row r="2047" outlineLevel="1" x14ac:dyDescent="0.2"/>
    <row r="2048" outlineLevel="1" x14ac:dyDescent="0.2"/>
    <row r="2049" outlineLevel="1" x14ac:dyDescent="0.2"/>
    <row r="2050" outlineLevel="1" x14ac:dyDescent="0.2"/>
    <row r="2051" outlineLevel="1" x14ac:dyDescent="0.2"/>
    <row r="2052" outlineLevel="1" x14ac:dyDescent="0.2"/>
    <row r="2053" outlineLevel="1" x14ac:dyDescent="0.2"/>
    <row r="2054" outlineLevel="1" x14ac:dyDescent="0.2"/>
    <row r="2055" outlineLevel="1" x14ac:dyDescent="0.2"/>
    <row r="2056" outlineLevel="1" x14ac:dyDescent="0.2"/>
    <row r="2057" outlineLevel="1" x14ac:dyDescent="0.2"/>
    <row r="2058" outlineLevel="1" x14ac:dyDescent="0.2"/>
    <row r="2059" outlineLevel="1" x14ac:dyDescent="0.2"/>
    <row r="2060" outlineLevel="1" x14ac:dyDescent="0.2"/>
    <row r="2061" outlineLevel="1" x14ac:dyDescent="0.2"/>
    <row r="2062" outlineLevel="1" x14ac:dyDescent="0.2"/>
    <row r="2063" outlineLevel="1" x14ac:dyDescent="0.2"/>
    <row r="2064" outlineLevel="1" x14ac:dyDescent="0.2"/>
    <row r="2065" outlineLevel="1" x14ac:dyDescent="0.2"/>
    <row r="2066" outlineLevel="1" x14ac:dyDescent="0.2"/>
    <row r="2067" outlineLevel="1" x14ac:dyDescent="0.2"/>
    <row r="2068" outlineLevel="1" x14ac:dyDescent="0.2"/>
    <row r="2069" outlineLevel="1" x14ac:dyDescent="0.2"/>
    <row r="2070" outlineLevel="1" x14ac:dyDescent="0.2"/>
    <row r="2071" outlineLevel="1" x14ac:dyDescent="0.2"/>
    <row r="2072" outlineLevel="1" x14ac:dyDescent="0.2"/>
    <row r="2073" outlineLevel="1" x14ac:dyDescent="0.2"/>
    <row r="2074" outlineLevel="1" x14ac:dyDescent="0.2"/>
    <row r="2075" outlineLevel="1" x14ac:dyDescent="0.2"/>
    <row r="2076" outlineLevel="1" x14ac:dyDescent="0.2"/>
    <row r="2077" outlineLevel="1" x14ac:dyDescent="0.2"/>
    <row r="2078" outlineLevel="1" x14ac:dyDescent="0.2"/>
    <row r="2079" outlineLevel="1" x14ac:dyDescent="0.2"/>
    <row r="2080" outlineLevel="1" x14ac:dyDescent="0.2"/>
    <row r="2081" outlineLevel="1" x14ac:dyDescent="0.2"/>
    <row r="2082" outlineLevel="1" x14ac:dyDescent="0.2"/>
    <row r="2083" outlineLevel="1" x14ac:dyDescent="0.2"/>
    <row r="2084" outlineLevel="1" x14ac:dyDescent="0.2"/>
    <row r="2085" outlineLevel="1" x14ac:dyDescent="0.2"/>
    <row r="2086" outlineLevel="1" x14ac:dyDescent="0.2"/>
    <row r="2087" outlineLevel="1" x14ac:dyDescent="0.2"/>
    <row r="2088" outlineLevel="1" x14ac:dyDescent="0.2"/>
    <row r="2089" outlineLevel="1" x14ac:dyDescent="0.2"/>
    <row r="2090" outlineLevel="1" x14ac:dyDescent="0.2"/>
    <row r="2091" outlineLevel="1" x14ac:dyDescent="0.2"/>
    <row r="2092" outlineLevel="1" x14ac:dyDescent="0.2"/>
    <row r="2093" outlineLevel="1" x14ac:dyDescent="0.2"/>
    <row r="2094" outlineLevel="1" x14ac:dyDescent="0.2"/>
    <row r="2095" outlineLevel="1" x14ac:dyDescent="0.2"/>
    <row r="2096" outlineLevel="1" x14ac:dyDescent="0.2"/>
    <row r="2097" outlineLevel="1" x14ac:dyDescent="0.2"/>
    <row r="2098" outlineLevel="1" x14ac:dyDescent="0.2"/>
    <row r="2099" outlineLevel="1" x14ac:dyDescent="0.2"/>
    <row r="2100" outlineLevel="1" x14ac:dyDescent="0.2"/>
    <row r="2101" outlineLevel="1" x14ac:dyDescent="0.2"/>
    <row r="2102" outlineLevel="1" x14ac:dyDescent="0.2"/>
    <row r="2103" outlineLevel="1" x14ac:dyDescent="0.2"/>
    <row r="2104" outlineLevel="1" x14ac:dyDescent="0.2"/>
    <row r="2105" outlineLevel="1" x14ac:dyDescent="0.2"/>
    <row r="2106" outlineLevel="1" x14ac:dyDescent="0.2"/>
    <row r="2107" outlineLevel="1" x14ac:dyDescent="0.2"/>
    <row r="2108" outlineLevel="1" x14ac:dyDescent="0.2"/>
    <row r="2109" outlineLevel="1" x14ac:dyDescent="0.2"/>
    <row r="2110" outlineLevel="1" x14ac:dyDescent="0.2"/>
    <row r="2111" outlineLevel="1" x14ac:dyDescent="0.2"/>
    <row r="2112" outlineLevel="1" x14ac:dyDescent="0.2"/>
    <row r="2113" outlineLevel="1" x14ac:dyDescent="0.2"/>
    <row r="2114" outlineLevel="1" x14ac:dyDescent="0.2"/>
    <row r="2115" outlineLevel="1" x14ac:dyDescent="0.2"/>
    <row r="2116" outlineLevel="1" x14ac:dyDescent="0.2"/>
    <row r="2117" outlineLevel="1" x14ac:dyDescent="0.2"/>
    <row r="2118" outlineLevel="1" x14ac:dyDescent="0.2"/>
    <row r="2119" outlineLevel="1" x14ac:dyDescent="0.2"/>
    <row r="2120" outlineLevel="1" x14ac:dyDescent="0.2"/>
    <row r="2121" outlineLevel="1" x14ac:dyDescent="0.2"/>
    <row r="2122" outlineLevel="1" x14ac:dyDescent="0.2"/>
    <row r="2123" outlineLevel="1" x14ac:dyDescent="0.2"/>
    <row r="2124" outlineLevel="1" x14ac:dyDescent="0.2"/>
    <row r="2125" outlineLevel="1" x14ac:dyDescent="0.2"/>
    <row r="2126" outlineLevel="1" x14ac:dyDescent="0.2"/>
    <row r="2127" outlineLevel="1" x14ac:dyDescent="0.2"/>
    <row r="2128" outlineLevel="1" x14ac:dyDescent="0.2"/>
    <row r="2129" outlineLevel="1" x14ac:dyDescent="0.2"/>
    <row r="2130" outlineLevel="1" x14ac:dyDescent="0.2"/>
    <row r="2131" outlineLevel="1" x14ac:dyDescent="0.2"/>
    <row r="2132" outlineLevel="1" x14ac:dyDescent="0.2"/>
    <row r="2133" outlineLevel="1" x14ac:dyDescent="0.2"/>
    <row r="2134" outlineLevel="1" x14ac:dyDescent="0.2"/>
    <row r="2135" outlineLevel="1" x14ac:dyDescent="0.2"/>
    <row r="2136" outlineLevel="1" x14ac:dyDescent="0.2"/>
    <row r="2137" outlineLevel="1" x14ac:dyDescent="0.2"/>
    <row r="2138" outlineLevel="1" x14ac:dyDescent="0.2"/>
    <row r="2139" outlineLevel="1" x14ac:dyDescent="0.2"/>
    <row r="2140" outlineLevel="1" x14ac:dyDescent="0.2"/>
    <row r="2141" outlineLevel="1" x14ac:dyDescent="0.2"/>
    <row r="2142" outlineLevel="1" x14ac:dyDescent="0.2"/>
    <row r="2143" outlineLevel="1" x14ac:dyDescent="0.2"/>
    <row r="2144" outlineLevel="1" x14ac:dyDescent="0.2"/>
    <row r="2145" outlineLevel="1" x14ac:dyDescent="0.2"/>
    <row r="2146" outlineLevel="1" x14ac:dyDescent="0.2"/>
    <row r="2147" outlineLevel="1" x14ac:dyDescent="0.2"/>
    <row r="2148" outlineLevel="1" x14ac:dyDescent="0.2"/>
    <row r="2149" outlineLevel="1" x14ac:dyDescent="0.2"/>
    <row r="2150" outlineLevel="1" x14ac:dyDescent="0.2"/>
    <row r="2151" outlineLevel="1" x14ac:dyDescent="0.2"/>
    <row r="2152" outlineLevel="1" x14ac:dyDescent="0.2"/>
    <row r="2153" outlineLevel="1" x14ac:dyDescent="0.2"/>
    <row r="2154" outlineLevel="1" x14ac:dyDescent="0.2"/>
    <row r="2155" outlineLevel="1" x14ac:dyDescent="0.2"/>
    <row r="2156" outlineLevel="1" x14ac:dyDescent="0.2"/>
    <row r="2157" outlineLevel="1" x14ac:dyDescent="0.2"/>
    <row r="2158" outlineLevel="1" x14ac:dyDescent="0.2"/>
    <row r="2159" outlineLevel="1" x14ac:dyDescent="0.2"/>
    <row r="2160" outlineLevel="1" x14ac:dyDescent="0.2"/>
    <row r="2161" outlineLevel="1" x14ac:dyDescent="0.2"/>
    <row r="2162" outlineLevel="1" x14ac:dyDescent="0.2"/>
    <row r="2163" outlineLevel="1" x14ac:dyDescent="0.2"/>
    <row r="2164" outlineLevel="1" x14ac:dyDescent="0.2"/>
    <row r="2165" outlineLevel="1" x14ac:dyDescent="0.2"/>
    <row r="2166" outlineLevel="1" x14ac:dyDescent="0.2"/>
    <row r="2167" outlineLevel="1" x14ac:dyDescent="0.2"/>
    <row r="2168" outlineLevel="1" x14ac:dyDescent="0.2"/>
    <row r="2169" outlineLevel="1" x14ac:dyDescent="0.2"/>
    <row r="2170" outlineLevel="1" x14ac:dyDescent="0.2"/>
    <row r="2171" outlineLevel="1" x14ac:dyDescent="0.2"/>
    <row r="2172" outlineLevel="1" x14ac:dyDescent="0.2"/>
    <row r="2173" outlineLevel="1" x14ac:dyDescent="0.2"/>
    <row r="2174" outlineLevel="1" x14ac:dyDescent="0.2"/>
    <row r="2175" outlineLevel="1" x14ac:dyDescent="0.2"/>
    <row r="2176" outlineLevel="1" x14ac:dyDescent="0.2"/>
    <row r="2177" outlineLevel="1" x14ac:dyDescent="0.2"/>
    <row r="2178" outlineLevel="1" x14ac:dyDescent="0.2"/>
    <row r="2179" outlineLevel="1" x14ac:dyDescent="0.2"/>
    <row r="2180" outlineLevel="1" x14ac:dyDescent="0.2"/>
    <row r="2181" outlineLevel="1" x14ac:dyDescent="0.2"/>
    <row r="2182" outlineLevel="1" x14ac:dyDescent="0.2"/>
    <row r="2183" outlineLevel="1" x14ac:dyDescent="0.2"/>
    <row r="2184" outlineLevel="1" x14ac:dyDescent="0.2"/>
    <row r="2185" outlineLevel="1" x14ac:dyDescent="0.2"/>
    <row r="2186" outlineLevel="1" x14ac:dyDescent="0.2"/>
    <row r="2187" outlineLevel="1" x14ac:dyDescent="0.2"/>
    <row r="2188" outlineLevel="1" x14ac:dyDescent="0.2"/>
    <row r="2189" outlineLevel="1" x14ac:dyDescent="0.2"/>
    <row r="2190" outlineLevel="1" x14ac:dyDescent="0.2"/>
    <row r="2191" outlineLevel="1" x14ac:dyDescent="0.2"/>
    <row r="2192" outlineLevel="1" x14ac:dyDescent="0.2"/>
    <row r="2193" outlineLevel="1" x14ac:dyDescent="0.2"/>
    <row r="2194" outlineLevel="1" x14ac:dyDescent="0.2"/>
    <row r="2195" outlineLevel="1" x14ac:dyDescent="0.2"/>
    <row r="2196" outlineLevel="1" x14ac:dyDescent="0.2"/>
    <row r="2197" outlineLevel="1" x14ac:dyDescent="0.2"/>
    <row r="2198" outlineLevel="1" x14ac:dyDescent="0.2"/>
    <row r="2199" outlineLevel="1" x14ac:dyDescent="0.2"/>
    <row r="2200" outlineLevel="1" x14ac:dyDescent="0.2"/>
    <row r="2201" outlineLevel="1" x14ac:dyDescent="0.2"/>
    <row r="2202" outlineLevel="1" x14ac:dyDescent="0.2"/>
    <row r="2203" outlineLevel="1" x14ac:dyDescent="0.2"/>
    <row r="2204" outlineLevel="1" x14ac:dyDescent="0.2"/>
    <row r="2205" outlineLevel="1" x14ac:dyDescent="0.2"/>
    <row r="2206" outlineLevel="1" x14ac:dyDescent="0.2"/>
    <row r="2207" outlineLevel="1" x14ac:dyDescent="0.2"/>
    <row r="2208" outlineLevel="1" x14ac:dyDescent="0.2"/>
    <row r="2209" outlineLevel="1" x14ac:dyDescent="0.2"/>
    <row r="2210" outlineLevel="1" x14ac:dyDescent="0.2"/>
    <row r="2211" outlineLevel="1" x14ac:dyDescent="0.2"/>
    <row r="2212" outlineLevel="1" x14ac:dyDescent="0.2"/>
    <row r="2213" outlineLevel="1" x14ac:dyDescent="0.2"/>
    <row r="2214" outlineLevel="1" x14ac:dyDescent="0.2"/>
    <row r="2215" outlineLevel="1" x14ac:dyDescent="0.2"/>
    <row r="2216" outlineLevel="1" x14ac:dyDescent="0.2"/>
    <row r="2217" outlineLevel="1" x14ac:dyDescent="0.2"/>
    <row r="2218" outlineLevel="1" x14ac:dyDescent="0.2"/>
    <row r="2219" outlineLevel="1" x14ac:dyDescent="0.2"/>
    <row r="2220" outlineLevel="1" x14ac:dyDescent="0.2"/>
    <row r="2221" outlineLevel="1" x14ac:dyDescent="0.2"/>
    <row r="2222" outlineLevel="1" x14ac:dyDescent="0.2"/>
    <row r="2223" outlineLevel="1" x14ac:dyDescent="0.2"/>
    <row r="2224" outlineLevel="1" x14ac:dyDescent="0.2"/>
    <row r="2225" outlineLevel="1" x14ac:dyDescent="0.2"/>
    <row r="2226" outlineLevel="1" x14ac:dyDescent="0.2"/>
    <row r="2227" outlineLevel="1" x14ac:dyDescent="0.2"/>
    <row r="2228" outlineLevel="1" x14ac:dyDescent="0.2"/>
    <row r="2229" outlineLevel="1" x14ac:dyDescent="0.2"/>
    <row r="2230" outlineLevel="1" x14ac:dyDescent="0.2"/>
    <row r="2231" outlineLevel="1" x14ac:dyDescent="0.2"/>
    <row r="2232" outlineLevel="1" x14ac:dyDescent="0.2"/>
    <row r="2233" outlineLevel="1" x14ac:dyDescent="0.2"/>
    <row r="2234" outlineLevel="1" x14ac:dyDescent="0.2"/>
    <row r="2235" outlineLevel="1" x14ac:dyDescent="0.2"/>
    <row r="2236" outlineLevel="1" x14ac:dyDescent="0.2"/>
    <row r="2237" outlineLevel="1" x14ac:dyDescent="0.2"/>
    <row r="2238" outlineLevel="1" x14ac:dyDescent="0.2"/>
    <row r="2239" outlineLevel="1" x14ac:dyDescent="0.2"/>
    <row r="2240" outlineLevel="1" x14ac:dyDescent="0.2"/>
    <row r="2241" outlineLevel="1" x14ac:dyDescent="0.2"/>
    <row r="2242" outlineLevel="1" x14ac:dyDescent="0.2"/>
    <row r="2243" outlineLevel="1" x14ac:dyDescent="0.2"/>
    <row r="2244" outlineLevel="1" x14ac:dyDescent="0.2"/>
    <row r="2245" outlineLevel="1" x14ac:dyDescent="0.2"/>
    <row r="2246" outlineLevel="1" x14ac:dyDescent="0.2"/>
    <row r="2247" outlineLevel="1" x14ac:dyDescent="0.2"/>
    <row r="2248" outlineLevel="1" x14ac:dyDescent="0.2"/>
    <row r="2249" outlineLevel="1" x14ac:dyDescent="0.2"/>
    <row r="2250" outlineLevel="1" x14ac:dyDescent="0.2"/>
    <row r="2251" outlineLevel="1" x14ac:dyDescent="0.2"/>
    <row r="2252" outlineLevel="1" x14ac:dyDescent="0.2"/>
    <row r="2253" outlineLevel="1" x14ac:dyDescent="0.2"/>
    <row r="2254" outlineLevel="1" x14ac:dyDescent="0.2"/>
    <row r="2255" outlineLevel="1" x14ac:dyDescent="0.2"/>
    <row r="2256" outlineLevel="1" x14ac:dyDescent="0.2"/>
    <row r="2257" outlineLevel="1" x14ac:dyDescent="0.2"/>
    <row r="2258" outlineLevel="1" x14ac:dyDescent="0.2"/>
    <row r="2259" outlineLevel="1" x14ac:dyDescent="0.2"/>
    <row r="2260" outlineLevel="1" x14ac:dyDescent="0.2"/>
    <row r="2261" outlineLevel="1" x14ac:dyDescent="0.2"/>
    <row r="2262" outlineLevel="1" x14ac:dyDescent="0.2"/>
    <row r="2263" outlineLevel="1" x14ac:dyDescent="0.2"/>
    <row r="2264" outlineLevel="1" x14ac:dyDescent="0.2"/>
    <row r="2265" outlineLevel="1" x14ac:dyDescent="0.2"/>
    <row r="2266" outlineLevel="1" x14ac:dyDescent="0.2"/>
    <row r="2267" outlineLevel="1" x14ac:dyDescent="0.2"/>
    <row r="2268" outlineLevel="1" x14ac:dyDescent="0.2"/>
    <row r="2269" outlineLevel="1" x14ac:dyDescent="0.2"/>
    <row r="2270" outlineLevel="1" x14ac:dyDescent="0.2"/>
    <row r="2271" outlineLevel="1" x14ac:dyDescent="0.2"/>
    <row r="2272" outlineLevel="1" x14ac:dyDescent="0.2"/>
    <row r="2273" outlineLevel="1" x14ac:dyDescent="0.2"/>
    <row r="2274" outlineLevel="1" x14ac:dyDescent="0.2"/>
    <row r="2275" outlineLevel="1" x14ac:dyDescent="0.2"/>
    <row r="2276" outlineLevel="1" x14ac:dyDescent="0.2"/>
    <row r="2277" outlineLevel="1" x14ac:dyDescent="0.2"/>
    <row r="2278" outlineLevel="1" x14ac:dyDescent="0.2"/>
    <row r="2279" outlineLevel="1" x14ac:dyDescent="0.2"/>
    <row r="2280" outlineLevel="1" x14ac:dyDescent="0.2"/>
    <row r="2281" outlineLevel="1" x14ac:dyDescent="0.2"/>
    <row r="2282" outlineLevel="1" x14ac:dyDescent="0.2"/>
    <row r="2283" outlineLevel="1" x14ac:dyDescent="0.2"/>
    <row r="2284" outlineLevel="1" x14ac:dyDescent="0.2"/>
    <row r="2285" outlineLevel="1" x14ac:dyDescent="0.2"/>
    <row r="2286" outlineLevel="1" x14ac:dyDescent="0.2"/>
    <row r="2287" outlineLevel="1" x14ac:dyDescent="0.2"/>
    <row r="2288" outlineLevel="1" x14ac:dyDescent="0.2"/>
    <row r="2289" outlineLevel="1" x14ac:dyDescent="0.2"/>
    <row r="2290" outlineLevel="1" x14ac:dyDescent="0.2"/>
    <row r="2291" outlineLevel="1" x14ac:dyDescent="0.2"/>
    <row r="2292" outlineLevel="1" x14ac:dyDescent="0.2"/>
    <row r="2293" outlineLevel="1" x14ac:dyDescent="0.2"/>
    <row r="2294" outlineLevel="1" x14ac:dyDescent="0.2"/>
    <row r="2295" outlineLevel="1" x14ac:dyDescent="0.2"/>
    <row r="2296" outlineLevel="1" x14ac:dyDescent="0.2"/>
    <row r="2297" outlineLevel="1" x14ac:dyDescent="0.2"/>
    <row r="2298" outlineLevel="1" x14ac:dyDescent="0.2"/>
    <row r="2299" outlineLevel="1" x14ac:dyDescent="0.2"/>
    <row r="2300" outlineLevel="1" x14ac:dyDescent="0.2"/>
    <row r="2301" outlineLevel="1" x14ac:dyDescent="0.2"/>
    <row r="2302" outlineLevel="1" x14ac:dyDescent="0.2"/>
    <row r="2303" outlineLevel="1" x14ac:dyDescent="0.2"/>
    <row r="2304" outlineLevel="1" x14ac:dyDescent="0.2"/>
    <row r="2305" outlineLevel="1" x14ac:dyDescent="0.2"/>
    <row r="2306" outlineLevel="1" x14ac:dyDescent="0.2"/>
    <row r="2307" outlineLevel="1" x14ac:dyDescent="0.2"/>
    <row r="2308" outlineLevel="1" x14ac:dyDescent="0.2"/>
    <row r="2309" outlineLevel="1" x14ac:dyDescent="0.2"/>
    <row r="2310" outlineLevel="1" x14ac:dyDescent="0.2"/>
    <row r="2311" outlineLevel="1" x14ac:dyDescent="0.2"/>
    <row r="2312" outlineLevel="1" x14ac:dyDescent="0.2"/>
    <row r="2313" outlineLevel="1" x14ac:dyDescent="0.2"/>
    <row r="2314" outlineLevel="1" x14ac:dyDescent="0.2"/>
    <row r="2315" outlineLevel="1" x14ac:dyDescent="0.2"/>
    <row r="2316" outlineLevel="1" x14ac:dyDescent="0.2"/>
    <row r="2317" outlineLevel="1" x14ac:dyDescent="0.2"/>
    <row r="2318" outlineLevel="1" x14ac:dyDescent="0.2"/>
    <row r="2319" outlineLevel="1" x14ac:dyDescent="0.2"/>
    <row r="2320" outlineLevel="1" x14ac:dyDescent="0.2"/>
    <row r="2321" outlineLevel="1" x14ac:dyDescent="0.2"/>
    <row r="2322" outlineLevel="1" x14ac:dyDescent="0.2"/>
    <row r="2323" outlineLevel="1" x14ac:dyDescent="0.2"/>
    <row r="2324" outlineLevel="1" x14ac:dyDescent="0.2"/>
    <row r="2325" outlineLevel="1" x14ac:dyDescent="0.2"/>
    <row r="2326" outlineLevel="1" x14ac:dyDescent="0.2"/>
    <row r="2327" outlineLevel="1" x14ac:dyDescent="0.2"/>
    <row r="2328" outlineLevel="1" x14ac:dyDescent="0.2"/>
    <row r="2329" outlineLevel="1" x14ac:dyDescent="0.2"/>
    <row r="2330" outlineLevel="1" x14ac:dyDescent="0.2"/>
    <row r="2331" outlineLevel="1" x14ac:dyDescent="0.2"/>
    <row r="2332" outlineLevel="1" x14ac:dyDescent="0.2"/>
    <row r="2333" outlineLevel="1" x14ac:dyDescent="0.2"/>
    <row r="2334" outlineLevel="1" x14ac:dyDescent="0.2"/>
    <row r="2335" outlineLevel="1" x14ac:dyDescent="0.2"/>
    <row r="2336" outlineLevel="1" x14ac:dyDescent="0.2"/>
    <row r="2337" outlineLevel="1" x14ac:dyDescent="0.2"/>
    <row r="2338" outlineLevel="1" x14ac:dyDescent="0.2"/>
    <row r="2339" outlineLevel="1" x14ac:dyDescent="0.2"/>
    <row r="2340" outlineLevel="1" x14ac:dyDescent="0.2"/>
    <row r="2341" outlineLevel="1" x14ac:dyDescent="0.2"/>
    <row r="2342" outlineLevel="1" x14ac:dyDescent="0.2"/>
    <row r="2343" outlineLevel="1" x14ac:dyDescent="0.2"/>
    <row r="2344" outlineLevel="1" x14ac:dyDescent="0.2"/>
    <row r="2345" outlineLevel="1" x14ac:dyDescent="0.2"/>
    <row r="2346" outlineLevel="1" x14ac:dyDescent="0.2"/>
    <row r="2347" outlineLevel="1" x14ac:dyDescent="0.2"/>
    <row r="2348" outlineLevel="1" x14ac:dyDescent="0.2"/>
    <row r="2349" outlineLevel="1" x14ac:dyDescent="0.2"/>
    <row r="2350" outlineLevel="1" x14ac:dyDescent="0.2"/>
    <row r="2351" outlineLevel="1" x14ac:dyDescent="0.2"/>
    <row r="2352" outlineLevel="1" x14ac:dyDescent="0.2"/>
    <row r="2353" outlineLevel="1" x14ac:dyDescent="0.2"/>
    <row r="2354" outlineLevel="1" x14ac:dyDescent="0.2"/>
    <row r="2355" outlineLevel="1" x14ac:dyDescent="0.2"/>
    <row r="2356" outlineLevel="1" x14ac:dyDescent="0.2"/>
    <row r="2357" outlineLevel="1" x14ac:dyDescent="0.2"/>
    <row r="2358" outlineLevel="1" x14ac:dyDescent="0.2"/>
    <row r="2359" outlineLevel="1" x14ac:dyDescent="0.2"/>
    <row r="2360" outlineLevel="1" x14ac:dyDescent="0.2"/>
    <row r="2361" outlineLevel="1" x14ac:dyDescent="0.2"/>
    <row r="2362" outlineLevel="1" x14ac:dyDescent="0.2"/>
    <row r="2363" outlineLevel="1" x14ac:dyDescent="0.2"/>
    <row r="2364" outlineLevel="1" x14ac:dyDescent="0.2"/>
    <row r="2365" outlineLevel="1" x14ac:dyDescent="0.2"/>
    <row r="2366" outlineLevel="1" x14ac:dyDescent="0.2"/>
    <row r="2367" outlineLevel="1" x14ac:dyDescent="0.2"/>
    <row r="2368" outlineLevel="1" x14ac:dyDescent="0.2"/>
    <row r="2369" outlineLevel="1" x14ac:dyDescent="0.2"/>
    <row r="2370" outlineLevel="1" x14ac:dyDescent="0.2"/>
    <row r="2371" outlineLevel="1" x14ac:dyDescent="0.2"/>
    <row r="2372" outlineLevel="1" x14ac:dyDescent="0.2"/>
    <row r="2373" outlineLevel="1" x14ac:dyDescent="0.2"/>
    <row r="2374" outlineLevel="1" x14ac:dyDescent="0.2"/>
    <row r="2375" outlineLevel="1" x14ac:dyDescent="0.2"/>
    <row r="2376" outlineLevel="1" x14ac:dyDescent="0.2"/>
    <row r="2377" outlineLevel="1" x14ac:dyDescent="0.2"/>
    <row r="2378" outlineLevel="1" x14ac:dyDescent="0.2"/>
    <row r="2379" outlineLevel="1" x14ac:dyDescent="0.2"/>
    <row r="2380" outlineLevel="1" x14ac:dyDescent="0.2"/>
    <row r="2381" outlineLevel="1" x14ac:dyDescent="0.2"/>
    <row r="2382" outlineLevel="1" x14ac:dyDescent="0.2"/>
    <row r="2383" outlineLevel="1" x14ac:dyDescent="0.2"/>
    <row r="2384" outlineLevel="1" x14ac:dyDescent="0.2"/>
    <row r="2385" outlineLevel="1" x14ac:dyDescent="0.2"/>
    <row r="2386" outlineLevel="1" x14ac:dyDescent="0.2"/>
    <row r="2387" outlineLevel="1" x14ac:dyDescent="0.2"/>
    <row r="2388" outlineLevel="1" x14ac:dyDescent="0.2"/>
    <row r="2389" outlineLevel="1" x14ac:dyDescent="0.2"/>
    <row r="2390" outlineLevel="1" x14ac:dyDescent="0.2"/>
    <row r="2391" outlineLevel="1" x14ac:dyDescent="0.2"/>
    <row r="2392" outlineLevel="1" x14ac:dyDescent="0.2"/>
    <row r="2393" outlineLevel="1" x14ac:dyDescent="0.2"/>
    <row r="2394" outlineLevel="1" x14ac:dyDescent="0.2"/>
    <row r="2395" outlineLevel="1" x14ac:dyDescent="0.2"/>
    <row r="2396" outlineLevel="1" x14ac:dyDescent="0.2"/>
    <row r="2397" outlineLevel="1" x14ac:dyDescent="0.2"/>
    <row r="2398" outlineLevel="1" x14ac:dyDescent="0.2"/>
    <row r="2399" outlineLevel="1" x14ac:dyDescent="0.2"/>
    <row r="2400" outlineLevel="1" x14ac:dyDescent="0.2"/>
    <row r="2401" outlineLevel="1" x14ac:dyDescent="0.2"/>
    <row r="2402" outlineLevel="1" x14ac:dyDescent="0.2"/>
    <row r="2403" outlineLevel="1" x14ac:dyDescent="0.2"/>
    <row r="2404" outlineLevel="1" x14ac:dyDescent="0.2"/>
    <row r="2405" outlineLevel="1" x14ac:dyDescent="0.2"/>
    <row r="2406" outlineLevel="1" x14ac:dyDescent="0.2"/>
    <row r="2407" outlineLevel="1" x14ac:dyDescent="0.2"/>
    <row r="2408" outlineLevel="1" x14ac:dyDescent="0.2"/>
    <row r="2409" outlineLevel="1" x14ac:dyDescent="0.2"/>
    <row r="2410" outlineLevel="1" x14ac:dyDescent="0.2"/>
    <row r="2411" outlineLevel="1" x14ac:dyDescent="0.2"/>
    <row r="2412" outlineLevel="1" x14ac:dyDescent="0.2"/>
    <row r="2413" outlineLevel="1" x14ac:dyDescent="0.2"/>
    <row r="2414" outlineLevel="1" x14ac:dyDescent="0.2"/>
    <row r="2415" outlineLevel="1" x14ac:dyDescent="0.2"/>
    <row r="2416" outlineLevel="1" x14ac:dyDescent="0.2"/>
    <row r="2417" outlineLevel="1" x14ac:dyDescent="0.2"/>
    <row r="2418" outlineLevel="1" x14ac:dyDescent="0.2"/>
    <row r="2419" outlineLevel="1" x14ac:dyDescent="0.2"/>
    <row r="2420" outlineLevel="1" x14ac:dyDescent="0.2"/>
    <row r="2421" outlineLevel="1" x14ac:dyDescent="0.2"/>
    <row r="2422" outlineLevel="1" x14ac:dyDescent="0.2"/>
    <row r="2423" outlineLevel="1" x14ac:dyDescent="0.2"/>
    <row r="2424" outlineLevel="1" x14ac:dyDescent="0.2"/>
    <row r="2425" outlineLevel="1" x14ac:dyDescent="0.2"/>
    <row r="2426" outlineLevel="1" x14ac:dyDescent="0.2"/>
    <row r="2427" outlineLevel="1" x14ac:dyDescent="0.2"/>
    <row r="2428" outlineLevel="1" x14ac:dyDescent="0.2"/>
    <row r="2429" outlineLevel="1" x14ac:dyDescent="0.2"/>
    <row r="2430" outlineLevel="1" x14ac:dyDescent="0.2"/>
    <row r="2431" outlineLevel="1" x14ac:dyDescent="0.2"/>
    <row r="2432" outlineLevel="1" x14ac:dyDescent="0.2"/>
    <row r="2433" outlineLevel="1" x14ac:dyDescent="0.2"/>
    <row r="2434" outlineLevel="1" x14ac:dyDescent="0.2"/>
    <row r="2435" outlineLevel="1" x14ac:dyDescent="0.2"/>
    <row r="2436" outlineLevel="1" x14ac:dyDescent="0.2"/>
    <row r="2437" outlineLevel="1" x14ac:dyDescent="0.2"/>
    <row r="2438" outlineLevel="1" x14ac:dyDescent="0.2"/>
    <row r="2439" outlineLevel="1" x14ac:dyDescent="0.2"/>
    <row r="2440" outlineLevel="1" x14ac:dyDescent="0.2"/>
    <row r="2441" outlineLevel="1" x14ac:dyDescent="0.2"/>
    <row r="2442" outlineLevel="1" x14ac:dyDescent="0.2"/>
    <row r="2443" outlineLevel="1" x14ac:dyDescent="0.2"/>
    <row r="2444" outlineLevel="1" x14ac:dyDescent="0.2"/>
    <row r="2445" outlineLevel="1" x14ac:dyDescent="0.2"/>
    <row r="2446" outlineLevel="1" x14ac:dyDescent="0.2"/>
    <row r="2447" outlineLevel="1" x14ac:dyDescent="0.2"/>
    <row r="2448" outlineLevel="1" x14ac:dyDescent="0.2"/>
    <row r="2449" outlineLevel="1" x14ac:dyDescent="0.2"/>
    <row r="2450" outlineLevel="1" x14ac:dyDescent="0.2"/>
    <row r="2451" outlineLevel="1" x14ac:dyDescent="0.2"/>
    <row r="2452" outlineLevel="1" x14ac:dyDescent="0.2"/>
    <row r="2453" outlineLevel="1" x14ac:dyDescent="0.2"/>
    <row r="2454" outlineLevel="1" x14ac:dyDescent="0.2"/>
    <row r="2455" outlineLevel="1" x14ac:dyDescent="0.2"/>
    <row r="2456" outlineLevel="1" x14ac:dyDescent="0.2"/>
    <row r="2457" outlineLevel="1" x14ac:dyDescent="0.2"/>
    <row r="2458" outlineLevel="1" x14ac:dyDescent="0.2"/>
    <row r="2459" outlineLevel="1" x14ac:dyDescent="0.2"/>
    <row r="2460" outlineLevel="1" x14ac:dyDescent="0.2"/>
    <row r="2461" outlineLevel="1" x14ac:dyDescent="0.2"/>
    <row r="2462" outlineLevel="1" x14ac:dyDescent="0.2"/>
    <row r="2463" outlineLevel="1" x14ac:dyDescent="0.2"/>
    <row r="2464" outlineLevel="1" x14ac:dyDescent="0.2"/>
    <row r="2465" outlineLevel="1" x14ac:dyDescent="0.2"/>
    <row r="2466" outlineLevel="1" x14ac:dyDescent="0.2"/>
    <row r="2467" outlineLevel="1" x14ac:dyDescent="0.2"/>
    <row r="2468" outlineLevel="1" x14ac:dyDescent="0.2"/>
    <row r="2469" outlineLevel="1" x14ac:dyDescent="0.2"/>
    <row r="2470" outlineLevel="1" x14ac:dyDescent="0.2"/>
    <row r="2471" outlineLevel="1" x14ac:dyDescent="0.2"/>
    <row r="2472" outlineLevel="1" x14ac:dyDescent="0.2"/>
    <row r="2473" outlineLevel="1" x14ac:dyDescent="0.2"/>
    <row r="2474" outlineLevel="1" x14ac:dyDescent="0.2"/>
    <row r="2475" outlineLevel="1" x14ac:dyDescent="0.2"/>
    <row r="2476" outlineLevel="1" x14ac:dyDescent="0.2"/>
    <row r="2477" outlineLevel="1" x14ac:dyDescent="0.2"/>
    <row r="2478" outlineLevel="1" x14ac:dyDescent="0.2"/>
    <row r="2479" outlineLevel="1" x14ac:dyDescent="0.2"/>
    <row r="2480" outlineLevel="1" x14ac:dyDescent="0.2"/>
    <row r="2481" outlineLevel="1" x14ac:dyDescent="0.2"/>
    <row r="2482" outlineLevel="1" x14ac:dyDescent="0.2"/>
    <row r="2483" outlineLevel="1" x14ac:dyDescent="0.2"/>
    <row r="2484" outlineLevel="1" x14ac:dyDescent="0.2"/>
    <row r="2485" outlineLevel="1" x14ac:dyDescent="0.2"/>
    <row r="2486" outlineLevel="1" x14ac:dyDescent="0.2"/>
    <row r="2487" outlineLevel="1" x14ac:dyDescent="0.2"/>
    <row r="2488" outlineLevel="1" x14ac:dyDescent="0.2"/>
    <row r="2489" outlineLevel="1" x14ac:dyDescent="0.2"/>
    <row r="2490" outlineLevel="1" x14ac:dyDescent="0.2"/>
    <row r="2491" outlineLevel="1" x14ac:dyDescent="0.2"/>
    <row r="2492" outlineLevel="1" x14ac:dyDescent="0.2"/>
    <row r="2493" outlineLevel="1" x14ac:dyDescent="0.2"/>
    <row r="2494" outlineLevel="1" x14ac:dyDescent="0.2"/>
    <row r="2495" outlineLevel="1" x14ac:dyDescent="0.2"/>
    <row r="2496" outlineLevel="1" x14ac:dyDescent="0.2"/>
    <row r="2497" outlineLevel="1" x14ac:dyDescent="0.2"/>
    <row r="2498" outlineLevel="1" x14ac:dyDescent="0.2"/>
    <row r="2499" outlineLevel="1" x14ac:dyDescent="0.2"/>
    <row r="2500" outlineLevel="1" x14ac:dyDescent="0.2"/>
    <row r="2501" outlineLevel="1" x14ac:dyDescent="0.2"/>
    <row r="2502" outlineLevel="1" x14ac:dyDescent="0.2"/>
    <row r="2503" outlineLevel="1" x14ac:dyDescent="0.2"/>
    <row r="2504" outlineLevel="1" x14ac:dyDescent="0.2"/>
    <row r="2505" outlineLevel="1" x14ac:dyDescent="0.2"/>
    <row r="2506" outlineLevel="1" x14ac:dyDescent="0.2"/>
    <row r="2507" outlineLevel="1" x14ac:dyDescent="0.2"/>
    <row r="2508" outlineLevel="1" x14ac:dyDescent="0.2"/>
    <row r="2509" outlineLevel="1" x14ac:dyDescent="0.2"/>
    <row r="2510" outlineLevel="1" x14ac:dyDescent="0.2"/>
    <row r="2511" outlineLevel="1" x14ac:dyDescent="0.2"/>
    <row r="2512" outlineLevel="1" x14ac:dyDescent="0.2"/>
    <row r="2513" outlineLevel="1" x14ac:dyDescent="0.2"/>
    <row r="2514" outlineLevel="1" x14ac:dyDescent="0.2"/>
    <row r="2515" outlineLevel="1" x14ac:dyDescent="0.2"/>
    <row r="2516" outlineLevel="1" x14ac:dyDescent="0.2"/>
    <row r="2517" outlineLevel="1" x14ac:dyDescent="0.2"/>
    <row r="2518" outlineLevel="1" x14ac:dyDescent="0.2"/>
    <row r="2519" outlineLevel="1" x14ac:dyDescent="0.2"/>
    <row r="2520" outlineLevel="1" x14ac:dyDescent="0.2"/>
    <row r="2521" outlineLevel="1" x14ac:dyDescent="0.2"/>
    <row r="2522" outlineLevel="1" x14ac:dyDescent="0.2"/>
    <row r="2523" outlineLevel="1" x14ac:dyDescent="0.2"/>
    <row r="2524" outlineLevel="1" x14ac:dyDescent="0.2"/>
    <row r="2525" outlineLevel="1" x14ac:dyDescent="0.2"/>
    <row r="2526" outlineLevel="1" x14ac:dyDescent="0.2"/>
    <row r="2527" outlineLevel="1" x14ac:dyDescent="0.2"/>
    <row r="2528" outlineLevel="1" x14ac:dyDescent="0.2"/>
    <row r="2529" outlineLevel="1" x14ac:dyDescent="0.2"/>
    <row r="2530" outlineLevel="1" x14ac:dyDescent="0.2"/>
    <row r="2531" outlineLevel="1" x14ac:dyDescent="0.2"/>
    <row r="2532" outlineLevel="1" x14ac:dyDescent="0.2"/>
    <row r="2533" outlineLevel="1" x14ac:dyDescent="0.2"/>
    <row r="2534" outlineLevel="1" x14ac:dyDescent="0.2"/>
    <row r="2535" outlineLevel="1" x14ac:dyDescent="0.2"/>
    <row r="2536" outlineLevel="1" x14ac:dyDescent="0.2"/>
    <row r="2537" outlineLevel="1" x14ac:dyDescent="0.2"/>
    <row r="2538" outlineLevel="1" x14ac:dyDescent="0.2"/>
    <row r="2539" outlineLevel="1" x14ac:dyDescent="0.2"/>
    <row r="2540" outlineLevel="1" x14ac:dyDescent="0.2"/>
    <row r="2541" outlineLevel="1" x14ac:dyDescent="0.2"/>
    <row r="2542" outlineLevel="1" x14ac:dyDescent="0.2"/>
    <row r="2543" outlineLevel="1" x14ac:dyDescent="0.2"/>
    <row r="2544" outlineLevel="1" x14ac:dyDescent="0.2"/>
    <row r="2545" outlineLevel="1" x14ac:dyDescent="0.2"/>
    <row r="2546" outlineLevel="1" x14ac:dyDescent="0.2"/>
    <row r="2547" outlineLevel="1" x14ac:dyDescent="0.2"/>
    <row r="2548" outlineLevel="1" x14ac:dyDescent="0.2"/>
    <row r="2549" outlineLevel="1" x14ac:dyDescent="0.2"/>
    <row r="2550" outlineLevel="1" x14ac:dyDescent="0.2"/>
    <row r="2551" outlineLevel="1" x14ac:dyDescent="0.2"/>
    <row r="2552" outlineLevel="1" x14ac:dyDescent="0.2"/>
    <row r="2553" outlineLevel="1" x14ac:dyDescent="0.2"/>
    <row r="2554" outlineLevel="1" x14ac:dyDescent="0.2"/>
    <row r="2555" outlineLevel="1" x14ac:dyDescent="0.2"/>
    <row r="2556" outlineLevel="1" x14ac:dyDescent="0.2"/>
    <row r="2557" outlineLevel="1" x14ac:dyDescent="0.2"/>
    <row r="2558" outlineLevel="1" x14ac:dyDescent="0.2"/>
    <row r="2559" outlineLevel="1" x14ac:dyDescent="0.2"/>
    <row r="2560" outlineLevel="1" x14ac:dyDescent="0.2"/>
    <row r="2561" outlineLevel="1" x14ac:dyDescent="0.2"/>
    <row r="2562" outlineLevel="1" x14ac:dyDescent="0.2"/>
    <row r="2563" outlineLevel="1" x14ac:dyDescent="0.2"/>
    <row r="2564" outlineLevel="1" x14ac:dyDescent="0.2"/>
    <row r="2565" outlineLevel="1" x14ac:dyDescent="0.2"/>
    <row r="2566" outlineLevel="1" x14ac:dyDescent="0.2"/>
    <row r="2567" outlineLevel="1" x14ac:dyDescent="0.2"/>
    <row r="2568" outlineLevel="1" x14ac:dyDescent="0.2"/>
    <row r="2569" outlineLevel="1" x14ac:dyDescent="0.2"/>
    <row r="2570" outlineLevel="1" x14ac:dyDescent="0.2"/>
    <row r="2571" outlineLevel="1" x14ac:dyDescent="0.2"/>
    <row r="2572" outlineLevel="1" x14ac:dyDescent="0.2"/>
    <row r="2573" outlineLevel="1" x14ac:dyDescent="0.2"/>
    <row r="2574" outlineLevel="1" x14ac:dyDescent="0.2"/>
    <row r="2575" outlineLevel="1" x14ac:dyDescent="0.2"/>
    <row r="2576" outlineLevel="1" x14ac:dyDescent="0.2"/>
    <row r="2577" outlineLevel="1" x14ac:dyDescent="0.2"/>
    <row r="2578" outlineLevel="1" x14ac:dyDescent="0.2"/>
    <row r="2579" outlineLevel="1" x14ac:dyDescent="0.2"/>
    <row r="2580" outlineLevel="1" x14ac:dyDescent="0.2"/>
    <row r="2581" outlineLevel="1" x14ac:dyDescent="0.2"/>
    <row r="2582" outlineLevel="1" x14ac:dyDescent="0.2"/>
    <row r="2583" outlineLevel="1" x14ac:dyDescent="0.2"/>
    <row r="2584" outlineLevel="1" x14ac:dyDescent="0.2"/>
    <row r="2585" outlineLevel="1" x14ac:dyDescent="0.2"/>
    <row r="2586" outlineLevel="1" x14ac:dyDescent="0.2"/>
    <row r="2587" outlineLevel="1" x14ac:dyDescent="0.2"/>
    <row r="2588" outlineLevel="1" x14ac:dyDescent="0.2"/>
    <row r="2589" outlineLevel="1" x14ac:dyDescent="0.2"/>
    <row r="2590" outlineLevel="1" x14ac:dyDescent="0.2"/>
    <row r="2591" outlineLevel="1" x14ac:dyDescent="0.2"/>
    <row r="2592" outlineLevel="1" x14ac:dyDescent="0.2"/>
    <row r="2593" outlineLevel="1" x14ac:dyDescent="0.2"/>
    <row r="2594" outlineLevel="1" x14ac:dyDescent="0.2"/>
    <row r="2595" outlineLevel="1" x14ac:dyDescent="0.2"/>
    <row r="2596" outlineLevel="1" x14ac:dyDescent="0.2"/>
    <row r="2597" outlineLevel="1" x14ac:dyDescent="0.2"/>
    <row r="2598" outlineLevel="1" x14ac:dyDescent="0.2"/>
    <row r="2599" outlineLevel="1" x14ac:dyDescent="0.2"/>
    <row r="2600" outlineLevel="1" x14ac:dyDescent="0.2"/>
    <row r="2601" outlineLevel="1" x14ac:dyDescent="0.2"/>
    <row r="2602" outlineLevel="1" x14ac:dyDescent="0.2"/>
    <row r="2603" outlineLevel="1" x14ac:dyDescent="0.2"/>
    <row r="2604" outlineLevel="1" x14ac:dyDescent="0.2"/>
    <row r="2605" outlineLevel="1" x14ac:dyDescent="0.2"/>
    <row r="2606" outlineLevel="1" x14ac:dyDescent="0.2"/>
    <row r="2607" outlineLevel="1" x14ac:dyDescent="0.2"/>
    <row r="2608" outlineLevel="1" x14ac:dyDescent="0.2"/>
    <row r="2609" outlineLevel="1" x14ac:dyDescent="0.2"/>
    <row r="2610" outlineLevel="1" x14ac:dyDescent="0.2"/>
    <row r="2611" outlineLevel="1" x14ac:dyDescent="0.2"/>
    <row r="2612" outlineLevel="1" x14ac:dyDescent="0.2"/>
    <row r="2613" outlineLevel="1" x14ac:dyDescent="0.2"/>
    <row r="2614" outlineLevel="1" x14ac:dyDescent="0.2"/>
    <row r="2615" outlineLevel="1" x14ac:dyDescent="0.2"/>
    <row r="2616" outlineLevel="1" x14ac:dyDescent="0.2"/>
    <row r="2617" outlineLevel="1" x14ac:dyDescent="0.2"/>
    <row r="2618" outlineLevel="1" x14ac:dyDescent="0.2"/>
    <row r="2619" outlineLevel="1" x14ac:dyDescent="0.2"/>
    <row r="2620" outlineLevel="1" x14ac:dyDescent="0.2"/>
    <row r="2621" outlineLevel="1" x14ac:dyDescent="0.2"/>
    <row r="2622" outlineLevel="1" x14ac:dyDescent="0.2"/>
    <row r="2623" outlineLevel="1" x14ac:dyDescent="0.2"/>
    <row r="2624" outlineLevel="1" x14ac:dyDescent="0.2"/>
    <row r="2625" outlineLevel="1" x14ac:dyDescent="0.2"/>
    <row r="2626" outlineLevel="1" x14ac:dyDescent="0.2"/>
    <row r="2627" outlineLevel="1" x14ac:dyDescent="0.2"/>
    <row r="2628" outlineLevel="1" x14ac:dyDescent="0.2"/>
    <row r="2629" outlineLevel="1" x14ac:dyDescent="0.2"/>
    <row r="2630" outlineLevel="1" x14ac:dyDescent="0.2"/>
    <row r="2631" outlineLevel="1" x14ac:dyDescent="0.2"/>
    <row r="2632" outlineLevel="1" x14ac:dyDescent="0.2"/>
    <row r="2633" outlineLevel="1" x14ac:dyDescent="0.2"/>
    <row r="2634" outlineLevel="1" x14ac:dyDescent="0.2"/>
    <row r="2635" outlineLevel="1" x14ac:dyDescent="0.2"/>
    <row r="2636" outlineLevel="1" x14ac:dyDescent="0.2"/>
    <row r="2637" outlineLevel="1" x14ac:dyDescent="0.2"/>
    <row r="2638" outlineLevel="1" x14ac:dyDescent="0.2"/>
    <row r="2639" outlineLevel="1" x14ac:dyDescent="0.2"/>
    <row r="2640" outlineLevel="1" x14ac:dyDescent="0.2"/>
    <row r="2641" outlineLevel="1" x14ac:dyDescent="0.2"/>
    <row r="2642" outlineLevel="1" x14ac:dyDescent="0.2"/>
    <row r="2643" outlineLevel="1" x14ac:dyDescent="0.2"/>
    <row r="2644" outlineLevel="1" x14ac:dyDescent="0.2"/>
    <row r="2645" outlineLevel="1" x14ac:dyDescent="0.2"/>
    <row r="2646" outlineLevel="1" x14ac:dyDescent="0.2"/>
    <row r="2647" outlineLevel="1" x14ac:dyDescent="0.2"/>
    <row r="2648" outlineLevel="1" x14ac:dyDescent="0.2"/>
    <row r="2649" outlineLevel="1" x14ac:dyDescent="0.2"/>
    <row r="2650" outlineLevel="1" x14ac:dyDescent="0.2"/>
    <row r="2651" outlineLevel="1" x14ac:dyDescent="0.2"/>
    <row r="2652" outlineLevel="1" x14ac:dyDescent="0.2"/>
    <row r="2653" outlineLevel="1" x14ac:dyDescent="0.2"/>
    <row r="2654" outlineLevel="1" x14ac:dyDescent="0.2"/>
    <row r="2655" outlineLevel="1" x14ac:dyDescent="0.2"/>
    <row r="2656" outlineLevel="1" x14ac:dyDescent="0.2"/>
    <row r="2657" outlineLevel="1" x14ac:dyDescent="0.2"/>
    <row r="2658" outlineLevel="1" x14ac:dyDescent="0.2"/>
    <row r="2659" outlineLevel="1" x14ac:dyDescent="0.2"/>
    <row r="2660" outlineLevel="1" x14ac:dyDescent="0.2"/>
    <row r="2661" outlineLevel="1" x14ac:dyDescent="0.2"/>
    <row r="2662" outlineLevel="1" x14ac:dyDescent="0.2"/>
    <row r="2663" outlineLevel="1" x14ac:dyDescent="0.2"/>
    <row r="2664" outlineLevel="1" x14ac:dyDescent="0.2"/>
    <row r="2665" outlineLevel="1" x14ac:dyDescent="0.2"/>
    <row r="2666" outlineLevel="1" x14ac:dyDescent="0.2"/>
    <row r="2667" outlineLevel="1" x14ac:dyDescent="0.2"/>
    <row r="2668" outlineLevel="1" x14ac:dyDescent="0.2"/>
    <row r="2669" outlineLevel="1" x14ac:dyDescent="0.2"/>
    <row r="2670" outlineLevel="1" x14ac:dyDescent="0.2"/>
    <row r="2671" outlineLevel="1" x14ac:dyDescent="0.2"/>
    <row r="2672" outlineLevel="1" x14ac:dyDescent="0.2"/>
    <row r="2673" outlineLevel="1" x14ac:dyDescent="0.2"/>
    <row r="2674" outlineLevel="1" x14ac:dyDescent="0.2"/>
    <row r="2675" outlineLevel="1" x14ac:dyDescent="0.2"/>
    <row r="2676" outlineLevel="1" x14ac:dyDescent="0.2"/>
    <row r="2677" outlineLevel="1" x14ac:dyDescent="0.2"/>
    <row r="2678" outlineLevel="1" x14ac:dyDescent="0.2"/>
    <row r="2679" outlineLevel="1" x14ac:dyDescent="0.2"/>
    <row r="2680" outlineLevel="1" x14ac:dyDescent="0.2"/>
    <row r="2681" outlineLevel="1" x14ac:dyDescent="0.2"/>
    <row r="2682" outlineLevel="1" x14ac:dyDescent="0.2"/>
    <row r="2683" outlineLevel="1" x14ac:dyDescent="0.2"/>
    <row r="2684" outlineLevel="1" x14ac:dyDescent="0.2"/>
    <row r="2685" outlineLevel="1" x14ac:dyDescent="0.2"/>
    <row r="2686" outlineLevel="1" x14ac:dyDescent="0.2"/>
    <row r="2687" outlineLevel="1" x14ac:dyDescent="0.2"/>
    <row r="2688" outlineLevel="1" x14ac:dyDescent="0.2"/>
    <row r="2689" outlineLevel="1" x14ac:dyDescent="0.2"/>
    <row r="2690" outlineLevel="1" x14ac:dyDescent="0.2"/>
    <row r="2691" outlineLevel="1" x14ac:dyDescent="0.2"/>
    <row r="2692" outlineLevel="1" x14ac:dyDescent="0.2"/>
    <row r="2693" outlineLevel="1" x14ac:dyDescent="0.2"/>
    <row r="2694" outlineLevel="1" x14ac:dyDescent="0.2"/>
    <row r="2695" outlineLevel="1" x14ac:dyDescent="0.2"/>
    <row r="2696" outlineLevel="1" x14ac:dyDescent="0.2"/>
    <row r="2697" outlineLevel="1" x14ac:dyDescent="0.2"/>
    <row r="2698" outlineLevel="1" x14ac:dyDescent="0.2"/>
    <row r="2699" outlineLevel="1" x14ac:dyDescent="0.2"/>
    <row r="2700" outlineLevel="1" x14ac:dyDescent="0.2"/>
    <row r="2701" outlineLevel="1" x14ac:dyDescent="0.2"/>
    <row r="2702" outlineLevel="1" x14ac:dyDescent="0.2"/>
    <row r="2703" outlineLevel="1" x14ac:dyDescent="0.2"/>
    <row r="2704" outlineLevel="1" x14ac:dyDescent="0.2"/>
    <row r="2705" outlineLevel="1" x14ac:dyDescent="0.2"/>
    <row r="2706" outlineLevel="1" x14ac:dyDescent="0.2"/>
    <row r="2707" outlineLevel="1" x14ac:dyDescent="0.2"/>
    <row r="2708" outlineLevel="1" x14ac:dyDescent="0.2"/>
    <row r="2709" outlineLevel="1" x14ac:dyDescent="0.2"/>
    <row r="2710" outlineLevel="1" x14ac:dyDescent="0.2"/>
    <row r="2711" outlineLevel="1" x14ac:dyDescent="0.2"/>
    <row r="2712" outlineLevel="1" x14ac:dyDescent="0.2"/>
    <row r="2713" outlineLevel="1" x14ac:dyDescent="0.2"/>
    <row r="2714" outlineLevel="1" x14ac:dyDescent="0.2"/>
    <row r="2715" outlineLevel="1" x14ac:dyDescent="0.2"/>
    <row r="2716" outlineLevel="1" x14ac:dyDescent="0.2"/>
    <row r="2717" outlineLevel="1" x14ac:dyDescent="0.2"/>
    <row r="2718" outlineLevel="1" x14ac:dyDescent="0.2"/>
    <row r="2719" outlineLevel="1" x14ac:dyDescent="0.2"/>
    <row r="2720" outlineLevel="1" x14ac:dyDescent="0.2"/>
    <row r="2721" outlineLevel="1" x14ac:dyDescent="0.2"/>
    <row r="2722" outlineLevel="1" x14ac:dyDescent="0.2"/>
    <row r="2723" outlineLevel="1" x14ac:dyDescent="0.2"/>
    <row r="2724" outlineLevel="1" x14ac:dyDescent="0.2"/>
    <row r="2725" outlineLevel="1" x14ac:dyDescent="0.2"/>
    <row r="2726" outlineLevel="1" x14ac:dyDescent="0.2"/>
    <row r="2727" outlineLevel="1" x14ac:dyDescent="0.2"/>
    <row r="2728" outlineLevel="1" x14ac:dyDescent="0.2"/>
    <row r="2729" outlineLevel="1" x14ac:dyDescent="0.2"/>
    <row r="2730" outlineLevel="1" x14ac:dyDescent="0.2"/>
    <row r="2731" outlineLevel="1" x14ac:dyDescent="0.2"/>
    <row r="2732" outlineLevel="1" x14ac:dyDescent="0.2"/>
    <row r="2733" outlineLevel="1" x14ac:dyDescent="0.2"/>
    <row r="2734" outlineLevel="1" x14ac:dyDescent="0.2"/>
    <row r="2735" outlineLevel="1" x14ac:dyDescent="0.2"/>
    <row r="2736" outlineLevel="1" x14ac:dyDescent="0.2"/>
    <row r="2737" outlineLevel="1" x14ac:dyDescent="0.2"/>
    <row r="2738" outlineLevel="1" x14ac:dyDescent="0.2"/>
    <row r="2739" outlineLevel="1" x14ac:dyDescent="0.2"/>
    <row r="2740" outlineLevel="1" x14ac:dyDescent="0.2"/>
    <row r="2741" outlineLevel="1" x14ac:dyDescent="0.2"/>
    <row r="2742" outlineLevel="1" x14ac:dyDescent="0.2"/>
    <row r="2743" outlineLevel="1" x14ac:dyDescent="0.2"/>
    <row r="2744" outlineLevel="1" x14ac:dyDescent="0.2"/>
    <row r="2745" outlineLevel="1" x14ac:dyDescent="0.2"/>
    <row r="2746" outlineLevel="1" x14ac:dyDescent="0.2"/>
    <row r="2747" outlineLevel="1" x14ac:dyDescent="0.2"/>
    <row r="2748" outlineLevel="1" x14ac:dyDescent="0.2"/>
    <row r="2749" outlineLevel="1" x14ac:dyDescent="0.2"/>
    <row r="2750" outlineLevel="1" x14ac:dyDescent="0.2"/>
    <row r="2751" outlineLevel="1" x14ac:dyDescent="0.2"/>
    <row r="2752" outlineLevel="1" x14ac:dyDescent="0.2"/>
    <row r="2753" outlineLevel="1" x14ac:dyDescent="0.2"/>
    <row r="2754" outlineLevel="1" x14ac:dyDescent="0.2"/>
    <row r="2755" outlineLevel="1" x14ac:dyDescent="0.2"/>
    <row r="2756" outlineLevel="1" x14ac:dyDescent="0.2"/>
    <row r="2757" outlineLevel="1" x14ac:dyDescent="0.2"/>
    <row r="2758" outlineLevel="1" x14ac:dyDescent="0.2"/>
    <row r="2759" outlineLevel="1" x14ac:dyDescent="0.2"/>
    <row r="2760" outlineLevel="1" x14ac:dyDescent="0.2"/>
    <row r="2761" outlineLevel="1" x14ac:dyDescent="0.2"/>
    <row r="2762" outlineLevel="1" x14ac:dyDescent="0.2"/>
    <row r="2763" outlineLevel="1" x14ac:dyDescent="0.2"/>
    <row r="2764" outlineLevel="1" x14ac:dyDescent="0.2"/>
    <row r="2765" outlineLevel="1" x14ac:dyDescent="0.2"/>
    <row r="2766" outlineLevel="1" x14ac:dyDescent="0.2"/>
    <row r="2767" outlineLevel="1" x14ac:dyDescent="0.2"/>
    <row r="2768" outlineLevel="1" x14ac:dyDescent="0.2"/>
    <row r="2769" outlineLevel="1" x14ac:dyDescent="0.2"/>
    <row r="2770" outlineLevel="1" x14ac:dyDescent="0.2"/>
    <row r="2771" outlineLevel="1" x14ac:dyDescent="0.2"/>
    <row r="2772" outlineLevel="1" x14ac:dyDescent="0.2"/>
    <row r="2773" outlineLevel="1" x14ac:dyDescent="0.2"/>
    <row r="2774" outlineLevel="1" x14ac:dyDescent="0.2"/>
    <row r="2775" outlineLevel="1" x14ac:dyDescent="0.2"/>
    <row r="2776" outlineLevel="1" x14ac:dyDescent="0.2"/>
    <row r="2777" outlineLevel="1" x14ac:dyDescent="0.2"/>
    <row r="2778" outlineLevel="1" x14ac:dyDescent="0.2"/>
    <row r="2779" outlineLevel="1" x14ac:dyDescent="0.2"/>
    <row r="2780" outlineLevel="1" x14ac:dyDescent="0.2"/>
    <row r="2781" outlineLevel="1" x14ac:dyDescent="0.2"/>
    <row r="2782" outlineLevel="1" x14ac:dyDescent="0.2"/>
    <row r="2783" outlineLevel="1" x14ac:dyDescent="0.2"/>
    <row r="2784" outlineLevel="1" x14ac:dyDescent="0.2"/>
    <row r="2785" outlineLevel="1" x14ac:dyDescent="0.2"/>
    <row r="2786" outlineLevel="1" x14ac:dyDescent="0.2"/>
    <row r="2787" outlineLevel="1" x14ac:dyDescent="0.2"/>
    <row r="2788" outlineLevel="1" x14ac:dyDescent="0.2"/>
    <row r="2789" outlineLevel="1" x14ac:dyDescent="0.2"/>
    <row r="2790" outlineLevel="1" x14ac:dyDescent="0.2"/>
    <row r="2791" outlineLevel="1" x14ac:dyDescent="0.2"/>
    <row r="2792" outlineLevel="1" x14ac:dyDescent="0.2"/>
    <row r="2793" outlineLevel="1" x14ac:dyDescent="0.2"/>
    <row r="2794" outlineLevel="1" x14ac:dyDescent="0.2"/>
    <row r="2795" outlineLevel="1" x14ac:dyDescent="0.2"/>
    <row r="2796" outlineLevel="1" x14ac:dyDescent="0.2"/>
    <row r="2797" outlineLevel="1" x14ac:dyDescent="0.2"/>
    <row r="2798" outlineLevel="1" x14ac:dyDescent="0.2"/>
    <row r="2799" outlineLevel="1" x14ac:dyDescent="0.2"/>
    <row r="2800" outlineLevel="1" x14ac:dyDescent="0.2"/>
    <row r="2801" outlineLevel="1" x14ac:dyDescent="0.2"/>
    <row r="2802" outlineLevel="1" x14ac:dyDescent="0.2"/>
    <row r="2803" outlineLevel="1" x14ac:dyDescent="0.2"/>
    <row r="2804" outlineLevel="1" x14ac:dyDescent="0.2"/>
    <row r="2805" outlineLevel="1" x14ac:dyDescent="0.2"/>
    <row r="2806" outlineLevel="1" x14ac:dyDescent="0.2"/>
    <row r="2807" outlineLevel="1" x14ac:dyDescent="0.2"/>
    <row r="2808" outlineLevel="1" x14ac:dyDescent="0.2"/>
    <row r="2809" outlineLevel="1" x14ac:dyDescent="0.2"/>
    <row r="2810" outlineLevel="1" x14ac:dyDescent="0.2"/>
    <row r="2811" outlineLevel="1" x14ac:dyDescent="0.2"/>
    <row r="2812" outlineLevel="1" x14ac:dyDescent="0.2"/>
    <row r="2813" outlineLevel="1" x14ac:dyDescent="0.2"/>
    <row r="2814" outlineLevel="1" x14ac:dyDescent="0.2"/>
    <row r="2815" outlineLevel="1" x14ac:dyDescent="0.2"/>
    <row r="2816" outlineLevel="1" x14ac:dyDescent="0.2"/>
    <row r="2817" outlineLevel="1" x14ac:dyDescent="0.2"/>
    <row r="2818" outlineLevel="1" x14ac:dyDescent="0.2"/>
    <row r="2819" outlineLevel="1" x14ac:dyDescent="0.2"/>
    <row r="2820" outlineLevel="1" x14ac:dyDescent="0.2"/>
    <row r="2821" outlineLevel="1" x14ac:dyDescent="0.2"/>
    <row r="2822" outlineLevel="1" x14ac:dyDescent="0.2"/>
    <row r="2823" outlineLevel="1" x14ac:dyDescent="0.2"/>
    <row r="2824" outlineLevel="1" x14ac:dyDescent="0.2"/>
    <row r="2825" outlineLevel="1" x14ac:dyDescent="0.2"/>
    <row r="2826" outlineLevel="1" x14ac:dyDescent="0.2"/>
    <row r="2827" outlineLevel="1" x14ac:dyDescent="0.2"/>
    <row r="2828" outlineLevel="1" x14ac:dyDescent="0.2"/>
    <row r="2829" outlineLevel="1" x14ac:dyDescent="0.2"/>
    <row r="2830" outlineLevel="1" x14ac:dyDescent="0.2"/>
    <row r="2831" outlineLevel="1" x14ac:dyDescent="0.2"/>
    <row r="2832" outlineLevel="1" x14ac:dyDescent="0.2"/>
    <row r="2833" outlineLevel="1" x14ac:dyDescent="0.2"/>
    <row r="2834" outlineLevel="1" x14ac:dyDescent="0.2"/>
    <row r="2835" outlineLevel="1" x14ac:dyDescent="0.2"/>
    <row r="2836" outlineLevel="1" x14ac:dyDescent="0.2"/>
    <row r="2837" outlineLevel="1" x14ac:dyDescent="0.2"/>
    <row r="2838" outlineLevel="1" x14ac:dyDescent="0.2"/>
    <row r="2839" outlineLevel="1" x14ac:dyDescent="0.2"/>
    <row r="2840" outlineLevel="1" x14ac:dyDescent="0.2"/>
    <row r="2841" outlineLevel="1" x14ac:dyDescent="0.2"/>
    <row r="2842" outlineLevel="1" x14ac:dyDescent="0.2"/>
    <row r="2843" outlineLevel="1" x14ac:dyDescent="0.2"/>
    <row r="2844" outlineLevel="1" x14ac:dyDescent="0.2"/>
    <row r="2845" outlineLevel="1" x14ac:dyDescent="0.2"/>
    <row r="2846" outlineLevel="1" x14ac:dyDescent="0.2"/>
    <row r="2847" outlineLevel="1" x14ac:dyDescent="0.2"/>
    <row r="2848" outlineLevel="1" x14ac:dyDescent="0.2"/>
    <row r="2849" outlineLevel="1" x14ac:dyDescent="0.2"/>
    <row r="2850" outlineLevel="1" x14ac:dyDescent="0.2"/>
    <row r="2851" outlineLevel="1" x14ac:dyDescent="0.2"/>
    <row r="2852" outlineLevel="1" x14ac:dyDescent="0.2"/>
    <row r="2853" outlineLevel="1" x14ac:dyDescent="0.2"/>
    <row r="2854" outlineLevel="1" x14ac:dyDescent="0.2"/>
    <row r="2855" outlineLevel="1" x14ac:dyDescent="0.2"/>
    <row r="2856" outlineLevel="1" x14ac:dyDescent="0.2"/>
    <row r="2857" outlineLevel="1" x14ac:dyDescent="0.2"/>
    <row r="2858" outlineLevel="1" x14ac:dyDescent="0.2"/>
    <row r="2859" outlineLevel="1" x14ac:dyDescent="0.2"/>
    <row r="2860" outlineLevel="1" x14ac:dyDescent="0.2"/>
    <row r="2861" outlineLevel="1" x14ac:dyDescent="0.2"/>
    <row r="2862" outlineLevel="1" x14ac:dyDescent="0.2"/>
    <row r="2863" outlineLevel="1" x14ac:dyDescent="0.2"/>
    <row r="2864" outlineLevel="1" x14ac:dyDescent="0.2"/>
    <row r="2865" outlineLevel="1" x14ac:dyDescent="0.2"/>
    <row r="2866" outlineLevel="1" x14ac:dyDescent="0.2"/>
    <row r="2867" outlineLevel="1" x14ac:dyDescent="0.2"/>
    <row r="2868" outlineLevel="1" x14ac:dyDescent="0.2"/>
    <row r="2869" outlineLevel="1" x14ac:dyDescent="0.2"/>
    <row r="2870" outlineLevel="1" x14ac:dyDescent="0.2"/>
    <row r="2871" outlineLevel="1" x14ac:dyDescent="0.2"/>
    <row r="2872" outlineLevel="1" x14ac:dyDescent="0.2"/>
    <row r="2873" outlineLevel="1" x14ac:dyDescent="0.2"/>
    <row r="2874" outlineLevel="1" x14ac:dyDescent="0.2"/>
    <row r="2875" outlineLevel="1" x14ac:dyDescent="0.2"/>
    <row r="2876" outlineLevel="1" x14ac:dyDescent="0.2"/>
    <row r="2877" outlineLevel="1" x14ac:dyDescent="0.2"/>
    <row r="2878" outlineLevel="1" x14ac:dyDescent="0.2"/>
    <row r="2879" outlineLevel="1" x14ac:dyDescent="0.2"/>
    <row r="2880" outlineLevel="1" x14ac:dyDescent="0.2"/>
    <row r="2881" outlineLevel="1" x14ac:dyDescent="0.2"/>
    <row r="2882" outlineLevel="1" x14ac:dyDescent="0.2"/>
    <row r="2883" outlineLevel="1" x14ac:dyDescent="0.2"/>
    <row r="2884" outlineLevel="1" x14ac:dyDescent="0.2"/>
    <row r="2885" outlineLevel="1" x14ac:dyDescent="0.2"/>
    <row r="2886" outlineLevel="1" x14ac:dyDescent="0.2"/>
    <row r="2887" outlineLevel="1" x14ac:dyDescent="0.2"/>
    <row r="2888" outlineLevel="1" x14ac:dyDescent="0.2"/>
    <row r="2889" outlineLevel="1" x14ac:dyDescent="0.2"/>
    <row r="2890" outlineLevel="1" x14ac:dyDescent="0.2"/>
    <row r="2891" outlineLevel="1" x14ac:dyDescent="0.2"/>
    <row r="2892" outlineLevel="1" x14ac:dyDescent="0.2"/>
    <row r="2893" outlineLevel="1" x14ac:dyDescent="0.2"/>
    <row r="2894" outlineLevel="1" x14ac:dyDescent="0.2"/>
    <row r="2895" outlineLevel="1" x14ac:dyDescent="0.2"/>
    <row r="2896" outlineLevel="1" x14ac:dyDescent="0.2"/>
    <row r="2897" outlineLevel="1" x14ac:dyDescent="0.2"/>
    <row r="2898" outlineLevel="1" x14ac:dyDescent="0.2"/>
    <row r="2899" outlineLevel="1" x14ac:dyDescent="0.2"/>
    <row r="2900" outlineLevel="1" x14ac:dyDescent="0.2"/>
    <row r="2901" outlineLevel="1" x14ac:dyDescent="0.2"/>
    <row r="2902" outlineLevel="1" x14ac:dyDescent="0.2"/>
    <row r="2903" outlineLevel="1" x14ac:dyDescent="0.2"/>
    <row r="2904" outlineLevel="1" x14ac:dyDescent="0.2"/>
    <row r="2905" outlineLevel="1" x14ac:dyDescent="0.2"/>
    <row r="2906" outlineLevel="1" x14ac:dyDescent="0.2"/>
    <row r="2907" outlineLevel="1" x14ac:dyDescent="0.2"/>
    <row r="2908" outlineLevel="1" x14ac:dyDescent="0.2"/>
    <row r="2909" outlineLevel="1" x14ac:dyDescent="0.2"/>
    <row r="2910" outlineLevel="1" x14ac:dyDescent="0.2"/>
    <row r="2911" outlineLevel="1" x14ac:dyDescent="0.2"/>
    <row r="2912" outlineLevel="1" x14ac:dyDescent="0.2"/>
    <row r="2913" outlineLevel="1" x14ac:dyDescent="0.2"/>
    <row r="2914" outlineLevel="1" x14ac:dyDescent="0.2"/>
    <row r="2915" outlineLevel="1" x14ac:dyDescent="0.2"/>
    <row r="2916" outlineLevel="1" x14ac:dyDescent="0.2"/>
    <row r="2917" outlineLevel="1" x14ac:dyDescent="0.2"/>
    <row r="2918" outlineLevel="1" x14ac:dyDescent="0.2"/>
    <row r="2919" outlineLevel="1" x14ac:dyDescent="0.2"/>
    <row r="2920" outlineLevel="1" x14ac:dyDescent="0.2"/>
    <row r="2921" outlineLevel="1" x14ac:dyDescent="0.2"/>
    <row r="2922" outlineLevel="1" x14ac:dyDescent="0.2"/>
    <row r="2923" outlineLevel="1" x14ac:dyDescent="0.2"/>
    <row r="2924" outlineLevel="1" x14ac:dyDescent="0.2"/>
    <row r="2925" outlineLevel="1" x14ac:dyDescent="0.2"/>
    <row r="2926" outlineLevel="1" x14ac:dyDescent="0.2"/>
    <row r="2927" outlineLevel="1" x14ac:dyDescent="0.2"/>
    <row r="2928" outlineLevel="1" x14ac:dyDescent="0.2"/>
    <row r="2929" outlineLevel="1" x14ac:dyDescent="0.2"/>
    <row r="2930" outlineLevel="1" x14ac:dyDescent="0.2"/>
    <row r="2931" outlineLevel="1" x14ac:dyDescent="0.2"/>
    <row r="2932" outlineLevel="1" x14ac:dyDescent="0.2"/>
    <row r="2933" outlineLevel="1" x14ac:dyDescent="0.2"/>
    <row r="2934" outlineLevel="1" x14ac:dyDescent="0.2"/>
    <row r="2935" outlineLevel="1" x14ac:dyDescent="0.2"/>
    <row r="2936" outlineLevel="1" x14ac:dyDescent="0.2"/>
    <row r="2937" outlineLevel="1" x14ac:dyDescent="0.2"/>
    <row r="2938" outlineLevel="1" x14ac:dyDescent="0.2"/>
    <row r="2939" outlineLevel="1" x14ac:dyDescent="0.2"/>
    <row r="2940" outlineLevel="1" x14ac:dyDescent="0.2"/>
    <row r="2941" outlineLevel="1" x14ac:dyDescent="0.2"/>
    <row r="2942" outlineLevel="1" x14ac:dyDescent="0.2"/>
    <row r="2943" outlineLevel="1" x14ac:dyDescent="0.2"/>
    <row r="2944" outlineLevel="1" x14ac:dyDescent="0.2"/>
    <row r="2945" outlineLevel="1" x14ac:dyDescent="0.2"/>
    <row r="2946" outlineLevel="1" x14ac:dyDescent="0.2"/>
    <row r="2947" outlineLevel="1" x14ac:dyDescent="0.2"/>
    <row r="2948" outlineLevel="1" x14ac:dyDescent="0.2"/>
    <row r="2949" outlineLevel="1" x14ac:dyDescent="0.2"/>
    <row r="2950" outlineLevel="1" x14ac:dyDescent="0.2"/>
    <row r="2951" outlineLevel="1" x14ac:dyDescent="0.2"/>
    <row r="2952" outlineLevel="1" x14ac:dyDescent="0.2"/>
    <row r="2953" outlineLevel="1" x14ac:dyDescent="0.2"/>
    <row r="2954" outlineLevel="1" x14ac:dyDescent="0.2"/>
    <row r="2955" outlineLevel="1" x14ac:dyDescent="0.2"/>
    <row r="2956" outlineLevel="1" x14ac:dyDescent="0.2"/>
    <row r="2957" outlineLevel="1" x14ac:dyDescent="0.2"/>
    <row r="2958" outlineLevel="1" x14ac:dyDescent="0.2"/>
    <row r="2959" outlineLevel="1" x14ac:dyDescent="0.2"/>
    <row r="2960" outlineLevel="1" x14ac:dyDescent="0.2"/>
    <row r="2961" outlineLevel="1" x14ac:dyDescent="0.2"/>
    <row r="2962" outlineLevel="1" x14ac:dyDescent="0.2"/>
    <row r="2963" outlineLevel="1" x14ac:dyDescent="0.2"/>
    <row r="2964" outlineLevel="1" x14ac:dyDescent="0.2"/>
    <row r="2965" outlineLevel="1" x14ac:dyDescent="0.2"/>
    <row r="2966" outlineLevel="1" x14ac:dyDescent="0.2"/>
    <row r="2967" outlineLevel="1" x14ac:dyDescent="0.2"/>
    <row r="2968" outlineLevel="1" x14ac:dyDescent="0.2"/>
    <row r="2969" outlineLevel="1" x14ac:dyDescent="0.2"/>
    <row r="2970" outlineLevel="1" x14ac:dyDescent="0.2"/>
    <row r="2971" outlineLevel="1" x14ac:dyDescent="0.2"/>
    <row r="2972" outlineLevel="1" x14ac:dyDescent="0.2"/>
    <row r="2973" outlineLevel="1" x14ac:dyDescent="0.2"/>
    <row r="2974" outlineLevel="1" x14ac:dyDescent="0.2"/>
    <row r="2975" outlineLevel="1" x14ac:dyDescent="0.2"/>
    <row r="2976" outlineLevel="1" x14ac:dyDescent="0.2"/>
    <row r="2977" outlineLevel="1" x14ac:dyDescent="0.2"/>
    <row r="2978" outlineLevel="1" x14ac:dyDescent="0.2"/>
    <row r="2979" outlineLevel="1" x14ac:dyDescent="0.2"/>
    <row r="2980" outlineLevel="1" x14ac:dyDescent="0.2"/>
    <row r="2981" outlineLevel="1" x14ac:dyDescent="0.2"/>
    <row r="2982" outlineLevel="1" x14ac:dyDescent="0.2"/>
    <row r="2983" outlineLevel="1" x14ac:dyDescent="0.2"/>
    <row r="2984" outlineLevel="1" x14ac:dyDescent="0.2"/>
    <row r="2985" outlineLevel="1" x14ac:dyDescent="0.2"/>
    <row r="2986" outlineLevel="1" x14ac:dyDescent="0.2"/>
    <row r="2987" outlineLevel="1" x14ac:dyDescent="0.2"/>
    <row r="2988" outlineLevel="1" x14ac:dyDescent="0.2"/>
    <row r="2989" outlineLevel="1" x14ac:dyDescent="0.2"/>
    <row r="2990" outlineLevel="1" x14ac:dyDescent="0.2"/>
    <row r="2991" outlineLevel="1" x14ac:dyDescent="0.2"/>
    <row r="2992" outlineLevel="1" x14ac:dyDescent="0.2"/>
    <row r="2993" outlineLevel="1" x14ac:dyDescent="0.2"/>
    <row r="2994" outlineLevel="1" x14ac:dyDescent="0.2"/>
    <row r="2995" outlineLevel="1" x14ac:dyDescent="0.2"/>
    <row r="2996" outlineLevel="1" x14ac:dyDescent="0.2"/>
    <row r="2997" outlineLevel="1" x14ac:dyDescent="0.2"/>
    <row r="2998" outlineLevel="1" x14ac:dyDescent="0.2"/>
    <row r="2999" outlineLevel="1" x14ac:dyDescent="0.2"/>
    <row r="3000" outlineLevel="1" x14ac:dyDescent="0.2"/>
    <row r="3001" outlineLevel="1" x14ac:dyDescent="0.2"/>
    <row r="3002" outlineLevel="1" x14ac:dyDescent="0.2"/>
    <row r="3003" outlineLevel="1" x14ac:dyDescent="0.2"/>
    <row r="3004" outlineLevel="1" x14ac:dyDescent="0.2"/>
    <row r="3005" outlineLevel="1" x14ac:dyDescent="0.2"/>
    <row r="3006" outlineLevel="1" x14ac:dyDescent="0.2"/>
    <row r="3007" outlineLevel="1" x14ac:dyDescent="0.2"/>
    <row r="3008" outlineLevel="1" x14ac:dyDescent="0.2"/>
    <row r="3009" outlineLevel="1" x14ac:dyDescent="0.2"/>
    <row r="3010" outlineLevel="1" x14ac:dyDescent="0.2"/>
    <row r="3011" outlineLevel="1" x14ac:dyDescent="0.2"/>
    <row r="3012" outlineLevel="1" x14ac:dyDescent="0.2"/>
    <row r="3013" outlineLevel="1" x14ac:dyDescent="0.2"/>
    <row r="3014" outlineLevel="1" x14ac:dyDescent="0.2"/>
    <row r="3015" outlineLevel="1" x14ac:dyDescent="0.2"/>
    <row r="3016" outlineLevel="1" x14ac:dyDescent="0.2"/>
    <row r="3017" outlineLevel="1" x14ac:dyDescent="0.2"/>
    <row r="3018" outlineLevel="1" x14ac:dyDescent="0.2"/>
    <row r="3019" outlineLevel="1" x14ac:dyDescent="0.2"/>
    <row r="3020" outlineLevel="1" x14ac:dyDescent="0.2"/>
    <row r="3021" outlineLevel="1" x14ac:dyDescent="0.2"/>
    <row r="3022" outlineLevel="1" x14ac:dyDescent="0.2"/>
    <row r="3023" outlineLevel="1" x14ac:dyDescent="0.2"/>
    <row r="3024" outlineLevel="1" x14ac:dyDescent="0.2"/>
    <row r="3025" outlineLevel="1" x14ac:dyDescent="0.2"/>
    <row r="3026" outlineLevel="1" x14ac:dyDescent="0.2"/>
    <row r="3027" outlineLevel="1" x14ac:dyDescent="0.2"/>
    <row r="3028" outlineLevel="1" x14ac:dyDescent="0.2"/>
    <row r="3029" outlineLevel="1" x14ac:dyDescent="0.2"/>
    <row r="3030" outlineLevel="1" x14ac:dyDescent="0.2"/>
    <row r="3031" outlineLevel="1" x14ac:dyDescent="0.2"/>
    <row r="3032" outlineLevel="1" x14ac:dyDescent="0.2"/>
    <row r="3033" outlineLevel="1" x14ac:dyDescent="0.2"/>
    <row r="3034" outlineLevel="1" x14ac:dyDescent="0.2"/>
    <row r="3035" outlineLevel="1" x14ac:dyDescent="0.2"/>
    <row r="3036" outlineLevel="1" x14ac:dyDescent="0.2"/>
    <row r="3037" outlineLevel="1" x14ac:dyDescent="0.2"/>
    <row r="3038" outlineLevel="1" x14ac:dyDescent="0.2"/>
    <row r="3039" outlineLevel="1" x14ac:dyDescent="0.2"/>
    <row r="3040" outlineLevel="1" x14ac:dyDescent="0.2"/>
    <row r="3041" outlineLevel="1" x14ac:dyDescent="0.2"/>
    <row r="3042" outlineLevel="1" x14ac:dyDescent="0.2"/>
    <row r="3043" outlineLevel="1" x14ac:dyDescent="0.2"/>
    <row r="3044" outlineLevel="1" x14ac:dyDescent="0.2"/>
    <row r="3045" outlineLevel="1" x14ac:dyDescent="0.2"/>
    <row r="3046" outlineLevel="1" x14ac:dyDescent="0.2"/>
    <row r="3047" outlineLevel="1" x14ac:dyDescent="0.2"/>
    <row r="3048" outlineLevel="1" x14ac:dyDescent="0.2"/>
    <row r="3049" outlineLevel="1" x14ac:dyDescent="0.2"/>
    <row r="3050" outlineLevel="1" x14ac:dyDescent="0.2"/>
    <row r="3051" outlineLevel="1" x14ac:dyDescent="0.2"/>
    <row r="3052" outlineLevel="1" x14ac:dyDescent="0.2"/>
    <row r="3053" outlineLevel="1" x14ac:dyDescent="0.2"/>
    <row r="3054" outlineLevel="1" x14ac:dyDescent="0.2"/>
    <row r="3055" outlineLevel="1" x14ac:dyDescent="0.2"/>
    <row r="3056" outlineLevel="1" x14ac:dyDescent="0.2"/>
    <row r="3057" outlineLevel="1" x14ac:dyDescent="0.2"/>
    <row r="3058" outlineLevel="1" x14ac:dyDescent="0.2"/>
    <row r="3059" outlineLevel="1" x14ac:dyDescent="0.2"/>
    <row r="3060" outlineLevel="1" x14ac:dyDescent="0.2"/>
    <row r="3061" outlineLevel="1" x14ac:dyDescent="0.2"/>
    <row r="3062" outlineLevel="1" x14ac:dyDescent="0.2"/>
    <row r="3063" outlineLevel="1" x14ac:dyDescent="0.2"/>
    <row r="3064" outlineLevel="1" x14ac:dyDescent="0.2"/>
    <row r="3065" outlineLevel="1" x14ac:dyDescent="0.2"/>
    <row r="3066" outlineLevel="1" x14ac:dyDescent="0.2"/>
    <row r="3067" outlineLevel="1" x14ac:dyDescent="0.2"/>
    <row r="3068" outlineLevel="1" x14ac:dyDescent="0.2"/>
    <row r="3069" outlineLevel="1" x14ac:dyDescent="0.2"/>
    <row r="3070" outlineLevel="1" x14ac:dyDescent="0.2"/>
    <row r="3071" outlineLevel="1" x14ac:dyDescent="0.2"/>
    <row r="3072" outlineLevel="1" x14ac:dyDescent="0.2"/>
    <row r="3073" outlineLevel="1" x14ac:dyDescent="0.2"/>
    <row r="3074" outlineLevel="1" x14ac:dyDescent="0.2"/>
    <row r="3075" outlineLevel="1" x14ac:dyDescent="0.2"/>
    <row r="3076" outlineLevel="1" x14ac:dyDescent="0.2"/>
    <row r="3077" outlineLevel="1" x14ac:dyDescent="0.2"/>
    <row r="3078" outlineLevel="1" x14ac:dyDescent="0.2"/>
    <row r="3079" outlineLevel="1" x14ac:dyDescent="0.2"/>
    <row r="3080" outlineLevel="1" x14ac:dyDescent="0.2"/>
    <row r="3081" outlineLevel="1" x14ac:dyDescent="0.2"/>
    <row r="3082" outlineLevel="1" x14ac:dyDescent="0.2"/>
    <row r="3083" outlineLevel="1" x14ac:dyDescent="0.2"/>
    <row r="3084" outlineLevel="1" x14ac:dyDescent="0.2"/>
    <row r="3085" outlineLevel="1" x14ac:dyDescent="0.2"/>
    <row r="3086" outlineLevel="1" x14ac:dyDescent="0.2"/>
    <row r="3087" outlineLevel="1" x14ac:dyDescent="0.2"/>
    <row r="3088" outlineLevel="1" x14ac:dyDescent="0.2"/>
    <row r="3089" outlineLevel="1" x14ac:dyDescent="0.2"/>
    <row r="3090" outlineLevel="1" x14ac:dyDescent="0.2"/>
    <row r="3091" outlineLevel="1" x14ac:dyDescent="0.2"/>
    <row r="3092" outlineLevel="1" x14ac:dyDescent="0.2"/>
    <row r="3093" outlineLevel="1" x14ac:dyDescent="0.2"/>
    <row r="3094" outlineLevel="1" x14ac:dyDescent="0.2"/>
    <row r="3095" outlineLevel="1" x14ac:dyDescent="0.2"/>
    <row r="3096" outlineLevel="1" x14ac:dyDescent="0.2"/>
    <row r="3097" outlineLevel="1" x14ac:dyDescent="0.2"/>
    <row r="3098" outlineLevel="1" x14ac:dyDescent="0.2"/>
    <row r="3099" outlineLevel="1" x14ac:dyDescent="0.2"/>
    <row r="3100" outlineLevel="1" x14ac:dyDescent="0.2"/>
    <row r="3101" outlineLevel="1" x14ac:dyDescent="0.2"/>
    <row r="3102" outlineLevel="1" x14ac:dyDescent="0.2"/>
    <row r="3103" outlineLevel="1" x14ac:dyDescent="0.2"/>
    <row r="3104" outlineLevel="1" x14ac:dyDescent="0.2"/>
    <row r="3105" outlineLevel="1" x14ac:dyDescent="0.2"/>
    <row r="3106" outlineLevel="1" x14ac:dyDescent="0.2"/>
    <row r="3107" outlineLevel="1" x14ac:dyDescent="0.2"/>
    <row r="3108" outlineLevel="1" x14ac:dyDescent="0.2"/>
    <row r="3109" outlineLevel="1" x14ac:dyDescent="0.2"/>
    <row r="3110" outlineLevel="1" x14ac:dyDescent="0.2"/>
    <row r="3111" outlineLevel="1" x14ac:dyDescent="0.2"/>
    <row r="3112" outlineLevel="1" x14ac:dyDescent="0.2"/>
    <row r="3113" outlineLevel="1" x14ac:dyDescent="0.2"/>
    <row r="3114" outlineLevel="1" x14ac:dyDescent="0.2"/>
    <row r="3115" outlineLevel="1" x14ac:dyDescent="0.2"/>
    <row r="3116" outlineLevel="1" x14ac:dyDescent="0.2"/>
    <row r="3117" outlineLevel="1" x14ac:dyDescent="0.2"/>
    <row r="3118" outlineLevel="1" x14ac:dyDescent="0.2"/>
    <row r="3119" outlineLevel="1" x14ac:dyDescent="0.2"/>
    <row r="3120" outlineLevel="1" x14ac:dyDescent="0.2"/>
    <row r="3121" outlineLevel="1" x14ac:dyDescent="0.2"/>
    <row r="3122" outlineLevel="1" x14ac:dyDescent="0.2"/>
    <row r="3123" outlineLevel="1" x14ac:dyDescent="0.2"/>
    <row r="3124" outlineLevel="1" x14ac:dyDescent="0.2"/>
    <row r="3125" outlineLevel="1" x14ac:dyDescent="0.2"/>
    <row r="3126" outlineLevel="1" x14ac:dyDescent="0.2"/>
    <row r="3127" outlineLevel="1" x14ac:dyDescent="0.2"/>
    <row r="3128" outlineLevel="1" x14ac:dyDescent="0.2"/>
    <row r="3129" outlineLevel="1" x14ac:dyDescent="0.2"/>
    <row r="3130" outlineLevel="1" x14ac:dyDescent="0.2"/>
    <row r="3131" outlineLevel="1" x14ac:dyDescent="0.2"/>
    <row r="3132" outlineLevel="1" x14ac:dyDescent="0.2"/>
    <row r="3133" outlineLevel="1" x14ac:dyDescent="0.2"/>
    <row r="3134" outlineLevel="1" x14ac:dyDescent="0.2"/>
    <row r="3135" outlineLevel="1" x14ac:dyDescent="0.2"/>
    <row r="3136" outlineLevel="1" x14ac:dyDescent="0.2"/>
    <row r="3137" outlineLevel="1" x14ac:dyDescent="0.2"/>
    <row r="3138" outlineLevel="1" x14ac:dyDescent="0.2"/>
    <row r="3139" outlineLevel="1" x14ac:dyDescent="0.2"/>
    <row r="3140" outlineLevel="1" x14ac:dyDescent="0.2"/>
    <row r="3141" outlineLevel="1" x14ac:dyDescent="0.2"/>
    <row r="3142" outlineLevel="1" x14ac:dyDescent="0.2"/>
    <row r="3143" outlineLevel="1" x14ac:dyDescent="0.2"/>
    <row r="3144" outlineLevel="1" x14ac:dyDescent="0.2"/>
    <row r="3145" outlineLevel="1" x14ac:dyDescent="0.2"/>
    <row r="3146" outlineLevel="1" x14ac:dyDescent="0.2"/>
    <row r="3147" outlineLevel="1" x14ac:dyDescent="0.2"/>
    <row r="3148" outlineLevel="1" x14ac:dyDescent="0.2"/>
    <row r="3149" outlineLevel="1" x14ac:dyDescent="0.2"/>
    <row r="3150" outlineLevel="1" x14ac:dyDescent="0.2"/>
    <row r="3151" outlineLevel="1" x14ac:dyDescent="0.2"/>
    <row r="3152" outlineLevel="1" x14ac:dyDescent="0.2"/>
    <row r="3153" outlineLevel="1" x14ac:dyDescent="0.2"/>
    <row r="3154" outlineLevel="1" x14ac:dyDescent="0.2"/>
    <row r="3155" outlineLevel="1" x14ac:dyDescent="0.2"/>
    <row r="3156" outlineLevel="1" x14ac:dyDescent="0.2"/>
    <row r="3157" outlineLevel="1" x14ac:dyDescent="0.2"/>
    <row r="3158" outlineLevel="1" x14ac:dyDescent="0.2"/>
    <row r="3159" outlineLevel="1" x14ac:dyDescent="0.2"/>
    <row r="3160" outlineLevel="1" x14ac:dyDescent="0.2"/>
    <row r="3161" outlineLevel="1" x14ac:dyDescent="0.2"/>
    <row r="3162" outlineLevel="1" x14ac:dyDescent="0.2"/>
    <row r="3163" outlineLevel="1" x14ac:dyDescent="0.2"/>
    <row r="3164" outlineLevel="1" x14ac:dyDescent="0.2"/>
    <row r="3165" outlineLevel="1" x14ac:dyDescent="0.2"/>
    <row r="3166" outlineLevel="1" x14ac:dyDescent="0.2"/>
    <row r="3167" outlineLevel="1" x14ac:dyDescent="0.2"/>
    <row r="3168" outlineLevel="1" x14ac:dyDescent="0.2"/>
    <row r="3169" outlineLevel="1" x14ac:dyDescent="0.2"/>
    <row r="3170" outlineLevel="1" x14ac:dyDescent="0.2"/>
    <row r="3171" outlineLevel="1" x14ac:dyDescent="0.2"/>
    <row r="3172" outlineLevel="1" x14ac:dyDescent="0.2"/>
    <row r="3173" outlineLevel="1" x14ac:dyDescent="0.2"/>
    <row r="3174" outlineLevel="1" x14ac:dyDescent="0.2"/>
    <row r="3175" outlineLevel="1" x14ac:dyDescent="0.2"/>
    <row r="3176" outlineLevel="1" x14ac:dyDescent="0.2"/>
    <row r="3177" outlineLevel="1" x14ac:dyDescent="0.2"/>
    <row r="3178" outlineLevel="1" x14ac:dyDescent="0.2"/>
    <row r="3179" outlineLevel="1" x14ac:dyDescent="0.2"/>
    <row r="3180" outlineLevel="1" x14ac:dyDescent="0.2"/>
    <row r="3181" outlineLevel="1" x14ac:dyDescent="0.2"/>
    <row r="3182" outlineLevel="1" x14ac:dyDescent="0.2"/>
    <row r="3183" outlineLevel="1" x14ac:dyDescent="0.2"/>
    <row r="3184" outlineLevel="1" x14ac:dyDescent="0.2"/>
    <row r="3185" outlineLevel="1" x14ac:dyDescent="0.2"/>
    <row r="3186" outlineLevel="1" x14ac:dyDescent="0.2"/>
    <row r="3187" outlineLevel="1" x14ac:dyDescent="0.2"/>
    <row r="3188" outlineLevel="1" x14ac:dyDescent="0.2"/>
    <row r="3189" outlineLevel="1" x14ac:dyDescent="0.2"/>
    <row r="3190" outlineLevel="1" x14ac:dyDescent="0.2"/>
    <row r="3191" outlineLevel="1" x14ac:dyDescent="0.2"/>
    <row r="3192" outlineLevel="1" x14ac:dyDescent="0.2"/>
    <row r="3193" outlineLevel="1" x14ac:dyDescent="0.2"/>
    <row r="3194" outlineLevel="1" x14ac:dyDescent="0.2"/>
    <row r="3195" outlineLevel="1" x14ac:dyDescent="0.2"/>
    <row r="3196" outlineLevel="1" x14ac:dyDescent="0.2"/>
    <row r="3197" outlineLevel="1" x14ac:dyDescent="0.2"/>
    <row r="3198" outlineLevel="1" x14ac:dyDescent="0.2"/>
    <row r="3199" outlineLevel="1" x14ac:dyDescent="0.2"/>
    <row r="3200" outlineLevel="1" x14ac:dyDescent="0.2"/>
    <row r="3201" outlineLevel="1" x14ac:dyDescent="0.2"/>
    <row r="3202" outlineLevel="1" x14ac:dyDescent="0.2"/>
    <row r="3203" outlineLevel="1" x14ac:dyDescent="0.2"/>
    <row r="3204" outlineLevel="1" x14ac:dyDescent="0.2"/>
    <row r="3205" outlineLevel="1" x14ac:dyDescent="0.2"/>
    <row r="3206" outlineLevel="1" x14ac:dyDescent="0.2"/>
    <row r="3207" outlineLevel="1" x14ac:dyDescent="0.2"/>
    <row r="3208" outlineLevel="1" x14ac:dyDescent="0.2"/>
    <row r="3209" outlineLevel="1" x14ac:dyDescent="0.2"/>
    <row r="3210" outlineLevel="1" x14ac:dyDescent="0.2"/>
    <row r="3211" outlineLevel="1" x14ac:dyDescent="0.2"/>
    <row r="3212" outlineLevel="1" x14ac:dyDescent="0.2"/>
    <row r="3213" outlineLevel="1" x14ac:dyDescent="0.2"/>
    <row r="3214" outlineLevel="1" x14ac:dyDescent="0.2"/>
    <row r="3215" outlineLevel="1" x14ac:dyDescent="0.2"/>
    <row r="3216" outlineLevel="1" x14ac:dyDescent="0.2"/>
    <row r="3217" outlineLevel="1" x14ac:dyDescent="0.2"/>
    <row r="3218" outlineLevel="1" x14ac:dyDescent="0.2"/>
    <row r="3219" outlineLevel="1" x14ac:dyDescent="0.2"/>
    <row r="3220" outlineLevel="1" x14ac:dyDescent="0.2"/>
    <row r="3221" outlineLevel="1" x14ac:dyDescent="0.2"/>
    <row r="3222" outlineLevel="1" x14ac:dyDescent="0.2"/>
    <row r="3223" outlineLevel="1" x14ac:dyDescent="0.2"/>
    <row r="3224" outlineLevel="1" x14ac:dyDescent="0.2"/>
    <row r="3225" outlineLevel="1" x14ac:dyDescent="0.2"/>
    <row r="3226" outlineLevel="1" x14ac:dyDescent="0.2"/>
    <row r="3227" outlineLevel="1" x14ac:dyDescent="0.2"/>
    <row r="3228" outlineLevel="1" x14ac:dyDescent="0.2"/>
    <row r="3229" outlineLevel="1" x14ac:dyDescent="0.2"/>
    <row r="3230" outlineLevel="1" x14ac:dyDescent="0.2"/>
    <row r="3231" outlineLevel="1" x14ac:dyDescent="0.2"/>
    <row r="3232" outlineLevel="1" x14ac:dyDescent="0.2"/>
    <row r="3233" outlineLevel="1" x14ac:dyDescent="0.2"/>
    <row r="3234" outlineLevel="1" x14ac:dyDescent="0.2"/>
    <row r="3235" outlineLevel="1" x14ac:dyDescent="0.2"/>
    <row r="3236" outlineLevel="1" x14ac:dyDescent="0.2"/>
    <row r="3237" outlineLevel="1" x14ac:dyDescent="0.2"/>
    <row r="3238" outlineLevel="1" x14ac:dyDescent="0.2"/>
    <row r="3239" outlineLevel="1" x14ac:dyDescent="0.2"/>
    <row r="3240" outlineLevel="1" x14ac:dyDescent="0.2"/>
    <row r="3241" outlineLevel="1" x14ac:dyDescent="0.2"/>
    <row r="3242" outlineLevel="1" x14ac:dyDescent="0.2"/>
    <row r="3243" outlineLevel="1" x14ac:dyDescent="0.2"/>
    <row r="3244" outlineLevel="1" x14ac:dyDescent="0.2"/>
    <row r="3245" outlineLevel="1" x14ac:dyDescent="0.2"/>
    <row r="3246" outlineLevel="1" x14ac:dyDescent="0.2"/>
    <row r="3247" outlineLevel="1" x14ac:dyDescent="0.2"/>
    <row r="3248" outlineLevel="1" x14ac:dyDescent="0.2"/>
    <row r="3249" outlineLevel="1" x14ac:dyDescent="0.2"/>
    <row r="3250" outlineLevel="1" x14ac:dyDescent="0.2"/>
    <row r="3251" outlineLevel="1" x14ac:dyDescent="0.2"/>
    <row r="3252" outlineLevel="1" x14ac:dyDescent="0.2"/>
    <row r="3253" outlineLevel="1" x14ac:dyDescent="0.2"/>
    <row r="3254" outlineLevel="1" x14ac:dyDescent="0.2"/>
    <row r="3255" outlineLevel="1" x14ac:dyDescent="0.2"/>
    <row r="3256" outlineLevel="1" x14ac:dyDescent="0.2"/>
    <row r="3257" outlineLevel="1" x14ac:dyDescent="0.2"/>
    <row r="3258" outlineLevel="1" x14ac:dyDescent="0.2"/>
    <row r="3259" outlineLevel="1" x14ac:dyDescent="0.2"/>
    <row r="3260" outlineLevel="1" x14ac:dyDescent="0.2"/>
    <row r="3261" outlineLevel="1" x14ac:dyDescent="0.2"/>
    <row r="3262" outlineLevel="1" x14ac:dyDescent="0.2"/>
    <row r="3263" outlineLevel="1" x14ac:dyDescent="0.2"/>
    <row r="3264" outlineLevel="1" x14ac:dyDescent="0.2"/>
    <row r="3265" outlineLevel="1" x14ac:dyDescent="0.2"/>
    <row r="3266" outlineLevel="1" x14ac:dyDescent="0.2"/>
    <row r="3267" outlineLevel="1" x14ac:dyDescent="0.2"/>
    <row r="3268" outlineLevel="1" x14ac:dyDescent="0.2"/>
    <row r="3269" outlineLevel="1" x14ac:dyDescent="0.2"/>
    <row r="3270" outlineLevel="1" x14ac:dyDescent="0.2"/>
    <row r="3271" outlineLevel="1" x14ac:dyDescent="0.2"/>
    <row r="3272" outlineLevel="1" x14ac:dyDescent="0.2"/>
    <row r="3273" outlineLevel="1" x14ac:dyDescent="0.2"/>
    <row r="3274" outlineLevel="1" x14ac:dyDescent="0.2"/>
    <row r="3275" outlineLevel="1" x14ac:dyDescent="0.2"/>
    <row r="3276" outlineLevel="1" x14ac:dyDescent="0.2"/>
    <row r="3277" outlineLevel="1" x14ac:dyDescent="0.2"/>
    <row r="3278" outlineLevel="1" x14ac:dyDescent="0.2"/>
    <row r="3279" outlineLevel="1" x14ac:dyDescent="0.2"/>
    <row r="3280" outlineLevel="1" x14ac:dyDescent="0.2"/>
    <row r="3281" outlineLevel="1" x14ac:dyDescent="0.2"/>
    <row r="3282" outlineLevel="1" x14ac:dyDescent="0.2"/>
    <row r="3283" outlineLevel="1" x14ac:dyDescent="0.2"/>
    <row r="3284" outlineLevel="1" x14ac:dyDescent="0.2"/>
    <row r="3285" outlineLevel="1" x14ac:dyDescent="0.2"/>
    <row r="3286" outlineLevel="1" x14ac:dyDescent="0.2"/>
    <row r="3287" outlineLevel="1" x14ac:dyDescent="0.2"/>
    <row r="3288" outlineLevel="1" x14ac:dyDescent="0.2"/>
    <row r="3289" outlineLevel="1" x14ac:dyDescent="0.2"/>
    <row r="3290" outlineLevel="1" x14ac:dyDescent="0.2"/>
    <row r="3291" outlineLevel="1" x14ac:dyDescent="0.2"/>
    <row r="3292" outlineLevel="1" x14ac:dyDescent="0.2"/>
    <row r="3293" outlineLevel="1" x14ac:dyDescent="0.2"/>
    <row r="3294" outlineLevel="1" x14ac:dyDescent="0.2"/>
    <row r="3295" outlineLevel="1" x14ac:dyDescent="0.2"/>
    <row r="3296" outlineLevel="1" x14ac:dyDescent="0.2"/>
    <row r="3297" outlineLevel="1" x14ac:dyDescent="0.2"/>
    <row r="3298" outlineLevel="1" x14ac:dyDescent="0.2"/>
    <row r="3299" outlineLevel="1" x14ac:dyDescent="0.2"/>
    <row r="3300" outlineLevel="1" x14ac:dyDescent="0.2"/>
    <row r="3301" outlineLevel="1" x14ac:dyDescent="0.2"/>
    <row r="3302" outlineLevel="1" x14ac:dyDescent="0.2"/>
    <row r="3303" outlineLevel="1" x14ac:dyDescent="0.2"/>
    <row r="3304" outlineLevel="1" x14ac:dyDescent="0.2"/>
    <row r="3305" outlineLevel="1" x14ac:dyDescent="0.2"/>
    <row r="3306" outlineLevel="1" x14ac:dyDescent="0.2"/>
    <row r="3307" outlineLevel="1" x14ac:dyDescent="0.2"/>
    <row r="3308" outlineLevel="1" x14ac:dyDescent="0.2"/>
    <row r="3309" outlineLevel="1" x14ac:dyDescent="0.2"/>
    <row r="3310" outlineLevel="1" x14ac:dyDescent="0.2"/>
    <row r="3311" outlineLevel="1" x14ac:dyDescent="0.2"/>
    <row r="3312" outlineLevel="1" x14ac:dyDescent="0.2"/>
    <row r="3313" outlineLevel="1" x14ac:dyDescent="0.2"/>
    <row r="3314" outlineLevel="1" x14ac:dyDescent="0.2"/>
    <row r="3315" outlineLevel="1" x14ac:dyDescent="0.2"/>
    <row r="3316" outlineLevel="1" x14ac:dyDescent="0.2"/>
    <row r="3317" outlineLevel="1" x14ac:dyDescent="0.2"/>
    <row r="3318" outlineLevel="1" x14ac:dyDescent="0.2"/>
    <row r="3319" outlineLevel="1" x14ac:dyDescent="0.2"/>
    <row r="3320" outlineLevel="1" x14ac:dyDescent="0.2"/>
    <row r="3321" outlineLevel="1" x14ac:dyDescent="0.2"/>
    <row r="3322" outlineLevel="1" x14ac:dyDescent="0.2"/>
    <row r="3323" outlineLevel="1" x14ac:dyDescent="0.2"/>
    <row r="3324" outlineLevel="1" x14ac:dyDescent="0.2"/>
    <row r="3325" outlineLevel="1" x14ac:dyDescent="0.2"/>
    <row r="3326" outlineLevel="1" x14ac:dyDescent="0.2"/>
    <row r="3327" outlineLevel="1" x14ac:dyDescent="0.2"/>
    <row r="3328" outlineLevel="1" x14ac:dyDescent="0.2"/>
    <row r="3329" outlineLevel="1" x14ac:dyDescent="0.2"/>
    <row r="3330" outlineLevel="1" x14ac:dyDescent="0.2"/>
    <row r="3331" outlineLevel="1" x14ac:dyDescent="0.2"/>
    <row r="3332" outlineLevel="1" x14ac:dyDescent="0.2"/>
    <row r="3333" outlineLevel="1" x14ac:dyDescent="0.2"/>
    <row r="3334" outlineLevel="1" x14ac:dyDescent="0.2"/>
    <row r="3335" outlineLevel="1" x14ac:dyDescent="0.2"/>
    <row r="3336" outlineLevel="1" x14ac:dyDescent="0.2"/>
    <row r="3337" outlineLevel="1" x14ac:dyDescent="0.2"/>
    <row r="3338" outlineLevel="1" x14ac:dyDescent="0.2"/>
    <row r="3339" outlineLevel="1" x14ac:dyDescent="0.2"/>
    <row r="3340" outlineLevel="1" x14ac:dyDescent="0.2"/>
    <row r="3341" outlineLevel="1" x14ac:dyDescent="0.2"/>
    <row r="3342" outlineLevel="1" x14ac:dyDescent="0.2"/>
    <row r="3343" outlineLevel="1" x14ac:dyDescent="0.2"/>
    <row r="3344" outlineLevel="1" x14ac:dyDescent="0.2"/>
    <row r="3345" outlineLevel="1" x14ac:dyDescent="0.2"/>
    <row r="3346" outlineLevel="1" x14ac:dyDescent="0.2"/>
    <row r="3347" outlineLevel="1" x14ac:dyDescent="0.2"/>
    <row r="3348" outlineLevel="1" x14ac:dyDescent="0.2"/>
    <row r="3349" outlineLevel="1" x14ac:dyDescent="0.2"/>
    <row r="3350" outlineLevel="1" x14ac:dyDescent="0.2"/>
    <row r="3351" outlineLevel="1" x14ac:dyDescent="0.2"/>
    <row r="3352" outlineLevel="1" x14ac:dyDescent="0.2"/>
    <row r="3353" outlineLevel="1" x14ac:dyDescent="0.2"/>
    <row r="3354" outlineLevel="1" x14ac:dyDescent="0.2"/>
    <row r="3355" outlineLevel="1" x14ac:dyDescent="0.2"/>
    <row r="3356" outlineLevel="1" x14ac:dyDescent="0.2"/>
    <row r="3357" outlineLevel="1" x14ac:dyDescent="0.2"/>
    <row r="3358" outlineLevel="1" x14ac:dyDescent="0.2"/>
    <row r="3359" outlineLevel="1" x14ac:dyDescent="0.2"/>
    <row r="3360" outlineLevel="1" x14ac:dyDescent="0.2"/>
    <row r="3361" outlineLevel="1" x14ac:dyDescent="0.2"/>
    <row r="3362" outlineLevel="1" x14ac:dyDescent="0.2"/>
    <row r="3363" outlineLevel="1" x14ac:dyDescent="0.2"/>
    <row r="3364" outlineLevel="1" x14ac:dyDescent="0.2"/>
    <row r="3365" outlineLevel="1" x14ac:dyDescent="0.2"/>
    <row r="3366" outlineLevel="1" x14ac:dyDescent="0.2"/>
    <row r="3367" outlineLevel="1" x14ac:dyDescent="0.2"/>
    <row r="3368" outlineLevel="1" x14ac:dyDescent="0.2"/>
    <row r="3369" outlineLevel="1" x14ac:dyDescent="0.2"/>
    <row r="3370" outlineLevel="1" x14ac:dyDescent="0.2"/>
    <row r="3371" outlineLevel="1" x14ac:dyDescent="0.2"/>
    <row r="3372" outlineLevel="1" x14ac:dyDescent="0.2"/>
    <row r="3373" outlineLevel="1" x14ac:dyDescent="0.2"/>
    <row r="3374" outlineLevel="1" x14ac:dyDescent="0.2"/>
    <row r="3375" outlineLevel="1" x14ac:dyDescent="0.2"/>
    <row r="3376" outlineLevel="1" x14ac:dyDescent="0.2"/>
    <row r="3377" outlineLevel="1" x14ac:dyDescent="0.2"/>
    <row r="3378" outlineLevel="1" x14ac:dyDescent="0.2"/>
    <row r="3379" outlineLevel="1" x14ac:dyDescent="0.2"/>
    <row r="3380" outlineLevel="1" x14ac:dyDescent="0.2"/>
    <row r="3381" outlineLevel="1" x14ac:dyDescent="0.2"/>
    <row r="3382" outlineLevel="1" x14ac:dyDescent="0.2"/>
    <row r="3383" outlineLevel="1" x14ac:dyDescent="0.2"/>
    <row r="3384" outlineLevel="1" x14ac:dyDescent="0.2"/>
    <row r="3385" outlineLevel="1" x14ac:dyDescent="0.2"/>
    <row r="3386" outlineLevel="1" x14ac:dyDescent="0.2"/>
    <row r="3387" outlineLevel="1" x14ac:dyDescent="0.2"/>
    <row r="3388" outlineLevel="1" x14ac:dyDescent="0.2"/>
    <row r="3389" outlineLevel="1" x14ac:dyDescent="0.2"/>
    <row r="3390" outlineLevel="1" x14ac:dyDescent="0.2"/>
    <row r="3391" outlineLevel="1" x14ac:dyDescent="0.2"/>
    <row r="3392" outlineLevel="1" x14ac:dyDescent="0.2"/>
    <row r="3393" outlineLevel="1" x14ac:dyDescent="0.2"/>
    <row r="3394" outlineLevel="1" x14ac:dyDescent="0.2"/>
    <row r="3395" outlineLevel="1" x14ac:dyDescent="0.2"/>
    <row r="3396" outlineLevel="1" x14ac:dyDescent="0.2"/>
    <row r="3397" outlineLevel="1" x14ac:dyDescent="0.2"/>
    <row r="3398" outlineLevel="1" x14ac:dyDescent="0.2"/>
    <row r="3399" outlineLevel="1" x14ac:dyDescent="0.2"/>
    <row r="3400" outlineLevel="1" x14ac:dyDescent="0.2"/>
    <row r="3401" outlineLevel="1" x14ac:dyDescent="0.2"/>
    <row r="3402" outlineLevel="1" x14ac:dyDescent="0.2"/>
    <row r="3403" outlineLevel="1" x14ac:dyDescent="0.2"/>
    <row r="3404" outlineLevel="1" x14ac:dyDescent="0.2"/>
    <row r="3405" outlineLevel="1" x14ac:dyDescent="0.2"/>
    <row r="3406" outlineLevel="1" x14ac:dyDescent="0.2"/>
    <row r="3407" outlineLevel="1" x14ac:dyDescent="0.2"/>
    <row r="3408" outlineLevel="1" x14ac:dyDescent="0.2"/>
    <row r="3409" outlineLevel="1" x14ac:dyDescent="0.2"/>
    <row r="3410" outlineLevel="1" x14ac:dyDescent="0.2"/>
    <row r="3411" outlineLevel="1" x14ac:dyDescent="0.2"/>
    <row r="3412" outlineLevel="1" x14ac:dyDescent="0.2"/>
    <row r="3413" outlineLevel="1" x14ac:dyDescent="0.2"/>
    <row r="3414" outlineLevel="1" x14ac:dyDescent="0.2"/>
    <row r="3415" outlineLevel="1" x14ac:dyDescent="0.2"/>
    <row r="3416" outlineLevel="1" x14ac:dyDescent="0.2"/>
    <row r="3417" outlineLevel="1" x14ac:dyDescent="0.2"/>
    <row r="3418" outlineLevel="1" x14ac:dyDescent="0.2"/>
    <row r="3419" outlineLevel="1" x14ac:dyDescent="0.2"/>
    <row r="3420" outlineLevel="1" x14ac:dyDescent="0.2"/>
    <row r="3421" outlineLevel="1" x14ac:dyDescent="0.2"/>
    <row r="3422" outlineLevel="1" x14ac:dyDescent="0.2"/>
    <row r="3423" outlineLevel="1" x14ac:dyDescent="0.2"/>
    <row r="3424" outlineLevel="1" x14ac:dyDescent="0.2"/>
    <row r="3425" outlineLevel="1" x14ac:dyDescent="0.2"/>
    <row r="3426" outlineLevel="1" x14ac:dyDescent="0.2"/>
    <row r="3427" outlineLevel="1" x14ac:dyDescent="0.2"/>
    <row r="3428" outlineLevel="1" x14ac:dyDescent="0.2"/>
    <row r="3429" outlineLevel="1" x14ac:dyDescent="0.2"/>
    <row r="3430" outlineLevel="1" x14ac:dyDescent="0.2"/>
    <row r="3431" outlineLevel="1" x14ac:dyDescent="0.2"/>
    <row r="3432" outlineLevel="1" x14ac:dyDescent="0.2"/>
    <row r="3433" outlineLevel="1" x14ac:dyDescent="0.2"/>
    <row r="3434" outlineLevel="1" x14ac:dyDescent="0.2"/>
    <row r="3435" outlineLevel="1" x14ac:dyDescent="0.2"/>
    <row r="3436" outlineLevel="1" x14ac:dyDescent="0.2"/>
    <row r="3437" outlineLevel="1" x14ac:dyDescent="0.2"/>
    <row r="3438" outlineLevel="1" x14ac:dyDescent="0.2"/>
    <row r="3439" outlineLevel="1" x14ac:dyDescent="0.2"/>
    <row r="3440" outlineLevel="1" x14ac:dyDescent="0.2"/>
    <row r="3441" outlineLevel="1" x14ac:dyDescent="0.2"/>
    <row r="3442" outlineLevel="1" x14ac:dyDescent="0.2"/>
    <row r="3443" outlineLevel="1" x14ac:dyDescent="0.2"/>
    <row r="3444" outlineLevel="1" x14ac:dyDescent="0.2"/>
    <row r="3445" outlineLevel="1" x14ac:dyDescent="0.2"/>
    <row r="3446" outlineLevel="1" x14ac:dyDescent="0.2"/>
    <row r="3447" outlineLevel="1" x14ac:dyDescent="0.2"/>
    <row r="3448" outlineLevel="1" x14ac:dyDescent="0.2"/>
    <row r="3449" outlineLevel="1" x14ac:dyDescent="0.2"/>
    <row r="3450" outlineLevel="1" x14ac:dyDescent="0.2"/>
    <row r="3451" outlineLevel="1" x14ac:dyDescent="0.2"/>
    <row r="3452" outlineLevel="1" x14ac:dyDescent="0.2"/>
    <row r="3453" outlineLevel="1" x14ac:dyDescent="0.2"/>
    <row r="3454" outlineLevel="1" x14ac:dyDescent="0.2"/>
    <row r="3455" outlineLevel="1" x14ac:dyDescent="0.2"/>
    <row r="3456" outlineLevel="1" x14ac:dyDescent="0.2"/>
    <row r="3457" outlineLevel="1" x14ac:dyDescent="0.2"/>
    <row r="3458" outlineLevel="1" x14ac:dyDescent="0.2"/>
    <row r="3459" outlineLevel="1" x14ac:dyDescent="0.2"/>
    <row r="3460" outlineLevel="1" x14ac:dyDescent="0.2"/>
    <row r="3461" outlineLevel="1" x14ac:dyDescent="0.2"/>
    <row r="3462" outlineLevel="1" x14ac:dyDescent="0.2"/>
    <row r="3463" outlineLevel="1" x14ac:dyDescent="0.2"/>
    <row r="3464" outlineLevel="1" x14ac:dyDescent="0.2"/>
    <row r="3465" outlineLevel="1" x14ac:dyDescent="0.2"/>
    <row r="3466" outlineLevel="1" x14ac:dyDescent="0.2"/>
    <row r="3467" outlineLevel="1" x14ac:dyDescent="0.2"/>
    <row r="3468" outlineLevel="1" x14ac:dyDescent="0.2"/>
    <row r="3469" outlineLevel="1" x14ac:dyDescent="0.2"/>
    <row r="3470" outlineLevel="1" x14ac:dyDescent="0.2"/>
    <row r="3471" outlineLevel="1" x14ac:dyDescent="0.2"/>
    <row r="3472" outlineLevel="1" x14ac:dyDescent="0.2"/>
    <row r="3473" outlineLevel="1" x14ac:dyDescent="0.2"/>
    <row r="3474" outlineLevel="1" x14ac:dyDescent="0.2"/>
    <row r="3475" outlineLevel="1" x14ac:dyDescent="0.2"/>
    <row r="3476" outlineLevel="1" x14ac:dyDescent="0.2"/>
    <row r="3477" outlineLevel="1" x14ac:dyDescent="0.2"/>
    <row r="3478" outlineLevel="1" x14ac:dyDescent="0.2"/>
    <row r="3479" outlineLevel="1" x14ac:dyDescent="0.2"/>
    <row r="3480" outlineLevel="1" x14ac:dyDescent="0.2"/>
    <row r="3481" outlineLevel="1" x14ac:dyDescent="0.2"/>
    <row r="3482" outlineLevel="1" x14ac:dyDescent="0.2"/>
    <row r="3483" outlineLevel="1" x14ac:dyDescent="0.2"/>
    <row r="3484" outlineLevel="1" x14ac:dyDescent="0.2"/>
    <row r="3485" outlineLevel="1" x14ac:dyDescent="0.2"/>
    <row r="3486" outlineLevel="1" x14ac:dyDescent="0.2"/>
    <row r="3487" outlineLevel="1" x14ac:dyDescent="0.2"/>
    <row r="3488" outlineLevel="1" x14ac:dyDescent="0.2"/>
    <row r="3489" outlineLevel="1" x14ac:dyDescent="0.2"/>
    <row r="3490" outlineLevel="1" x14ac:dyDescent="0.2"/>
    <row r="3491" outlineLevel="1" x14ac:dyDescent="0.2"/>
    <row r="3492" outlineLevel="1" x14ac:dyDescent="0.2"/>
    <row r="3493" outlineLevel="1" x14ac:dyDescent="0.2"/>
    <row r="3494" outlineLevel="1" x14ac:dyDescent="0.2"/>
    <row r="3495" outlineLevel="1" x14ac:dyDescent="0.2"/>
    <row r="3496" outlineLevel="1" x14ac:dyDescent="0.2"/>
    <row r="3497" outlineLevel="1" x14ac:dyDescent="0.2"/>
    <row r="3498" outlineLevel="1" x14ac:dyDescent="0.2"/>
    <row r="3499" outlineLevel="1" x14ac:dyDescent="0.2"/>
    <row r="3500" outlineLevel="1" x14ac:dyDescent="0.2"/>
    <row r="3501" outlineLevel="1" x14ac:dyDescent="0.2"/>
    <row r="3502" outlineLevel="1" x14ac:dyDescent="0.2"/>
    <row r="3503" outlineLevel="1" x14ac:dyDescent="0.2"/>
    <row r="3504" outlineLevel="1" x14ac:dyDescent="0.2"/>
    <row r="3505" outlineLevel="1" x14ac:dyDescent="0.2"/>
    <row r="3506" outlineLevel="1" x14ac:dyDescent="0.2"/>
    <row r="3507" outlineLevel="1" x14ac:dyDescent="0.2"/>
    <row r="3508" outlineLevel="1" x14ac:dyDescent="0.2"/>
    <row r="3509" outlineLevel="1" x14ac:dyDescent="0.2"/>
    <row r="3510" outlineLevel="1" x14ac:dyDescent="0.2"/>
    <row r="3511" outlineLevel="1" x14ac:dyDescent="0.2"/>
    <row r="3512" outlineLevel="1" x14ac:dyDescent="0.2"/>
    <row r="3513" outlineLevel="1" x14ac:dyDescent="0.2"/>
    <row r="3514" outlineLevel="1" x14ac:dyDescent="0.2"/>
    <row r="3515" outlineLevel="1" x14ac:dyDescent="0.2"/>
    <row r="3516" outlineLevel="1" x14ac:dyDescent="0.2"/>
    <row r="3517" outlineLevel="1" x14ac:dyDescent="0.2"/>
    <row r="3518" outlineLevel="1" x14ac:dyDescent="0.2"/>
    <row r="3519" outlineLevel="1" x14ac:dyDescent="0.2"/>
    <row r="3520" outlineLevel="1" x14ac:dyDescent="0.2"/>
    <row r="3521" outlineLevel="1" x14ac:dyDescent="0.2"/>
    <row r="3522" outlineLevel="1" x14ac:dyDescent="0.2"/>
    <row r="3523" outlineLevel="1" x14ac:dyDescent="0.2"/>
    <row r="3524" outlineLevel="1" x14ac:dyDescent="0.2"/>
    <row r="3525" outlineLevel="1" x14ac:dyDescent="0.2"/>
    <row r="3526" outlineLevel="1" x14ac:dyDescent="0.2"/>
    <row r="3527" outlineLevel="1" x14ac:dyDescent="0.2"/>
    <row r="3528" outlineLevel="1" x14ac:dyDescent="0.2"/>
    <row r="3529" outlineLevel="1" x14ac:dyDescent="0.2"/>
    <row r="3530" outlineLevel="1" x14ac:dyDescent="0.2"/>
    <row r="3531" outlineLevel="1" x14ac:dyDescent="0.2"/>
    <row r="3532" outlineLevel="1" x14ac:dyDescent="0.2"/>
    <row r="3533" outlineLevel="1" x14ac:dyDescent="0.2"/>
    <row r="3534" outlineLevel="1" x14ac:dyDescent="0.2"/>
    <row r="3535" outlineLevel="1" x14ac:dyDescent="0.2"/>
    <row r="3536" outlineLevel="1" x14ac:dyDescent="0.2"/>
    <row r="3537" outlineLevel="1" x14ac:dyDescent="0.2"/>
    <row r="3538" outlineLevel="1" x14ac:dyDescent="0.2"/>
    <row r="3539" outlineLevel="1" x14ac:dyDescent="0.2"/>
    <row r="3540" outlineLevel="1" x14ac:dyDescent="0.2"/>
    <row r="3541" outlineLevel="1" x14ac:dyDescent="0.2"/>
    <row r="3542" outlineLevel="1" x14ac:dyDescent="0.2"/>
    <row r="3543" outlineLevel="1" x14ac:dyDescent="0.2"/>
    <row r="3544" outlineLevel="1" x14ac:dyDescent="0.2"/>
    <row r="3545" outlineLevel="1" x14ac:dyDescent="0.2"/>
    <row r="3546" outlineLevel="1" x14ac:dyDescent="0.2"/>
    <row r="3547" outlineLevel="1" x14ac:dyDescent="0.2"/>
    <row r="3548" outlineLevel="1" x14ac:dyDescent="0.2"/>
    <row r="3549" outlineLevel="1" x14ac:dyDescent="0.2"/>
    <row r="3550" outlineLevel="1" x14ac:dyDescent="0.2"/>
    <row r="3551" outlineLevel="1" x14ac:dyDescent="0.2"/>
    <row r="3552" outlineLevel="1" x14ac:dyDescent="0.2"/>
    <row r="3553" outlineLevel="1" x14ac:dyDescent="0.2"/>
    <row r="3554" outlineLevel="1" x14ac:dyDescent="0.2"/>
    <row r="3555" outlineLevel="1" x14ac:dyDescent="0.2"/>
    <row r="3556" outlineLevel="1" x14ac:dyDescent="0.2"/>
    <row r="3557" outlineLevel="1" x14ac:dyDescent="0.2"/>
    <row r="3558" outlineLevel="1" x14ac:dyDescent="0.2"/>
    <row r="3559" outlineLevel="1" x14ac:dyDescent="0.2"/>
    <row r="3560" outlineLevel="1" x14ac:dyDescent="0.2"/>
    <row r="3561" outlineLevel="1" x14ac:dyDescent="0.2"/>
    <row r="3562" outlineLevel="1" x14ac:dyDescent="0.2"/>
    <row r="3563" outlineLevel="1" x14ac:dyDescent="0.2"/>
    <row r="3564" outlineLevel="1" x14ac:dyDescent="0.2"/>
    <row r="3565" outlineLevel="1" x14ac:dyDescent="0.2"/>
    <row r="3566" outlineLevel="1" x14ac:dyDescent="0.2"/>
    <row r="3567" outlineLevel="1" x14ac:dyDescent="0.2"/>
    <row r="3568" outlineLevel="1" x14ac:dyDescent="0.2"/>
    <row r="3569" outlineLevel="1" x14ac:dyDescent="0.2"/>
    <row r="3570" outlineLevel="1" x14ac:dyDescent="0.2"/>
    <row r="3571" outlineLevel="1" x14ac:dyDescent="0.2"/>
    <row r="3572" outlineLevel="1" x14ac:dyDescent="0.2"/>
    <row r="3573" outlineLevel="1" x14ac:dyDescent="0.2"/>
    <row r="3574" outlineLevel="1" x14ac:dyDescent="0.2"/>
    <row r="3575" outlineLevel="1" x14ac:dyDescent="0.2"/>
    <row r="3576" outlineLevel="1" x14ac:dyDescent="0.2"/>
    <row r="3577" outlineLevel="1" x14ac:dyDescent="0.2"/>
    <row r="3578" outlineLevel="1" x14ac:dyDescent="0.2"/>
    <row r="3579" outlineLevel="1" x14ac:dyDescent="0.2"/>
    <row r="3580" outlineLevel="1" x14ac:dyDescent="0.2"/>
    <row r="3581" outlineLevel="1" x14ac:dyDescent="0.2"/>
    <row r="3582" outlineLevel="1" x14ac:dyDescent="0.2"/>
    <row r="3583" outlineLevel="1" x14ac:dyDescent="0.2"/>
    <row r="3584" outlineLevel="1" x14ac:dyDescent="0.2"/>
    <row r="3585" outlineLevel="1" x14ac:dyDescent="0.2"/>
    <row r="3586" outlineLevel="1" x14ac:dyDescent="0.2"/>
    <row r="3587" outlineLevel="1" x14ac:dyDescent="0.2"/>
    <row r="3588" outlineLevel="1" x14ac:dyDescent="0.2"/>
    <row r="3589" outlineLevel="1" x14ac:dyDescent="0.2"/>
    <row r="3590" outlineLevel="1" x14ac:dyDescent="0.2"/>
    <row r="3591" outlineLevel="1" x14ac:dyDescent="0.2"/>
    <row r="3592" outlineLevel="1" x14ac:dyDescent="0.2"/>
    <row r="3593" outlineLevel="1" x14ac:dyDescent="0.2"/>
    <row r="3594" outlineLevel="1" x14ac:dyDescent="0.2"/>
    <row r="3595" outlineLevel="1" x14ac:dyDescent="0.2"/>
    <row r="3596" outlineLevel="1" x14ac:dyDescent="0.2"/>
    <row r="3597" outlineLevel="1" x14ac:dyDescent="0.2"/>
    <row r="3598" outlineLevel="1" x14ac:dyDescent="0.2"/>
    <row r="3599" outlineLevel="1" x14ac:dyDescent="0.2"/>
    <row r="3600" outlineLevel="1" x14ac:dyDescent="0.2"/>
    <row r="3601" outlineLevel="1" x14ac:dyDescent="0.2"/>
    <row r="3602" outlineLevel="1" x14ac:dyDescent="0.2"/>
    <row r="3603" outlineLevel="1" x14ac:dyDescent="0.2"/>
    <row r="3604" outlineLevel="1" x14ac:dyDescent="0.2"/>
    <row r="3605" outlineLevel="1" x14ac:dyDescent="0.2"/>
    <row r="3606" outlineLevel="1" x14ac:dyDescent="0.2"/>
    <row r="3607" outlineLevel="1" x14ac:dyDescent="0.2"/>
    <row r="3608" outlineLevel="1" x14ac:dyDescent="0.2"/>
    <row r="3609" outlineLevel="1" x14ac:dyDescent="0.2"/>
    <row r="3610" outlineLevel="1" x14ac:dyDescent="0.2"/>
    <row r="3611" outlineLevel="1" x14ac:dyDescent="0.2"/>
    <row r="3612" outlineLevel="1" x14ac:dyDescent="0.2"/>
    <row r="3613" outlineLevel="1" x14ac:dyDescent="0.2"/>
    <row r="3614" outlineLevel="1" x14ac:dyDescent="0.2"/>
    <row r="3615" outlineLevel="1" x14ac:dyDescent="0.2"/>
    <row r="3616" outlineLevel="1" x14ac:dyDescent="0.2"/>
    <row r="3617" outlineLevel="1" x14ac:dyDescent="0.2"/>
    <row r="3618" outlineLevel="1" x14ac:dyDescent="0.2"/>
    <row r="3619" outlineLevel="1" x14ac:dyDescent="0.2"/>
    <row r="3620" outlineLevel="1" x14ac:dyDescent="0.2"/>
    <row r="3621" outlineLevel="1" x14ac:dyDescent="0.2"/>
    <row r="3622" outlineLevel="1" x14ac:dyDescent="0.2"/>
    <row r="3623" outlineLevel="1" x14ac:dyDescent="0.2"/>
    <row r="3624" outlineLevel="1" x14ac:dyDescent="0.2"/>
    <row r="3625" outlineLevel="1" x14ac:dyDescent="0.2"/>
    <row r="3626" outlineLevel="1" x14ac:dyDescent="0.2"/>
    <row r="3627" outlineLevel="1" x14ac:dyDescent="0.2"/>
    <row r="3628" outlineLevel="1" x14ac:dyDescent="0.2"/>
    <row r="3629" outlineLevel="1" x14ac:dyDescent="0.2"/>
    <row r="3630" outlineLevel="1" x14ac:dyDescent="0.2"/>
    <row r="3631" outlineLevel="1" x14ac:dyDescent="0.2"/>
    <row r="3632" outlineLevel="1" x14ac:dyDescent="0.2"/>
    <row r="3633" outlineLevel="1" x14ac:dyDescent="0.2"/>
    <row r="3634" outlineLevel="1" x14ac:dyDescent="0.2"/>
    <row r="3635" outlineLevel="1" x14ac:dyDescent="0.2"/>
    <row r="3636" outlineLevel="1" x14ac:dyDescent="0.2"/>
    <row r="3637" outlineLevel="1" x14ac:dyDescent="0.2"/>
    <row r="3638" outlineLevel="1" x14ac:dyDescent="0.2"/>
    <row r="3639" outlineLevel="1" x14ac:dyDescent="0.2"/>
    <row r="3640" outlineLevel="1" x14ac:dyDescent="0.2"/>
    <row r="3641" outlineLevel="1" x14ac:dyDescent="0.2"/>
    <row r="3642" outlineLevel="1" x14ac:dyDescent="0.2"/>
    <row r="3643" outlineLevel="1" x14ac:dyDescent="0.2"/>
    <row r="3644" outlineLevel="1" x14ac:dyDescent="0.2"/>
    <row r="3645" outlineLevel="1" x14ac:dyDescent="0.2"/>
    <row r="3646" outlineLevel="1" x14ac:dyDescent="0.2"/>
    <row r="3647" outlineLevel="1" x14ac:dyDescent="0.2"/>
    <row r="3648" outlineLevel="1" x14ac:dyDescent="0.2"/>
    <row r="3649" outlineLevel="1" x14ac:dyDescent="0.2"/>
    <row r="3650" outlineLevel="1" x14ac:dyDescent="0.2"/>
    <row r="3651" outlineLevel="1" x14ac:dyDescent="0.2"/>
    <row r="3652" outlineLevel="1" x14ac:dyDescent="0.2"/>
    <row r="3653" outlineLevel="1" x14ac:dyDescent="0.2"/>
    <row r="3654" outlineLevel="1" x14ac:dyDescent="0.2"/>
    <row r="3655" outlineLevel="1" x14ac:dyDescent="0.2"/>
    <row r="3656" outlineLevel="1" x14ac:dyDescent="0.2"/>
    <row r="3657" outlineLevel="1" x14ac:dyDescent="0.2"/>
    <row r="3658" outlineLevel="1" x14ac:dyDescent="0.2"/>
    <row r="3659" outlineLevel="1" x14ac:dyDescent="0.2"/>
    <row r="3660" outlineLevel="1" x14ac:dyDescent="0.2"/>
    <row r="3661" outlineLevel="1" x14ac:dyDescent="0.2"/>
    <row r="3662" outlineLevel="1" x14ac:dyDescent="0.2"/>
    <row r="3663" outlineLevel="1" x14ac:dyDescent="0.2"/>
    <row r="3664" outlineLevel="1" x14ac:dyDescent="0.2"/>
    <row r="3665" outlineLevel="1" x14ac:dyDescent="0.2"/>
    <row r="3666" outlineLevel="1" x14ac:dyDescent="0.2"/>
    <row r="3667" outlineLevel="1" x14ac:dyDescent="0.2"/>
    <row r="3668" outlineLevel="1" x14ac:dyDescent="0.2"/>
    <row r="3669" outlineLevel="1" x14ac:dyDescent="0.2"/>
    <row r="3670" outlineLevel="1" x14ac:dyDescent="0.2"/>
    <row r="3671" outlineLevel="1" x14ac:dyDescent="0.2"/>
    <row r="3672" outlineLevel="1" x14ac:dyDescent="0.2"/>
    <row r="3673" outlineLevel="1" x14ac:dyDescent="0.2"/>
    <row r="3674" outlineLevel="1" x14ac:dyDescent="0.2"/>
    <row r="3675" outlineLevel="1" x14ac:dyDescent="0.2"/>
    <row r="3676" outlineLevel="1" x14ac:dyDescent="0.2"/>
    <row r="3677" outlineLevel="1" x14ac:dyDescent="0.2"/>
    <row r="3678" outlineLevel="1" x14ac:dyDescent="0.2"/>
    <row r="3679" outlineLevel="1" x14ac:dyDescent="0.2"/>
    <row r="3680" outlineLevel="1" x14ac:dyDescent="0.2"/>
    <row r="3681" outlineLevel="1" x14ac:dyDescent="0.2"/>
    <row r="3682" outlineLevel="1" x14ac:dyDescent="0.2"/>
    <row r="3683" outlineLevel="1" x14ac:dyDescent="0.2"/>
    <row r="3684" outlineLevel="1" x14ac:dyDescent="0.2"/>
    <row r="3685" outlineLevel="1" x14ac:dyDescent="0.2"/>
    <row r="3686" outlineLevel="1" x14ac:dyDescent="0.2"/>
    <row r="3687" outlineLevel="1" x14ac:dyDescent="0.2"/>
    <row r="3688" outlineLevel="1" x14ac:dyDescent="0.2"/>
    <row r="3689" outlineLevel="1" x14ac:dyDescent="0.2"/>
    <row r="3690" outlineLevel="1" x14ac:dyDescent="0.2"/>
    <row r="3691" outlineLevel="1" x14ac:dyDescent="0.2"/>
    <row r="3692" outlineLevel="1" x14ac:dyDescent="0.2"/>
    <row r="3693" outlineLevel="1" x14ac:dyDescent="0.2"/>
    <row r="3694" outlineLevel="1" x14ac:dyDescent="0.2"/>
    <row r="3695" outlineLevel="1" x14ac:dyDescent="0.2"/>
    <row r="3696" outlineLevel="1" x14ac:dyDescent="0.2"/>
    <row r="3697" outlineLevel="1" x14ac:dyDescent="0.2"/>
    <row r="3698" outlineLevel="1" x14ac:dyDescent="0.2"/>
    <row r="3699" outlineLevel="1" x14ac:dyDescent="0.2"/>
    <row r="3700" outlineLevel="1" x14ac:dyDescent="0.2"/>
    <row r="3701" outlineLevel="1" x14ac:dyDescent="0.2"/>
    <row r="3702" outlineLevel="1" x14ac:dyDescent="0.2"/>
    <row r="3703" outlineLevel="1" x14ac:dyDescent="0.2"/>
    <row r="3704" outlineLevel="1" x14ac:dyDescent="0.2"/>
    <row r="3705" outlineLevel="1" x14ac:dyDescent="0.2"/>
    <row r="3706" outlineLevel="1" x14ac:dyDescent="0.2"/>
    <row r="3707" outlineLevel="1" x14ac:dyDescent="0.2"/>
    <row r="3708" outlineLevel="1" x14ac:dyDescent="0.2"/>
    <row r="3709" outlineLevel="1" x14ac:dyDescent="0.2"/>
    <row r="3710" outlineLevel="1" x14ac:dyDescent="0.2"/>
    <row r="3711" outlineLevel="1" x14ac:dyDescent="0.2"/>
    <row r="3712" outlineLevel="1" x14ac:dyDescent="0.2"/>
    <row r="3713" outlineLevel="1" x14ac:dyDescent="0.2"/>
    <row r="3714" outlineLevel="1" x14ac:dyDescent="0.2"/>
    <row r="3715" outlineLevel="1" x14ac:dyDescent="0.2"/>
    <row r="3716" outlineLevel="1" x14ac:dyDescent="0.2"/>
    <row r="3717" outlineLevel="1" x14ac:dyDescent="0.2"/>
    <row r="3718" outlineLevel="1" x14ac:dyDescent="0.2"/>
    <row r="3719" outlineLevel="1" x14ac:dyDescent="0.2"/>
    <row r="3720" outlineLevel="1" x14ac:dyDescent="0.2"/>
    <row r="3721" outlineLevel="1" x14ac:dyDescent="0.2"/>
    <row r="3722" outlineLevel="1" x14ac:dyDescent="0.2"/>
    <row r="3723" outlineLevel="1" x14ac:dyDescent="0.2"/>
    <row r="3724" outlineLevel="1" x14ac:dyDescent="0.2"/>
    <row r="3725" outlineLevel="1" x14ac:dyDescent="0.2"/>
    <row r="3726" outlineLevel="1" x14ac:dyDescent="0.2"/>
    <row r="3727" outlineLevel="1" x14ac:dyDescent="0.2"/>
    <row r="3728" outlineLevel="1" x14ac:dyDescent="0.2"/>
    <row r="3729" outlineLevel="1" x14ac:dyDescent="0.2"/>
    <row r="3730" outlineLevel="1" x14ac:dyDescent="0.2"/>
    <row r="3731" outlineLevel="1" x14ac:dyDescent="0.2"/>
    <row r="3732" outlineLevel="1" x14ac:dyDescent="0.2"/>
    <row r="3733" outlineLevel="1" x14ac:dyDescent="0.2"/>
    <row r="3734" outlineLevel="1" x14ac:dyDescent="0.2"/>
    <row r="3735" outlineLevel="1" x14ac:dyDescent="0.2"/>
    <row r="3736" outlineLevel="1" x14ac:dyDescent="0.2"/>
    <row r="3737" outlineLevel="1" x14ac:dyDescent="0.2"/>
    <row r="3738" outlineLevel="1" x14ac:dyDescent="0.2"/>
    <row r="3739" outlineLevel="1" x14ac:dyDescent="0.2"/>
    <row r="3740" outlineLevel="1" x14ac:dyDescent="0.2"/>
    <row r="3741" outlineLevel="1" x14ac:dyDescent="0.2"/>
    <row r="3742" outlineLevel="1" x14ac:dyDescent="0.2"/>
    <row r="3743" outlineLevel="1" x14ac:dyDescent="0.2"/>
    <row r="3744" outlineLevel="1" x14ac:dyDescent="0.2"/>
    <row r="3745" outlineLevel="1" x14ac:dyDescent="0.2"/>
    <row r="3746" outlineLevel="1" x14ac:dyDescent="0.2"/>
    <row r="3747" outlineLevel="1" x14ac:dyDescent="0.2"/>
    <row r="3748" outlineLevel="1" x14ac:dyDescent="0.2"/>
    <row r="3749" outlineLevel="1" x14ac:dyDescent="0.2"/>
    <row r="3750" outlineLevel="1" x14ac:dyDescent="0.2"/>
    <row r="3751" outlineLevel="1" x14ac:dyDescent="0.2"/>
    <row r="3752" outlineLevel="1" x14ac:dyDescent="0.2"/>
    <row r="3753" outlineLevel="1" x14ac:dyDescent="0.2"/>
    <row r="3754" outlineLevel="1" x14ac:dyDescent="0.2"/>
    <row r="3755" outlineLevel="1" x14ac:dyDescent="0.2"/>
    <row r="3756" outlineLevel="1" x14ac:dyDescent="0.2"/>
    <row r="3757" outlineLevel="1" x14ac:dyDescent="0.2"/>
    <row r="3758" outlineLevel="1" x14ac:dyDescent="0.2"/>
    <row r="3759" outlineLevel="1" x14ac:dyDescent="0.2"/>
    <row r="3760" outlineLevel="1" x14ac:dyDescent="0.2"/>
    <row r="3761" outlineLevel="1" x14ac:dyDescent="0.2"/>
    <row r="3762" outlineLevel="1" x14ac:dyDescent="0.2"/>
    <row r="3763" outlineLevel="1" x14ac:dyDescent="0.2"/>
    <row r="3764" outlineLevel="1" x14ac:dyDescent="0.2"/>
    <row r="3765" outlineLevel="1" x14ac:dyDescent="0.2"/>
    <row r="3766" outlineLevel="1" x14ac:dyDescent="0.2"/>
    <row r="3767" outlineLevel="1" x14ac:dyDescent="0.2"/>
    <row r="3768" outlineLevel="1" x14ac:dyDescent="0.2"/>
    <row r="3769" outlineLevel="1" x14ac:dyDescent="0.2"/>
    <row r="3770" outlineLevel="1" x14ac:dyDescent="0.2"/>
    <row r="3771" outlineLevel="1" x14ac:dyDescent="0.2"/>
    <row r="3772" outlineLevel="1" x14ac:dyDescent="0.2"/>
    <row r="3773" outlineLevel="1" x14ac:dyDescent="0.2"/>
    <row r="3774" outlineLevel="1" x14ac:dyDescent="0.2"/>
    <row r="3775" outlineLevel="1" x14ac:dyDescent="0.2"/>
    <row r="3776" outlineLevel="1" x14ac:dyDescent="0.2"/>
    <row r="3777" outlineLevel="1" x14ac:dyDescent="0.2"/>
    <row r="3778" outlineLevel="1" x14ac:dyDescent="0.2"/>
    <row r="3779" outlineLevel="1" x14ac:dyDescent="0.2"/>
    <row r="3780" outlineLevel="1" x14ac:dyDescent="0.2"/>
    <row r="3781" outlineLevel="1" x14ac:dyDescent="0.2"/>
    <row r="3782" outlineLevel="1" x14ac:dyDescent="0.2"/>
    <row r="3783" outlineLevel="1" x14ac:dyDescent="0.2"/>
    <row r="3784" outlineLevel="1" x14ac:dyDescent="0.2"/>
    <row r="3785" outlineLevel="1" x14ac:dyDescent="0.2"/>
    <row r="3786" outlineLevel="1" x14ac:dyDescent="0.2"/>
    <row r="3787" outlineLevel="1" x14ac:dyDescent="0.2"/>
    <row r="3788" outlineLevel="1" x14ac:dyDescent="0.2"/>
    <row r="3789" outlineLevel="1" x14ac:dyDescent="0.2"/>
    <row r="3790" outlineLevel="1" x14ac:dyDescent="0.2"/>
    <row r="3791" outlineLevel="1" x14ac:dyDescent="0.2"/>
    <row r="3792" outlineLevel="1" x14ac:dyDescent="0.2"/>
    <row r="3793" outlineLevel="1" x14ac:dyDescent="0.2"/>
    <row r="3794" outlineLevel="1" x14ac:dyDescent="0.2"/>
    <row r="3795" outlineLevel="1" x14ac:dyDescent="0.2"/>
    <row r="3796" outlineLevel="1" x14ac:dyDescent="0.2"/>
    <row r="3797" outlineLevel="1" x14ac:dyDescent="0.2"/>
    <row r="3798" outlineLevel="1" x14ac:dyDescent="0.2"/>
    <row r="3799" outlineLevel="1" x14ac:dyDescent="0.2"/>
    <row r="3800" outlineLevel="1" x14ac:dyDescent="0.2"/>
    <row r="3801" outlineLevel="1" x14ac:dyDescent="0.2"/>
    <row r="3802" outlineLevel="1" x14ac:dyDescent="0.2"/>
    <row r="3803" outlineLevel="1" x14ac:dyDescent="0.2"/>
    <row r="3804" outlineLevel="1" x14ac:dyDescent="0.2"/>
    <row r="3805" outlineLevel="1" x14ac:dyDescent="0.2"/>
    <row r="3806" outlineLevel="1" x14ac:dyDescent="0.2"/>
    <row r="3807" outlineLevel="1" x14ac:dyDescent="0.2"/>
    <row r="3808" outlineLevel="1" x14ac:dyDescent="0.2"/>
    <row r="3809" outlineLevel="1" x14ac:dyDescent="0.2"/>
    <row r="3810" outlineLevel="1" x14ac:dyDescent="0.2"/>
    <row r="3811" outlineLevel="1" x14ac:dyDescent="0.2"/>
    <row r="3812" outlineLevel="1" x14ac:dyDescent="0.2"/>
    <row r="3813" outlineLevel="1" x14ac:dyDescent="0.2"/>
    <row r="3814" outlineLevel="1" x14ac:dyDescent="0.2"/>
    <row r="3815" outlineLevel="1" x14ac:dyDescent="0.2"/>
    <row r="3816" outlineLevel="1" x14ac:dyDescent="0.2"/>
    <row r="3817" outlineLevel="1" x14ac:dyDescent="0.2"/>
    <row r="3818" outlineLevel="1" x14ac:dyDescent="0.2"/>
    <row r="3819" outlineLevel="1" x14ac:dyDescent="0.2"/>
    <row r="3820" outlineLevel="1" x14ac:dyDescent="0.2"/>
    <row r="3821" outlineLevel="1" x14ac:dyDescent="0.2"/>
    <row r="3822" outlineLevel="1" x14ac:dyDescent="0.2"/>
    <row r="3823" outlineLevel="1" x14ac:dyDescent="0.2"/>
    <row r="3824" outlineLevel="1" x14ac:dyDescent="0.2"/>
    <row r="3825" outlineLevel="1" x14ac:dyDescent="0.2"/>
    <row r="3826" outlineLevel="1" x14ac:dyDescent="0.2"/>
    <row r="3827" outlineLevel="1" x14ac:dyDescent="0.2"/>
    <row r="3828" outlineLevel="1" x14ac:dyDescent="0.2"/>
    <row r="3829" outlineLevel="1" x14ac:dyDescent="0.2"/>
    <row r="3830" outlineLevel="1" x14ac:dyDescent="0.2"/>
    <row r="3831" outlineLevel="1" x14ac:dyDescent="0.2"/>
    <row r="3832" outlineLevel="1" x14ac:dyDescent="0.2"/>
    <row r="3833" outlineLevel="1" x14ac:dyDescent="0.2"/>
    <row r="3834" outlineLevel="1" x14ac:dyDescent="0.2"/>
    <row r="3835" outlineLevel="1" x14ac:dyDescent="0.2"/>
    <row r="3836" outlineLevel="1" x14ac:dyDescent="0.2"/>
    <row r="3837" outlineLevel="1" x14ac:dyDescent="0.2"/>
    <row r="3838" outlineLevel="1" x14ac:dyDescent="0.2"/>
    <row r="3839" outlineLevel="1" x14ac:dyDescent="0.2"/>
    <row r="3840" outlineLevel="1" x14ac:dyDescent="0.2"/>
    <row r="3841" outlineLevel="1" x14ac:dyDescent="0.2"/>
    <row r="3842" outlineLevel="1" x14ac:dyDescent="0.2"/>
    <row r="3843" outlineLevel="1" x14ac:dyDescent="0.2"/>
    <row r="3844" outlineLevel="1" x14ac:dyDescent="0.2"/>
    <row r="3845" outlineLevel="1" x14ac:dyDescent="0.2"/>
    <row r="3846" outlineLevel="1" x14ac:dyDescent="0.2"/>
    <row r="3847" outlineLevel="1" x14ac:dyDescent="0.2"/>
    <row r="3848" outlineLevel="1" x14ac:dyDescent="0.2"/>
    <row r="3849" outlineLevel="1" x14ac:dyDescent="0.2"/>
    <row r="3850" outlineLevel="1" x14ac:dyDescent="0.2"/>
    <row r="3851" outlineLevel="1" x14ac:dyDescent="0.2"/>
    <row r="3852" outlineLevel="1" x14ac:dyDescent="0.2"/>
    <row r="3853" outlineLevel="1" x14ac:dyDescent="0.2"/>
    <row r="3854" outlineLevel="1" x14ac:dyDescent="0.2"/>
    <row r="3855" outlineLevel="1" x14ac:dyDescent="0.2"/>
    <row r="3856" outlineLevel="1" x14ac:dyDescent="0.2"/>
    <row r="3857" outlineLevel="1" x14ac:dyDescent="0.2"/>
    <row r="3858" outlineLevel="1" x14ac:dyDescent="0.2"/>
    <row r="3859" outlineLevel="1" x14ac:dyDescent="0.2"/>
    <row r="3860" outlineLevel="1" x14ac:dyDescent="0.2"/>
    <row r="3861" outlineLevel="1" x14ac:dyDescent="0.2"/>
    <row r="3862" outlineLevel="1" x14ac:dyDescent="0.2"/>
    <row r="3863" outlineLevel="1" x14ac:dyDescent="0.2"/>
    <row r="3864" outlineLevel="1" x14ac:dyDescent="0.2"/>
    <row r="3865" outlineLevel="1" x14ac:dyDescent="0.2"/>
    <row r="3866" outlineLevel="1" x14ac:dyDescent="0.2"/>
    <row r="3867" outlineLevel="1" x14ac:dyDescent="0.2"/>
    <row r="3868" outlineLevel="1" x14ac:dyDescent="0.2"/>
    <row r="3869" outlineLevel="1" x14ac:dyDescent="0.2"/>
    <row r="3870" outlineLevel="1" x14ac:dyDescent="0.2"/>
    <row r="3871" outlineLevel="1" x14ac:dyDescent="0.2"/>
    <row r="3872" outlineLevel="1" x14ac:dyDescent="0.2"/>
    <row r="3873" outlineLevel="1" x14ac:dyDescent="0.2"/>
    <row r="3874" outlineLevel="1" x14ac:dyDescent="0.2"/>
    <row r="3875" outlineLevel="1" x14ac:dyDescent="0.2"/>
    <row r="3876" outlineLevel="1" x14ac:dyDescent="0.2"/>
    <row r="3877" outlineLevel="1" x14ac:dyDescent="0.2"/>
    <row r="3878" outlineLevel="1" x14ac:dyDescent="0.2"/>
    <row r="3879" outlineLevel="1" x14ac:dyDescent="0.2"/>
    <row r="3880" outlineLevel="1" x14ac:dyDescent="0.2"/>
    <row r="3881" outlineLevel="1" x14ac:dyDescent="0.2"/>
    <row r="3882" outlineLevel="1" x14ac:dyDescent="0.2"/>
    <row r="3883" outlineLevel="1" x14ac:dyDescent="0.2"/>
    <row r="3884" outlineLevel="1" x14ac:dyDescent="0.2"/>
    <row r="3885" outlineLevel="1" x14ac:dyDescent="0.2"/>
    <row r="3886" outlineLevel="1" x14ac:dyDescent="0.2"/>
    <row r="3887" outlineLevel="1" x14ac:dyDescent="0.2"/>
    <row r="3888" outlineLevel="1" x14ac:dyDescent="0.2"/>
    <row r="3889" outlineLevel="1" x14ac:dyDescent="0.2"/>
    <row r="3890" outlineLevel="1" x14ac:dyDescent="0.2"/>
    <row r="3891" outlineLevel="1" x14ac:dyDescent="0.2"/>
    <row r="3892" outlineLevel="1" x14ac:dyDescent="0.2"/>
    <row r="3893" outlineLevel="1" x14ac:dyDescent="0.2"/>
    <row r="3894" outlineLevel="1" x14ac:dyDescent="0.2"/>
    <row r="3895" outlineLevel="1" x14ac:dyDescent="0.2"/>
    <row r="3896" outlineLevel="1" x14ac:dyDescent="0.2"/>
    <row r="3897" outlineLevel="1" x14ac:dyDescent="0.2"/>
    <row r="3898" outlineLevel="1" x14ac:dyDescent="0.2"/>
    <row r="3899" outlineLevel="1" x14ac:dyDescent="0.2"/>
    <row r="3900" outlineLevel="1" x14ac:dyDescent="0.2"/>
    <row r="3901" outlineLevel="1" x14ac:dyDescent="0.2"/>
    <row r="3902" outlineLevel="1" x14ac:dyDescent="0.2"/>
    <row r="3903" outlineLevel="1" x14ac:dyDescent="0.2"/>
    <row r="3904" outlineLevel="1" x14ac:dyDescent="0.2"/>
    <row r="3905" outlineLevel="1" x14ac:dyDescent="0.2"/>
    <row r="3906" outlineLevel="1" x14ac:dyDescent="0.2"/>
    <row r="3907" outlineLevel="1" x14ac:dyDescent="0.2"/>
    <row r="3908" outlineLevel="1" x14ac:dyDescent="0.2"/>
    <row r="3909" outlineLevel="1" x14ac:dyDescent="0.2"/>
    <row r="3910" outlineLevel="1" x14ac:dyDescent="0.2"/>
    <row r="3911" outlineLevel="1" x14ac:dyDescent="0.2"/>
    <row r="3912" outlineLevel="1" x14ac:dyDescent="0.2"/>
    <row r="3913" outlineLevel="1" x14ac:dyDescent="0.2"/>
    <row r="3914" outlineLevel="1" x14ac:dyDescent="0.2"/>
    <row r="3915" outlineLevel="1" x14ac:dyDescent="0.2"/>
    <row r="3916" outlineLevel="1" x14ac:dyDescent="0.2"/>
    <row r="3917" outlineLevel="1" x14ac:dyDescent="0.2"/>
    <row r="3918" outlineLevel="1" x14ac:dyDescent="0.2"/>
    <row r="3919" outlineLevel="1" x14ac:dyDescent="0.2"/>
    <row r="3920" outlineLevel="1" x14ac:dyDescent="0.2"/>
    <row r="3921" outlineLevel="1" x14ac:dyDescent="0.2"/>
    <row r="3922" outlineLevel="1" x14ac:dyDescent="0.2"/>
    <row r="3923" outlineLevel="1" x14ac:dyDescent="0.2"/>
    <row r="3924" outlineLevel="1" x14ac:dyDescent="0.2"/>
    <row r="3925" outlineLevel="1" x14ac:dyDescent="0.2"/>
    <row r="3926" outlineLevel="1" x14ac:dyDescent="0.2"/>
    <row r="3927" outlineLevel="1" x14ac:dyDescent="0.2"/>
    <row r="3928" outlineLevel="1" x14ac:dyDescent="0.2"/>
    <row r="3929" outlineLevel="1" x14ac:dyDescent="0.2"/>
    <row r="3930" outlineLevel="1" x14ac:dyDescent="0.2"/>
    <row r="3931" outlineLevel="1" x14ac:dyDescent="0.2"/>
    <row r="3932" outlineLevel="1" x14ac:dyDescent="0.2"/>
    <row r="3933" outlineLevel="1" x14ac:dyDescent="0.2"/>
    <row r="3934" outlineLevel="1" x14ac:dyDescent="0.2"/>
    <row r="3935" outlineLevel="1" x14ac:dyDescent="0.2"/>
    <row r="3936" outlineLevel="1" x14ac:dyDescent="0.2"/>
    <row r="3937" outlineLevel="1" x14ac:dyDescent="0.2"/>
    <row r="3938" outlineLevel="1" x14ac:dyDescent="0.2"/>
    <row r="3939" outlineLevel="1" x14ac:dyDescent="0.2"/>
    <row r="3940" outlineLevel="1" x14ac:dyDescent="0.2"/>
    <row r="3941" outlineLevel="1" x14ac:dyDescent="0.2"/>
    <row r="3942" outlineLevel="1" x14ac:dyDescent="0.2"/>
    <row r="3943" outlineLevel="1" x14ac:dyDescent="0.2"/>
    <row r="3944" outlineLevel="1" x14ac:dyDescent="0.2"/>
    <row r="3945" outlineLevel="1" x14ac:dyDescent="0.2"/>
    <row r="3946" outlineLevel="1" x14ac:dyDescent="0.2"/>
    <row r="3947" outlineLevel="1" x14ac:dyDescent="0.2"/>
    <row r="3948" outlineLevel="1" x14ac:dyDescent="0.2"/>
    <row r="3949" outlineLevel="1" x14ac:dyDescent="0.2"/>
    <row r="3950" outlineLevel="1" x14ac:dyDescent="0.2"/>
    <row r="3951" outlineLevel="1" x14ac:dyDescent="0.2"/>
    <row r="3952" outlineLevel="1" x14ac:dyDescent="0.2"/>
    <row r="3953" outlineLevel="1" x14ac:dyDescent="0.2"/>
    <row r="3954" outlineLevel="1" x14ac:dyDescent="0.2"/>
    <row r="3955" outlineLevel="1" x14ac:dyDescent="0.2"/>
    <row r="3956" outlineLevel="1" x14ac:dyDescent="0.2"/>
    <row r="3957" outlineLevel="1" x14ac:dyDescent="0.2"/>
    <row r="3958" outlineLevel="1" x14ac:dyDescent="0.2"/>
    <row r="3959" outlineLevel="1" x14ac:dyDescent="0.2"/>
    <row r="3960" outlineLevel="1" x14ac:dyDescent="0.2"/>
    <row r="3961" outlineLevel="1" x14ac:dyDescent="0.2"/>
    <row r="3962" outlineLevel="1" x14ac:dyDescent="0.2"/>
    <row r="3963" outlineLevel="1" x14ac:dyDescent="0.2"/>
    <row r="3964" outlineLevel="1" x14ac:dyDescent="0.2"/>
    <row r="3965" outlineLevel="1" x14ac:dyDescent="0.2"/>
    <row r="3966" outlineLevel="1" x14ac:dyDescent="0.2"/>
    <row r="3967" outlineLevel="1" x14ac:dyDescent="0.2"/>
    <row r="3968" outlineLevel="1" x14ac:dyDescent="0.2"/>
    <row r="3969" outlineLevel="1" x14ac:dyDescent="0.2"/>
    <row r="3970" outlineLevel="1" x14ac:dyDescent="0.2"/>
    <row r="3971" outlineLevel="1" x14ac:dyDescent="0.2"/>
    <row r="3972" outlineLevel="1" x14ac:dyDescent="0.2"/>
    <row r="3973" outlineLevel="1" x14ac:dyDescent="0.2"/>
    <row r="3974" outlineLevel="1" x14ac:dyDescent="0.2"/>
    <row r="3975" outlineLevel="1" x14ac:dyDescent="0.2"/>
    <row r="3976" outlineLevel="1" x14ac:dyDescent="0.2"/>
    <row r="3977" outlineLevel="1" x14ac:dyDescent="0.2"/>
    <row r="3978" outlineLevel="1" x14ac:dyDescent="0.2"/>
    <row r="3979" outlineLevel="1" x14ac:dyDescent="0.2"/>
    <row r="3980" outlineLevel="1" x14ac:dyDescent="0.2"/>
    <row r="3981" outlineLevel="1" x14ac:dyDescent="0.2"/>
    <row r="3982" outlineLevel="1" x14ac:dyDescent="0.2"/>
    <row r="3983" outlineLevel="1" x14ac:dyDescent="0.2"/>
    <row r="3984" outlineLevel="1" x14ac:dyDescent="0.2"/>
    <row r="3985" outlineLevel="1" x14ac:dyDescent="0.2"/>
    <row r="3986" outlineLevel="1" x14ac:dyDescent="0.2"/>
    <row r="3987" outlineLevel="1" x14ac:dyDescent="0.2"/>
    <row r="3988" outlineLevel="1" x14ac:dyDescent="0.2"/>
    <row r="3989" outlineLevel="1" x14ac:dyDescent="0.2"/>
    <row r="3990" outlineLevel="1" x14ac:dyDescent="0.2"/>
    <row r="3991" outlineLevel="1" x14ac:dyDescent="0.2"/>
    <row r="3992" outlineLevel="1" x14ac:dyDescent="0.2"/>
    <row r="3993" outlineLevel="1" x14ac:dyDescent="0.2"/>
    <row r="3994" outlineLevel="1" x14ac:dyDescent="0.2"/>
    <row r="3995" outlineLevel="1" x14ac:dyDescent="0.2"/>
    <row r="3996" outlineLevel="1" x14ac:dyDescent="0.2"/>
    <row r="3997" outlineLevel="1" x14ac:dyDescent="0.2"/>
    <row r="3998" outlineLevel="1" x14ac:dyDescent="0.2"/>
    <row r="3999" outlineLevel="1" x14ac:dyDescent="0.2"/>
    <row r="4000" outlineLevel="1" x14ac:dyDescent="0.2"/>
    <row r="4001" outlineLevel="1" x14ac:dyDescent="0.2"/>
    <row r="4002" outlineLevel="1" x14ac:dyDescent="0.2"/>
    <row r="4003" outlineLevel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71"/>
  <sheetViews>
    <sheetView topLeftCell="A41" workbookViewId="0">
      <selection activeCell="H56" sqref="H56"/>
    </sheetView>
  </sheetViews>
  <sheetFormatPr defaultRowHeight="12.75" x14ac:dyDescent="0.2"/>
  <cols>
    <col min="1" max="1" width="9.7109375" bestFit="1" customWidth="1"/>
    <col min="2" max="2" width="9.28515625" customWidth="1"/>
    <col min="3" max="3" width="9.7109375" bestFit="1" customWidth="1"/>
    <col min="4" max="4" width="2.85546875" style="909" hidden="1" customWidth="1"/>
    <col min="5" max="5" width="16.28515625" style="919" bestFit="1" customWidth="1"/>
    <col min="6" max="6" width="27.42578125" bestFit="1" customWidth="1"/>
    <col min="7" max="7" width="4" customWidth="1"/>
    <col min="8" max="8" width="10.140625" customWidth="1"/>
    <col min="9" max="9" width="22.28515625" bestFit="1" customWidth="1"/>
    <col min="10" max="10" width="10" customWidth="1"/>
    <col min="13" max="13" width="11.42578125" bestFit="1" customWidth="1"/>
    <col min="14" max="14" width="9" bestFit="1" customWidth="1"/>
  </cols>
  <sheetData>
    <row r="1" spans="1:17" ht="13.5" thickBot="1" x14ac:dyDescent="0.25">
      <c r="A1" s="900" t="s">
        <v>399</v>
      </c>
      <c r="B1" s="900" t="s">
        <v>400</v>
      </c>
      <c r="C1" s="900" t="s">
        <v>401</v>
      </c>
      <c r="D1" s="901"/>
      <c r="E1" s="902" t="s">
        <v>402</v>
      </c>
      <c r="F1" s="903" t="s">
        <v>403</v>
      </c>
      <c r="G1" s="904">
        <v>75</v>
      </c>
      <c r="H1" s="920"/>
      <c r="I1" s="905" t="s">
        <v>404</v>
      </c>
      <c r="K1" s="906" t="s">
        <v>405</v>
      </c>
      <c r="L1" s="906" t="s">
        <v>406</v>
      </c>
      <c r="M1" s="906" t="s">
        <v>407</v>
      </c>
      <c r="N1" s="906" t="s">
        <v>408</v>
      </c>
    </row>
    <row r="2" spans="1:17" ht="13.5" thickBot="1" x14ac:dyDescent="0.25">
      <c r="A2" s="907">
        <v>33288</v>
      </c>
      <c r="B2" s="908">
        <v>29</v>
      </c>
      <c r="C2" s="908">
        <v>29.5</v>
      </c>
      <c r="E2" s="910">
        <v>37141.309386574074</v>
      </c>
      <c r="F2" s="911" t="s">
        <v>414</v>
      </c>
      <c r="H2" s="920">
        <f>AVERAGE(B2:C2)</f>
        <v>29.25</v>
      </c>
      <c r="I2" s="912" t="s">
        <v>410</v>
      </c>
      <c r="J2" s="913">
        <f>+(C3+B3)/(C7+B7)*1000</f>
        <v>982.30088495575217</v>
      </c>
      <c r="K2">
        <v>9731</v>
      </c>
      <c r="L2">
        <v>9731</v>
      </c>
      <c r="M2">
        <v>5</v>
      </c>
      <c r="N2">
        <v>6</v>
      </c>
    </row>
    <row r="3" spans="1:17" ht="13.5" thickBot="1" x14ac:dyDescent="0.25">
      <c r="A3" s="907">
        <v>48648</v>
      </c>
      <c r="B3" s="908">
        <v>27.5</v>
      </c>
      <c r="C3" s="908">
        <v>28</v>
      </c>
      <c r="E3" s="910">
        <v>37141.30940972222</v>
      </c>
      <c r="F3" s="914" t="s">
        <v>415</v>
      </c>
      <c r="H3" s="920">
        <f t="shared" ref="H3:H21" si="0">AVERAGE(B3:C3)</f>
        <v>27.75</v>
      </c>
      <c r="I3" s="912" t="s">
        <v>411</v>
      </c>
      <c r="J3" s="913">
        <f>+(C14+B14)/(C6+B6)*1000</f>
        <v>447.38041002277902</v>
      </c>
      <c r="K3">
        <v>8739</v>
      </c>
      <c r="L3">
        <v>8739</v>
      </c>
      <c r="M3">
        <v>3</v>
      </c>
      <c r="N3">
        <v>6</v>
      </c>
    </row>
    <row r="4" spans="1:17" ht="13.5" thickBot="1" x14ac:dyDescent="0.25">
      <c r="A4" s="907">
        <v>48506</v>
      </c>
      <c r="B4" s="915">
        <v>31</v>
      </c>
      <c r="C4" s="915">
        <v>31.5</v>
      </c>
      <c r="E4" s="910">
        <v>37141.364745370367</v>
      </c>
      <c r="F4" s="911" t="s">
        <v>268</v>
      </c>
      <c r="H4" s="920">
        <f t="shared" si="0"/>
        <v>31.25</v>
      </c>
      <c r="I4" s="912" t="s">
        <v>412</v>
      </c>
      <c r="J4" s="913">
        <f>+(C5+B5)/(C4+B4)*1000</f>
        <v>1312</v>
      </c>
      <c r="K4">
        <v>9134</v>
      </c>
      <c r="L4">
        <v>9354</v>
      </c>
      <c r="M4">
        <v>2</v>
      </c>
      <c r="N4">
        <v>4</v>
      </c>
    </row>
    <row r="5" spans="1:17" ht="13.5" thickBot="1" x14ac:dyDescent="0.25">
      <c r="A5" s="907">
        <v>26116</v>
      </c>
      <c r="B5" s="908">
        <v>40.75</v>
      </c>
      <c r="C5" s="908">
        <v>41.25</v>
      </c>
      <c r="E5" s="910">
        <v>37141.364756944444</v>
      </c>
      <c r="F5" s="911" t="s">
        <v>269</v>
      </c>
      <c r="H5" s="920">
        <f t="shared" si="0"/>
        <v>41</v>
      </c>
      <c r="I5" s="916" t="s">
        <v>413</v>
      </c>
      <c r="J5" s="913">
        <f>+(C12+B12)/(C4+B4)*1000</f>
        <v>920</v>
      </c>
      <c r="K5">
        <v>8739</v>
      </c>
      <c r="L5">
        <v>8739</v>
      </c>
    </row>
    <row r="6" spans="1:17" ht="13.5" thickBot="1" x14ac:dyDescent="0.25">
      <c r="A6" s="907">
        <v>26117</v>
      </c>
      <c r="B6" s="908">
        <v>54.5</v>
      </c>
      <c r="C6" s="908">
        <v>55.25</v>
      </c>
      <c r="E6" s="910">
        <v>37141.364803240744</v>
      </c>
      <c r="F6" s="911" t="s">
        <v>416</v>
      </c>
      <c r="H6" s="920">
        <f t="shared" si="0"/>
        <v>54.875</v>
      </c>
      <c r="I6" s="917" t="s">
        <v>409</v>
      </c>
      <c r="J6" s="913">
        <f>+(C2+B2)/(C6+B6)*1000</f>
        <v>533.02961275626421</v>
      </c>
      <c r="K6">
        <v>8739</v>
      </c>
      <c r="L6">
        <v>8739</v>
      </c>
    </row>
    <row r="7" spans="1:17" ht="13.5" thickBot="1" x14ac:dyDescent="0.25">
      <c r="A7" s="907">
        <v>48508</v>
      </c>
      <c r="B7" s="908">
        <v>28</v>
      </c>
      <c r="C7" s="908">
        <v>28.5</v>
      </c>
      <c r="E7" s="910">
        <v>37141.268587962964</v>
      </c>
      <c r="F7" s="911" t="s">
        <v>257</v>
      </c>
      <c r="H7" s="920">
        <f t="shared" si="0"/>
        <v>28.25</v>
      </c>
      <c r="I7" s="918">
        <v>37043</v>
      </c>
      <c r="J7" s="913">
        <f>+(C2+B2)/(C4+B4)*1000</f>
        <v>936</v>
      </c>
    </row>
    <row r="8" spans="1:17" x14ac:dyDescent="0.2">
      <c r="A8" s="907">
        <v>48510</v>
      </c>
      <c r="B8" s="908">
        <v>28.75</v>
      </c>
      <c r="C8" s="908">
        <v>29.25</v>
      </c>
      <c r="E8" s="910">
        <v>37141.268657407411</v>
      </c>
      <c r="F8" s="911" t="s">
        <v>98</v>
      </c>
      <c r="H8" s="920">
        <f t="shared" si="0"/>
        <v>29</v>
      </c>
    </row>
    <row r="9" spans="1:17" x14ac:dyDescent="0.2">
      <c r="A9" s="907"/>
      <c r="B9" s="923">
        <v>0</v>
      </c>
      <c r="C9" s="923">
        <v>0</v>
      </c>
      <c r="E9" s="910"/>
      <c r="F9" s="911"/>
      <c r="H9" s="921">
        <f t="shared" si="0"/>
        <v>0</v>
      </c>
    </row>
    <row r="10" spans="1:17" x14ac:dyDescent="0.2">
      <c r="A10" s="907">
        <v>36462</v>
      </c>
      <c r="B10" s="908">
        <v>50</v>
      </c>
      <c r="C10" s="908">
        <v>51.5</v>
      </c>
      <c r="E10" s="910">
        <v>37070.433634259258</v>
      </c>
      <c r="F10" s="911" t="s">
        <v>299</v>
      </c>
      <c r="H10" s="920">
        <f t="shared" si="0"/>
        <v>50.75</v>
      </c>
      <c r="P10">
        <v>31</v>
      </c>
      <c r="Q10" s="928">
        <v>4.2750000000000004</v>
      </c>
    </row>
    <row r="11" spans="1:17" x14ac:dyDescent="0.2">
      <c r="A11" s="907">
        <v>40869</v>
      </c>
      <c r="B11" s="908">
        <v>53.25</v>
      </c>
      <c r="C11" s="908">
        <v>54.25</v>
      </c>
      <c r="E11" s="910">
        <v>37102.610833333332</v>
      </c>
      <c r="F11" s="911" t="s">
        <v>300</v>
      </c>
      <c r="H11" s="920">
        <f t="shared" si="0"/>
        <v>53.75</v>
      </c>
      <c r="J11">
        <f>H2*SUM(TradeSum!CD18:CD19)</f>
        <v>20592</v>
      </c>
      <c r="P11">
        <v>31</v>
      </c>
      <c r="Q11" s="928">
        <f>+Q10-0.005</f>
        <v>4.2700000000000005</v>
      </c>
    </row>
    <row r="12" spans="1:17" x14ac:dyDescent="0.2">
      <c r="A12" s="907">
        <v>3751</v>
      </c>
      <c r="B12" s="908">
        <v>28.55</v>
      </c>
      <c r="C12" s="908">
        <v>28.95</v>
      </c>
      <c r="E12" s="910">
        <v>37134.264016203706</v>
      </c>
      <c r="F12" s="914" t="s">
        <v>257</v>
      </c>
      <c r="H12" s="920">
        <f t="shared" si="0"/>
        <v>28.75</v>
      </c>
      <c r="J12">
        <f>+H3*SUM(TradeSum!CD20:CD21)</f>
        <v>18648</v>
      </c>
      <c r="P12">
        <v>31</v>
      </c>
      <c r="Q12" s="928">
        <f t="shared" ref="Q12:Q17" si="1">+Q11-0.005</f>
        <v>4.2650000000000006</v>
      </c>
    </row>
    <row r="13" spans="1:17" x14ac:dyDescent="0.2">
      <c r="A13" s="907">
        <v>26115</v>
      </c>
      <c r="B13" s="908">
        <v>26.4</v>
      </c>
      <c r="C13" s="908">
        <v>26.65</v>
      </c>
      <c r="E13" s="910">
        <v>37141.365173611113</v>
      </c>
      <c r="F13" s="914" t="s">
        <v>98</v>
      </c>
      <c r="H13" s="920">
        <f t="shared" si="0"/>
        <v>26.524999999999999</v>
      </c>
      <c r="J13">
        <f>+H4*TradeSum!CD22</f>
        <v>11000</v>
      </c>
      <c r="P13">
        <v>31</v>
      </c>
      <c r="Q13" s="928">
        <f t="shared" si="1"/>
        <v>4.2600000000000007</v>
      </c>
    </row>
    <row r="14" spans="1:17" x14ac:dyDescent="0.2">
      <c r="A14" s="907">
        <v>40819</v>
      </c>
      <c r="B14" s="908">
        <v>24.4</v>
      </c>
      <c r="C14" s="908">
        <v>24.7</v>
      </c>
      <c r="E14" s="910">
        <v>37141.361759259256</v>
      </c>
      <c r="F14" s="911" t="s">
        <v>467</v>
      </c>
      <c r="H14" s="920">
        <f t="shared" si="0"/>
        <v>24.549999999999997</v>
      </c>
      <c r="J14">
        <f>+H5*TradeSum!CD23</f>
        <v>13120</v>
      </c>
      <c r="P14">
        <v>31</v>
      </c>
      <c r="Q14" s="928">
        <f t="shared" si="1"/>
        <v>4.2550000000000008</v>
      </c>
    </row>
    <row r="15" spans="1:17" x14ac:dyDescent="0.2">
      <c r="A15" s="907">
        <v>29066</v>
      </c>
      <c r="B15" s="908">
        <v>24.5</v>
      </c>
      <c r="C15" s="908">
        <v>25</v>
      </c>
      <c r="E15" s="910">
        <v>37141.328460648147</v>
      </c>
      <c r="F15" s="911" t="s">
        <v>417</v>
      </c>
      <c r="H15" s="920">
        <f t="shared" si="0"/>
        <v>24.75</v>
      </c>
      <c r="J15">
        <f>+H6*SUM(TradeSum!CD24:CD25)</f>
        <v>37754</v>
      </c>
      <c r="P15">
        <v>31</v>
      </c>
      <c r="Q15" s="928">
        <f t="shared" si="1"/>
        <v>4.2500000000000009</v>
      </c>
    </row>
    <row r="16" spans="1:17" x14ac:dyDescent="0.2">
      <c r="A16" s="907">
        <v>52905</v>
      </c>
      <c r="B16" s="908"/>
      <c r="C16" s="908">
        <v>36</v>
      </c>
      <c r="E16" s="910">
        <v>37074.265659722223</v>
      </c>
      <c r="F16" s="911" t="s">
        <v>418</v>
      </c>
      <c r="H16" s="920">
        <f t="shared" si="0"/>
        <v>36</v>
      </c>
      <c r="J16">
        <f>+H7*TradeSum!CD26</f>
        <v>9492</v>
      </c>
      <c r="P16">
        <v>31</v>
      </c>
      <c r="Q16" s="928">
        <f t="shared" si="1"/>
        <v>4.245000000000001</v>
      </c>
    </row>
    <row r="17" spans="1:17" x14ac:dyDescent="0.2">
      <c r="A17" s="907">
        <v>28251</v>
      </c>
      <c r="B17" s="908"/>
      <c r="C17" s="908"/>
      <c r="E17" s="910">
        <v>37141.311874999999</v>
      </c>
      <c r="F17" s="995" t="s">
        <v>483</v>
      </c>
      <c r="H17" s="920" t="e">
        <f t="shared" si="0"/>
        <v>#DIV/0!</v>
      </c>
      <c r="J17">
        <f>+H8*SUM(TradeSum!CD27:CD29)</f>
        <v>29232</v>
      </c>
      <c r="P17">
        <v>31</v>
      </c>
      <c r="Q17" s="928">
        <f t="shared" si="1"/>
        <v>4.2400000000000011</v>
      </c>
    </row>
    <row r="18" spans="1:17" x14ac:dyDescent="0.2">
      <c r="A18" s="907">
        <v>52909</v>
      </c>
      <c r="B18" s="908">
        <v>51.25</v>
      </c>
      <c r="C18" s="908">
        <v>52.25</v>
      </c>
      <c r="E18" s="910">
        <v>37085.612893518519</v>
      </c>
      <c r="F18" s="911" t="s">
        <v>420</v>
      </c>
      <c r="H18" s="920">
        <f t="shared" si="0"/>
        <v>51.75</v>
      </c>
      <c r="P18">
        <v>31</v>
      </c>
      <c r="Q18" s="928">
        <v>4.24</v>
      </c>
    </row>
    <row r="19" spans="1:17" x14ac:dyDescent="0.2">
      <c r="A19" s="907">
        <v>53899</v>
      </c>
      <c r="B19" s="908">
        <v>53.5</v>
      </c>
      <c r="C19" s="908">
        <v>54.5</v>
      </c>
      <c r="E19" s="910">
        <v>37096.64640046296</v>
      </c>
      <c r="F19" s="911" t="s">
        <v>424</v>
      </c>
      <c r="H19" s="920">
        <f>AVERAGE(B19:C19)</f>
        <v>54</v>
      </c>
      <c r="P19">
        <v>31</v>
      </c>
      <c r="Q19" s="928">
        <v>4.24</v>
      </c>
    </row>
    <row r="20" spans="1:17" x14ac:dyDescent="0.2">
      <c r="A20" s="907">
        <v>26118</v>
      </c>
      <c r="B20" s="908">
        <v>39.5</v>
      </c>
      <c r="C20" s="908">
        <v>40.25</v>
      </c>
      <c r="E20" s="910">
        <v>37141.364733796298</v>
      </c>
      <c r="F20" s="911" t="s">
        <v>421</v>
      </c>
      <c r="H20" s="920">
        <f t="shared" si="0"/>
        <v>39.875</v>
      </c>
      <c r="J20" s="925">
        <f>+J19/SUM(TradeSum!CD18:CD29)</f>
        <v>0</v>
      </c>
      <c r="P20">
        <v>31</v>
      </c>
      <c r="Q20" s="928">
        <f t="shared" ref="Q20:Q25" si="2">+Q19+0.005</f>
        <v>4.2450000000000001</v>
      </c>
    </row>
    <row r="21" spans="1:17" x14ac:dyDescent="0.2">
      <c r="A21" s="907">
        <v>26119</v>
      </c>
      <c r="B21" s="908">
        <v>49.25</v>
      </c>
      <c r="C21" s="908">
        <v>50</v>
      </c>
      <c r="E21" s="910">
        <v>37141.36482638889</v>
      </c>
      <c r="F21" s="911" t="s">
        <v>422</v>
      </c>
      <c r="H21" s="920">
        <f t="shared" si="0"/>
        <v>49.625</v>
      </c>
      <c r="P21">
        <v>31</v>
      </c>
      <c r="Q21" s="928">
        <f t="shared" si="2"/>
        <v>4.25</v>
      </c>
    </row>
    <row r="22" spans="1:17" x14ac:dyDescent="0.2">
      <c r="A22" s="907">
        <v>44329</v>
      </c>
      <c r="B22" s="908">
        <v>21.35</v>
      </c>
      <c r="C22" s="908">
        <v>21.75</v>
      </c>
      <c r="E22" s="910">
        <v>37140.511701388888</v>
      </c>
      <c r="F22" s="911" t="s">
        <v>435</v>
      </c>
      <c r="H22" s="920">
        <f t="shared" ref="H22:H32" si="3">AVERAGE(B22:C22)</f>
        <v>21.55</v>
      </c>
      <c r="J22">
        <f>+H22/6.36</f>
        <v>3.3883647798742138</v>
      </c>
      <c r="P22">
        <v>31</v>
      </c>
      <c r="Q22" s="928">
        <f t="shared" si="2"/>
        <v>4.2549999999999999</v>
      </c>
    </row>
    <row r="23" spans="1:17" x14ac:dyDescent="0.2">
      <c r="A23" s="907">
        <v>44331</v>
      </c>
      <c r="B23" s="908">
        <v>50.25</v>
      </c>
      <c r="C23" s="908">
        <v>51.25</v>
      </c>
      <c r="E23" s="910">
        <v>37068.364768518521</v>
      </c>
      <c r="F23" s="911" t="s">
        <v>436</v>
      </c>
      <c r="H23" s="920">
        <f t="shared" si="3"/>
        <v>50.75</v>
      </c>
      <c r="J23">
        <f>+H23/6.36</f>
        <v>7.9795597484276728</v>
      </c>
      <c r="P23">
        <v>31</v>
      </c>
      <c r="Q23" s="928">
        <f t="shared" si="2"/>
        <v>4.26</v>
      </c>
    </row>
    <row r="24" spans="1:17" x14ac:dyDescent="0.2">
      <c r="A24" s="907">
        <v>44395</v>
      </c>
      <c r="B24" s="908">
        <v>21.3</v>
      </c>
      <c r="C24" s="908">
        <v>21.65</v>
      </c>
      <c r="E24" s="910">
        <v>37140.503483796296</v>
      </c>
      <c r="F24" s="911" t="s">
        <v>437</v>
      </c>
      <c r="H24" s="920">
        <f t="shared" si="3"/>
        <v>21.475000000000001</v>
      </c>
      <c r="J24">
        <f>+H24/6.36</f>
        <v>3.3765723270440251</v>
      </c>
      <c r="P24">
        <v>31</v>
      </c>
      <c r="Q24" s="928">
        <f t="shared" si="2"/>
        <v>4.2649999999999997</v>
      </c>
    </row>
    <row r="25" spans="1:17" x14ac:dyDescent="0.2">
      <c r="A25" s="907">
        <v>45908</v>
      </c>
      <c r="B25" s="908">
        <v>17.850000000000001</v>
      </c>
      <c r="C25" s="908">
        <v>18.25</v>
      </c>
      <c r="E25" s="910">
        <v>37126.477939814817</v>
      </c>
      <c r="F25" s="911" t="s">
        <v>438</v>
      </c>
      <c r="H25" s="920">
        <f t="shared" si="3"/>
        <v>18.05</v>
      </c>
      <c r="J25">
        <f t="shared" ref="J25:J33" si="4">+H25/6.5</f>
        <v>2.7769230769230768</v>
      </c>
      <c r="P25">
        <v>31</v>
      </c>
      <c r="Q25" s="928">
        <f t="shared" si="2"/>
        <v>4.2699999999999996</v>
      </c>
    </row>
    <row r="26" spans="1:17" x14ac:dyDescent="0.2">
      <c r="A26" s="907">
        <v>54908</v>
      </c>
      <c r="B26" s="908">
        <v>25.85</v>
      </c>
      <c r="C26" s="908">
        <v>26.05</v>
      </c>
      <c r="E26" s="910">
        <v>37141.36173611111</v>
      </c>
      <c r="F26" s="911" t="s">
        <v>256</v>
      </c>
      <c r="H26" s="920">
        <f t="shared" si="3"/>
        <v>25.950000000000003</v>
      </c>
      <c r="J26">
        <f t="shared" si="4"/>
        <v>3.9923076923076928</v>
      </c>
      <c r="P26">
        <v>31</v>
      </c>
      <c r="Q26" s="928">
        <f>+Q25+0.005</f>
        <v>4.2749999999999995</v>
      </c>
    </row>
    <row r="27" spans="1:17" x14ac:dyDescent="0.2">
      <c r="A27" s="907">
        <v>54910</v>
      </c>
      <c r="B27" s="908">
        <v>26.1</v>
      </c>
      <c r="C27" s="908">
        <v>26.3</v>
      </c>
      <c r="E27" s="910">
        <v>37141.298333333332</v>
      </c>
      <c r="F27" s="911" t="s">
        <v>328</v>
      </c>
      <c r="H27" s="920">
        <f t="shared" si="3"/>
        <v>26.200000000000003</v>
      </c>
      <c r="J27">
        <f t="shared" si="4"/>
        <v>4.0307692307692315</v>
      </c>
      <c r="P27">
        <v>31</v>
      </c>
      <c r="Q27" s="928">
        <f>+Q26+0.005</f>
        <v>4.2799999999999994</v>
      </c>
    </row>
    <row r="28" spans="1:17" x14ac:dyDescent="0.2">
      <c r="A28" s="907">
        <v>40881</v>
      </c>
      <c r="B28" s="908">
        <v>27.4</v>
      </c>
      <c r="C28" s="908">
        <v>27.6</v>
      </c>
      <c r="E28" s="910">
        <v>37141.298368055555</v>
      </c>
      <c r="F28" s="911" t="s">
        <v>329</v>
      </c>
      <c r="H28" s="920">
        <f t="shared" si="3"/>
        <v>27.5</v>
      </c>
      <c r="J28">
        <f t="shared" si="4"/>
        <v>4.2307692307692308</v>
      </c>
      <c r="P28">
        <v>31</v>
      </c>
      <c r="Q28" s="928">
        <f>+Q27+0.005</f>
        <v>4.2849999999999993</v>
      </c>
    </row>
    <row r="29" spans="1:17" x14ac:dyDescent="0.2">
      <c r="A29" s="907">
        <v>33289</v>
      </c>
      <c r="B29" s="908">
        <v>29.75</v>
      </c>
      <c r="C29" s="908">
        <v>30.25</v>
      </c>
      <c r="E29" s="910">
        <v>37141.309374999997</v>
      </c>
      <c r="F29" s="911" t="s">
        <v>454</v>
      </c>
      <c r="H29" s="920">
        <f t="shared" si="3"/>
        <v>30</v>
      </c>
      <c r="J29">
        <f t="shared" si="4"/>
        <v>4.615384615384615</v>
      </c>
      <c r="P29">
        <v>31</v>
      </c>
      <c r="Q29" s="928">
        <f>+Q27+0.005</f>
        <v>4.2849999999999993</v>
      </c>
    </row>
    <row r="30" spans="1:17" x14ac:dyDescent="0.2">
      <c r="A30" s="907">
        <v>55262</v>
      </c>
      <c r="B30" s="908">
        <v>28.25</v>
      </c>
      <c r="C30" s="908">
        <v>28.75</v>
      </c>
      <c r="E30" s="910">
        <v>37141.309398148151</v>
      </c>
      <c r="F30" s="911" t="s">
        <v>455</v>
      </c>
      <c r="H30" s="920">
        <f t="shared" si="3"/>
        <v>28.5</v>
      </c>
      <c r="J30">
        <f t="shared" si="4"/>
        <v>4.384615384615385</v>
      </c>
      <c r="P30">
        <v>31</v>
      </c>
      <c r="Q30" s="928">
        <f t="shared" ref="Q30:Q71" si="5">+Q25+0.005</f>
        <v>4.2749999999999995</v>
      </c>
    </row>
    <row r="31" spans="1:17" x14ac:dyDescent="0.2">
      <c r="A31" s="907">
        <v>55264</v>
      </c>
      <c r="B31" s="908">
        <v>30.25</v>
      </c>
      <c r="C31" s="908">
        <v>30.75</v>
      </c>
      <c r="E31" s="910">
        <v>37141.364710648151</v>
      </c>
      <c r="F31" s="911" t="s">
        <v>456</v>
      </c>
      <c r="H31" s="920">
        <f>AVERAGE(B31:C31)</f>
        <v>30.5</v>
      </c>
      <c r="J31">
        <f t="shared" si="4"/>
        <v>4.6923076923076925</v>
      </c>
      <c r="P31">
        <v>31</v>
      </c>
      <c r="Q31" s="928">
        <f t="shared" si="5"/>
        <v>4.2799999999999994</v>
      </c>
    </row>
    <row r="32" spans="1:17" x14ac:dyDescent="0.2">
      <c r="A32" s="907">
        <v>55270</v>
      </c>
      <c r="B32" s="908">
        <v>28</v>
      </c>
      <c r="C32" s="908">
        <v>28.5</v>
      </c>
      <c r="E32" s="910">
        <v>37141.268622685187</v>
      </c>
      <c r="F32" s="911" t="s">
        <v>457</v>
      </c>
      <c r="H32" s="920">
        <f t="shared" si="3"/>
        <v>28.25</v>
      </c>
      <c r="J32">
        <f t="shared" si="4"/>
        <v>4.3461538461538458</v>
      </c>
      <c r="P32">
        <v>31</v>
      </c>
      <c r="Q32" s="928">
        <f t="shared" si="5"/>
        <v>4.2849999999999993</v>
      </c>
    </row>
    <row r="33" spans="1:17" x14ac:dyDescent="0.2">
      <c r="A33" s="907">
        <v>55272</v>
      </c>
      <c r="B33" s="908">
        <v>29</v>
      </c>
      <c r="C33" s="908">
        <v>29.5</v>
      </c>
      <c r="E33" s="910">
        <v>37141.268680555557</v>
      </c>
      <c r="F33" s="911" t="s">
        <v>458</v>
      </c>
      <c r="H33" s="920">
        <f t="shared" ref="H33:H40" si="6">AVERAGE(B33:C33)</f>
        <v>29.25</v>
      </c>
      <c r="J33">
        <f t="shared" si="4"/>
        <v>4.5</v>
      </c>
      <c r="P33">
        <v>31</v>
      </c>
      <c r="Q33" s="928">
        <f t="shared" si="5"/>
        <v>4.2899999999999991</v>
      </c>
    </row>
    <row r="34" spans="1:17" x14ac:dyDescent="0.2">
      <c r="A34" s="907">
        <v>27819</v>
      </c>
      <c r="B34" s="915">
        <v>2.2949999999999999</v>
      </c>
      <c r="C34" s="915">
        <v>2.3050000000000002</v>
      </c>
      <c r="E34" s="910">
        <v>37141.368657407409</v>
      </c>
      <c r="F34" s="911" t="s">
        <v>461</v>
      </c>
      <c r="H34" s="970">
        <f t="shared" si="6"/>
        <v>2.2999999999999998</v>
      </c>
      <c r="J34">
        <f t="shared" ref="J34:J40" si="7">+H34/6.5</f>
        <v>0.35384615384615381</v>
      </c>
      <c r="P34">
        <v>31</v>
      </c>
      <c r="Q34" s="928">
        <f t="shared" si="5"/>
        <v>4.2899999999999991</v>
      </c>
    </row>
    <row r="35" spans="1:17" x14ac:dyDescent="0.2">
      <c r="A35" s="907">
        <v>27763</v>
      </c>
      <c r="B35" s="915">
        <v>2.335</v>
      </c>
      <c r="C35" s="915">
        <v>2.3450000000000002</v>
      </c>
      <c r="E35" s="910">
        <v>37141.368564814817</v>
      </c>
      <c r="F35" s="911" t="s">
        <v>460</v>
      </c>
      <c r="H35" s="970">
        <f t="shared" si="6"/>
        <v>2.34</v>
      </c>
      <c r="J35">
        <f t="shared" si="7"/>
        <v>0.36</v>
      </c>
      <c r="P35">
        <v>31</v>
      </c>
      <c r="Q35" s="928">
        <f t="shared" si="5"/>
        <v>4.2799999999999994</v>
      </c>
    </row>
    <row r="36" spans="1:17" x14ac:dyDescent="0.2">
      <c r="A36" s="907">
        <v>53059</v>
      </c>
      <c r="B36" s="915">
        <v>-1.3</v>
      </c>
      <c r="C36" s="915">
        <v>-1.1000000000000001</v>
      </c>
      <c r="E36" s="910">
        <v>37141.344606481478</v>
      </c>
      <c r="F36" s="991" t="s">
        <v>468</v>
      </c>
      <c r="H36" s="970">
        <f t="shared" si="6"/>
        <v>-1.2000000000000002</v>
      </c>
      <c r="J36">
        <f t="shared" si="7"/>
        <v>-0.18461538461538465</v>
      </c>
      <c r="L36" s="907">
        <v>49609</v>
      </c>
      <c r="P36">
        <v>31</v>
      </c>
      <c r="Q36" s="928">
        <f t="shared" si="5"/>
        <v>4.2849999999999993</v>
      </c>
    </row>
    <row r="37" spans="1:17" x14ac:dyDescent="0.2">
      <c r="A37" s="907">
        <v>53061</v>
      </c>
      <c r="B37" s="915">
        <v>-1.2</v>
      </c>
      <c r="C37" s="915">
        <v>-1</v>
      </c>
      <c r="E37" s="910">
        <v>37141.263333333336</v>
      </c>
      <c r="F37" s="991" t="s">
        <v>469</v>
      </c>
      <c r="H37" s="970">
        <f t="shared" si="6"/>
        <v>-1.1000000000000001</v>
      </c>
      <c r="J37">
        <f t="shared" si="7"/>
        <v>-0.16923076923076924</v>
      </c>
      <c r="L37" s="907">
        <v>49613</v>
      </c>
      <c r="P37">
        <v>31</v>
      </c>
      <c r="Q37" s="928">
        <f t="shared" si="5"/>
        <v>4.2899999999999991</v>
      </c>
    </row>
    <row r="38" spans="1:17" x14ac:dyDescent="0.2">
      <c r="A38" s="907">
        <v>53063</v>
      </c>
      <c r="B38" s="915">
        <v>-0.75</v>
      </c>
      <c r="C38" s="915">
        <v>-0.55000000000000004</v>
      </c>
      <c r="E38" s="910">
        <v>37141.263344907406</v>
      </c>
      <c r="F38" s="991" t="s">
        <v>470</v>
      </c>
      <c r="H38" s="970">
        <f t="shared" si="6"/>
        <v>-0.65</v>
      </c>
      <c r="J38">
        <f t="shared" si="7"/>
        <v>-0.1</v>
      </c>
      <c r="L38" s="907">
        <v>49615</v>
      </c>
      <c r="P38">
        <v>31</v>
      </c>
      <c r="Q38" s="928">
        <f t="shared" si="5"/>
        <v>4.294999999999999</v>
      </c>
    </row>
    <row r="39" spans="1:17" x14ac:dyDescent="0.2">
      <c r="A39" s="907">
        <v>53065</v>
      </c>
      <c r="B39" s="915">
        <v>-1.1000000000000001</v>
      </c>
      <c r="C39" s="915">
        <v>-0.9</v>
      </c>
      <c r="E39" s="910">
        <v>37141.263356481482</v>
      </c>
      <c r="F39" s="991" t="s">
        <v>471</v>
      </c>
      <c r="H39" s="970">
        <f t="shared" si="6"/>
        <v>-1</v>
      </c>
      <c r="J39">
        <f t="shared" si="7"/>
        <v>-0.15384615384615385</v>
      </c>
      <c r="L39" s="907">
        <v>35353</v>
      </c>
      <c r="P39">
        <v>31</v>
      </c>
      <c r="Q39" s="928">
        <f t="shared" si="5"/>
        <v>4.294999999999999</v>
      </c>
    </row>
    <row r="40" spans="1:17" x14ac:dyDescent="0.2">
      <c r="A40" s="907">
        <v>53067</v>
      </c>
      <c r="B40" s="915">
        <v>-1.35</v>
      </c>
      <c r="C40" s="915">
        <v>-1.1499999999999999</v>
      </c>
      <c r="E40" s="910">
        <v>37141.263368055559</v>
      </c>
      <c r="F40" s="991" t="s">
        <v>472</v>
      </c>
      <c r="H40" s="970">
        <f t="shared" si="6"/>
        <v>-1.25</v>
      </c>
      <c r="J40">
        <f t="shared" si="7"/>
        <v>-0.19230769230769232</v>
      </c>
      <c r="L40" s="907">
        <v>48724</v>
      </c>
      <c r="P40">
        <v>31</v>
      </c>
      <c r="Q40" s="928">
        <f t="shared" si="5"/>
        <v>4.2849999999999993</v>
      </c>
    </row>
    <row r="41" spans="1:17" x14ac:dyDescent="0.2">
      <c r="A41" s="907">
        <v>53069</v>
      </c>
      <c r="B41" s="915">
        <v>-1.05</v>
      </c>
      <c r="C41" s="915">
        <v>-0.95</v>
      </c>
      <c r="E41" s="910">
        <v>37141.263391203705</v>
      </c>
      <c r="F41" s="991" t="s">
        <v>473</v>
      </c>
      <c r="H41" s="970">
        <f t="shared" ref="H41:H50" si="8">AVERAGE(B41:C41)</f>
        <v>-1</v>
      </c>
      <c r="J41">
        <f t="shared" ref="J41:J50" si="9">+H41/6.5</f>
        <v>-0.15384615384615385</v>
      </c>
      <c r="L41" s="907">
        <v>48724</v>
      </c>
      <c r="P41">
        <v>31</v>
      </c>
      <c r="Q41" s="928">
        <f t="shared" si="5"/>
        <v>4.2899999999999991</v>
      </c>
    </row>
    <row r="42" spans="1:17" x14ac:dyDescent="0.2">
      <c r="A42" s="907">
        <v>53071</v>
      </c>
      <c r="B42" s="915">
        <v>-0.65</v>
      </c>
      <c r="C42" s="915">
        <v>-0.45</v>
      </c>
      <c r="E42" s="910">
        <v>37141.263425925928</v>
      </c>
      <c r="F42" s="991" t="s">
        <v>474</v>
      </c>
      <c r="H42" s="970">
        <f t="shared" si="8"/>
        <v>-0.55000000000000004</v>
      </c>
      <c r="J42">
        <f t="shared" si="9"/>
        <v>-8.461538461538462E-2</v>
      </c>
      <c r="L42" s="907">
        <v>48724</v>
      </c>
      <c r="P42">
        <v>31</v>
      </c>
      <c r="Q42" s="928">
        <f t="shared" si="5"/>
        <v>4.294999999999999</v>
      </c>
    </row>
    <row r="43" spans="1:17" x14ac:dyDescent="0.2">
      <c r="A43" s="907">
        <v>55324</v>
      </c>
      <c r="B43" s="915">
        <v>-1</v>
      </c>
      <c r="C43" s="915">
        <v>-0.7</v>
      </c>
      <c r="E43" s="910">
        <v>37141.263437499998</v>
      </c>
      <c r="F43" s="991" t="s">
        <v>475</v>
      </c>
      <c r="H43" s="970">
        <f t="shared" si="8"/>
        <v>-0.85</v>
      </c>
      <c r="J43">
        <f t="shared" si="9"/>
        <v>-0.13076923076923078</v>
      </c>
      <c r="L43" s="907">
        <v>48724</v>
      </c>
      <c r="P43">
        <v>31</v>
      </c>
      <c r="Q43" s="928">
        <f t="shared" si="5"/>
        <v>4.2999999999999989</v>
      </c>
    </row>
    <row r="44" spans="1:17" x14ac:dyDescent="0.2">
      <c r="A44" s="907">
        <v>55326</v>
      </c>
      <c r="B44" s="915">
        <v>-0.95</v>
      </c>
      <c r="C44" s="915">
        <v>-0.65</v>
      </c>
      <c r="E44" s="910">
        <v>37141.263460648152</v>
      </c>
      <c r="F44" s="991" t="s">
        <v>476</v>
      </c>
      <c r="H44" s="970">
        <f t="shared" si="8"/>
        <v>-0.8</v>
      </c>
      <c r="J44">
        <f t="shared" si="9"/>
        <v>-0.12307692307692308</v>
      </c>
      <c r="L44" s="907">
        <v>48724</v>
      </c>
      <c r="P44">
        <v>31</v>
      </c>
      <c r="Q44" s="928">
        <f t="shared" si="5"/>
        <v>4.2999999999999989</v>
      </c>
    </row>
    <row r="45" spans="1:17" x14ac:dyDescent="0.2">
      <c r="A45" s="907">
        <v>55328</v>
      </c>
      <c r="B45" s="915">
        <v>-0.9</v>
      </c>
      <c r="C45" s="915">
        <v>-0.6</v>
      </c>
      <c r="E45" s="910">
        <v>37141.263472222221</v>
      </c>
      <c r="F45" s="991" t="s">
        <v>477</v>
      </c>
      <c r="H45" s="970">
        <f t="shared" si="8"/>
        <v>-0.75</v>
      </c>
      <c r="J45">
        <f t="shared" si="9"/>
        <v>-0.11538461538461539</v>
      </c>
      <c r="L45" s="907">
        <v>48724</v>
      </c>
      <c r="P45">
        <v>31</v>
      </c>
      <c r="Q45" s="928">
        <f t="shared" si="5"/>
        <v>4.2899999999999991</v>
      </c>
    </row>
    <row r="46" spans="1:17" x14ac:dyDescent="0.2">
      <c r="A46" s="907">
        <v>55330</v>
      </c>
      <c r="B46" s="915">
        <v>-1.2</v>
      </c>
      <c r="C46" s="915">
        <v>-0.8</v>
      </c>
      <c r="E46" s="910">
        <v>37141.263483796298</v>
      </c>
      <c r="F46" s="991" t="s">
        <v>478</v>
      </c>
      <c r="H46" s="970">
        <f t="shared" si="8"/>
        <v>-1</v>
      </c>
      <c r="J46">
        <f t="shared" si="9"/>
        <v>-0.15384615384615385</v>
      </c>
      <c r="L46" s="907">
        <v>48724</v>
      </c>
      <c r="P46">
        <v>31</v>
      </c>
      <c r="Q46" s="928">
        <f t="shared" si="5"/>
        <v>4.294999999999999</v>
      </c>
    </row>
    <row r="47" spans="1:17" x14ac:dyDescent="0.2">
      <c r="A47" s="907">
        <v>55334</v>
      </c>
      <c r="B47" s="915">
        <v>-1</v>
      </c>
      <c r="C47" s="915">
        <v>-0.5</v>
      </c>
      <c r="E47" s="910">
        <v>37141.263495370367</v>
      </c>
      <c r="F47" s="991" t="s">
        <v>479</v>
      </c>
      <c r="H47" s="970">
        <f t="shared" si="8"/>
        <v>-0.75</v>
      </c>
      <c r="J47">
        <f t="shared" si="9"/>
        <v>-0.11538461538461539</v>
      </c>
      <c r="L47" s="907">
        <v>48724</v>
      </c>
      <c r="P47">
        <v>31</v>
      </c>
      <c r="Q47" s="928">
        <f t="shared" si="5"/>
        <v>4.2999999999999989</v>
      </c>
    </row>
    <row r="48" spans="1:17" x14ac:dyDescent="0.2">
      <c r="A48" s="907">
        <v>55338</v>
      </c>
      <c r="B48" s="915">
        <v>-0.85</v>
      </c>
      <c r="C48" s="915">
        <v>-0.65</v>
      </c>
      <c r="E48" s="910">
        <v>37141.263506944444</v>
      </c>
      <c r="F48" s="991" t="s">
        <v>480</v>
      </c>
      <c r="H48" s="970">
        <f t="shared" si="8"/>
        <v>-0.75</v>
      </c>
      <c r="J48">
        <f t="shared" si="9"/>
        <v>-0.11538461538461539</v>
      </c>
      <c r="L48" s="907">
        <v>48724</v>
      </c>
      <c r="P48">
        <v>31</v>
      </c>
      <c r="Q48" s="928">
        <f t="shared" si="5"/>
        <v>4.3049999999999988</v>
      </c>
    </row>
    <row r="49" spans="1:17" x14ac:dyDescent="0.2">
      <c r="A49" s="907">
        <v>55340</v>
      </c>
      <c r="B49" s="915">
        <v>-0.7</v>
      </c>
      <c r="C49" s="915">
        <v>-0.4</v>
      </c>
      <c r="E49" s="910">
        <v>37141.263518518521</v>
      </c>
      <c r="F49" s="991" t="s">
        <v>481</v>
      </c>
      <c r="H49" s="970">
        <f t="shared" si="8"/>
        <v>-0.55000000000000004</v>
      </c>
      <c r="J49">
        <f t="shared" si="9"/>
        <v>-8.461538461538462E-2</v>
      </c>
      <c r="L49" s="907">
        <v>48724</v>
      </c>
      <c r="P49">
        <v>31</v>
      </c>
      <c r="Q49" s="928">
        <f t="shared" si="5"/>
        <v>4.3049999999999988</v>
      </c>
    </row>
    <row r="50" spans="1:17" x14ac:dyDescent="0.2">
      <c r="A50" s="907">
        <v>53073</v>
      </c>
      <c r="B50" s="915">
        <v>-1.1000000000000001</v>
      </c>
      <c r="C50" s="915">
        <v>-0.9</v>
      </c>
      <c r="E50" s="910">
        <v>37141.263321759259</v>
      </c>
      <c r="F50" s="991" t="s">
        <v>489</v>
      </c>
      <c r="H50" s="970">
        <f t="shared" si="8"/>
        <v>-1</v>
      </c>
      <c r="J50">
        <f t="shared" si="9"/>
        <v>-0.15384615384615385</v>
      </c>
      <c r="L50" s="907">
        <v>48724</v>
      </c>
      <c r="P50">
        <v>31</v>
      </c>
      <c r="Q50" s="928">
        <f t="shared" si="5"/>
        <v>4.294999999999999</v>
      </c>
    </row>
    <row r="51" spans="1:17" x14ac:dyDescent="0.2">
      <c r="A51" s="907">
        <v>55124</v>
      </c>
      <c r="B51" s="915">
        <v>-1.1499999999999999</v>
      </c>
      <c r="C51" s="915">
        <v>-0.85</v>
      </c>
      <c r="E51" s="910">
        <v>37141.263449074075</v>
      </c>
      <c r="F51" s="991" t="s">
        <v>490</v>
      </c>
      <c r="H51" s="970">
        <f t="shared" ref="H51:H71" si="10">AVERAGE(B51:C51)</f>
        <v>-1</v>
      </c>
      <c r="J51">
        <f t="shared" ref="J51:J71" si="11">+H51/6.5</f>
        <v>-0.15384615384615385</v>
      </c>
      <c r="L51" s="907">
        <v>48724</v>
      </c>
      <c r="P51">
        <v>31</v>
      </c>
      <c r="Q51" s="928">
        <f t="shared" si="5"/>
        <v>4.2999999999999989</v>
      </c>
    </row>
    <row r="52" spans="1:17" x14ac:dyDescent="0.2">
      <c r="A52" s="907">
        <v>54258</v>
      </c>
      <c r="B52" s="915">
        <v>17.25</v>
      </c>
      <c r="C52" s="915">
        <v>17.75</v>
      </c>
      <c r="E52" s="910">
        <v>37138.272523148145</v>
      </c>
      <c r="F52" s="991" t="s">
        <v>495</v>
      </c>
      <c r="H52" s="970">
        <f t="shared" si="10"/>
        <v>17.5</v>
      </c>
      <c r="J52">
        <f t="shared" si="11"/>
        <v>2.6923076923076925</v>
      </c>
      <c r="L52" s="907">
        <v>48724</v>
      </c>
      <c r="P52">
        <v>31</v>
      </c>
      <c r="Q52" s="928">
        <f t="shared" si="5"/>
        <v>4.3049999999999988</v>
      </c>
    </row>
    <row r="53" spans="1:17" x14ac:dyDescent="0.2">
      <c r="A53" s="907">
        <v>57762</v>
      </c>
      <c r="B53" s="915">
        <v>14.8</v>
      </c>
      <c r="C53" s="915">
        <v>15.3</v>
      </c>
      <c r="E53" s="910">
        <v>37141.357002314813</v>
      </c>
      <c r="F53" s="991" t="s">
        <v>496</v>
      </c>
      <c r="H53" s="970">
        <f t="shared" si="10"/>
        <v>15.05</v>
      </c>
      <c r="J53">
        <f t="shared" si="11"/>
        <v>2.3153846153846156</v>
      </c>
      <c r="L53" s="907">
        <v>48724</v>
      </c>
      <c r="P53">
        <v>31</v>
      </c>
      <c r="Q53" s="928">
        <f t="shared" si="5"/>
        <v>4.3099999999999987</v>
      </c>
    </row>
    <row r="54" spans="1:17" x14ac:dyDescent="0.2">
      <c r="A54" s="907">
        <v>57764</v>
      </c>
      <c r="B54" s="915">
        <v>18.25</v>
      </c>
      <c r="C54" s="915">
        <v>19</v>
      </c>
      <c r="E54" s="910">
        <v>37141.35738425926</v>
      </c>
      <c r="F54" s="991" t="s">
        <v>497</v>
      </c>
      <c r="H54" s="970">
        <f t="shared" si="10"/>
        <v>18.625</v>
      </c>
      <c r="J54">
        <f t="shared" si="11"/>
        <v>2.8653846153846154</v>
      </c>
      <c r="L54" s="907">
        <v>48724</v>
      </c>
      <c r="P54">
        <v>31</v>
      </c>
      <c r="Q54" s="928">
        <f t="shared" si="5"/>
        <v>4.3099999999999987</v>
      </c>
    </row>
    <row r="55" spans="1:17" x14ac:dyDescent="0.2">
      <c r="A55" s="907">
        <v>51458</v>
      </c>
      <c r="B55" s="915">
        <v>16.7</v>
      </c>
      <c r="C55" s="915">
        <v>17.05</v>
      </c>
      <c r="E55" s="910">
        <v>37141.356990740744</v>
      </c>
      <c r="F55" s="991" t="s">
        <v>498</v>
      </c>
      <c r="H55" s="970">
        <f t="shared" si="10"/>
        <v>16.875</v>
      </c>
      <c r="J55">
        <f t="shared" si="11"/>
        <v>2.5961538461538463</v>
      </c>
      <c r="L55" s="907">
        <v>48724</v>
      </c>
      <c r="P55">
        <v>31</v>
      </c>
      <c r="Q55" s="928">
        <f t="shared" si="5"/>
        <v>4.2999999999999989</v>
      </c>
    </row>
    <row r="56" spans="1:17" x14ac:dyDescent="0.2">
      <c r="A56" s="907">
        <v>40819</v>
      </c>
      <c r="B56" s="915">
        <v>26.5</v>
      </c>
      <c r="C56" s="915">
        <v>27.25</v>
      </c>
      <c r="E56" s="910">
        <v>37138.323321759257</v>
      </c>
      <c r="F56" s="991" t="s">
        <v>510</v>
      </c>
      <c r="H56" s="970">
        <f t="shared" si="10"/>
        <v>26.875</v>
      </c>
      <c r="J56">
        <f t="shared" si="11"/>
        <v>4.134615384615385</v>
      </c>
      <c r="L56" s="907">
        <v>48724</v>
      </c>
      <c r="P56">
        <v>31</v>
      </c>
      <c r="Q56" s="928">
        <f t="shared" si="5"/>
        <v>4.3049999999999988</v>
      </c>
    </row>
    <row r="57" spans="1:17" x14ac:dyDescent="0.2">
      <c r="A57" s="907">
        <v>40829</v>
      </c>
      <c r="B57" s="915">
        <v>26.45</v>
      </c>
      <c r="C57" s="915">
        <v>26.95</v>
      </c>
      <c r="E57" s="910">
        <v>37141.298310185186</v>
      </c>
      <c r="F57" s="991" t="s">
        <v>511</v>
      </c>
      <c r="H57" s="970">
        <f t="shared" si="10"/>
        <v>26.7</v>
      </c>
      <c r="J57">
        <f t="shared" si="11"/>
        <v>4.1076923076923073</v>
      </c>
      <c r="L57" s="907">
        <v>48724</v>
      </c>
      <c r="P57">
        <v>31</v>
      </c>
      <c r="Q57" s="928">
        <f t="shared" si="5"/>
        <v>4.3099999999999987</v>
      </c>
    </row>
    <row r="58" spans="1:17" x14ac:dyDescent="0.2">
      <c r="A58" s="907">
        <v>33278</v>
      </c>
      <c r="B58" s="915">
        <v>25.1</v>
      </c>
      <c r="C58" s="915">
        <v>25.65</v>
      </c>
      <c r="E58" s="910">
        <v>37141.299120370371</v>
      </c>
      <c r="F58" s="991" t="s">
        <v>508</v>
      </c>
      <c r="H58" s="970">
        <f t="shared" si="10"/>
        <v>25.375</v>
      </c>
      <c r="J58">
        <f t="shared" si="11"/>
        <v>3.9038461538461537</v>
      </c>
      <c r="L58" s="907">
        <v>48724</v>
      </c>
      <c r="P58">
        <v>31</v>
      </c>
      <c r="Q58" s="928">
        <f t="shared" si="5"/>
        <v>4.3149999999999986</v>
      </c>
    </row>
    <row r="59" spans="1:17" x14ac:dyDescent="0.2">
      <c r="A59" s="907">
        <v>59475</v>
      </c>
      <c r="B59" s="915">
        <v>25.2</v>
      </c>
      <c r="C59" s="915">
        <v>25.6</v>
      </c>
      <c r="E59" s="910">
        <v>37141.298344907409</v>
      </c>
      <c r="F59" s="991" t="s">
        <v>509</v>
      </c>
      <c r="H59" s="970">
        <f t="shared" si="10"/>
        <v>25.4</v>
      </c>
      <c r="J59">
        <f t="shared" si="11"/>
        <v>3.9076923076923076</v>
      </c>
      <c r="L59" s="907">
        <v>48724</v>
      </c>
      <c r="P59">
        <v>31</v>
      </c>
      <c r="Q59" s="928">
        <f t="shared" si="5"/>
        <v>4.3149999999999986</v>
      </c>
    </row>
    <row r="60" spans="1:17" x14ac:dyDescent="0.2">
      <c r="A60" s="907">
        <v>33314</v>
      </c>
      <c r="B60" s="915">
        <v>28.25</v>
      </c>
      <c r="C60" s="915">
        <v>29</v>
      </c>
      <c r="E60" s="910">
        <v>37141.309363425928</v>
      </c>
      <c r="F60" s="991" t="s">
        <v>512</v>
      </c>
      <c r="H60" s="970">
        <f t="shared" si="10"/>
        <v>28.625</v>
      </c>
      <c r="J60">
        <f t="shared" si="11"/>
        <v>4.4038461538461542</v>
      </c>
      <c r="L60" s="907">
        <v>48724</v>
      </c>
      <c r="P60">
        <v>31</v>
      </c>
      <c r="Q60" s="928">
        <f t="shared" si="5"/>
        <v>4.3049999999999988</v>
      </c>
    </row>
    <row r="61" spans="1:17" x14ac:dyDescent="0.2">
      <c r="A61" s="907">
        <v>43344</v>
      </c>
      <c r="B61" s="915">
        <v>26.75</v>
      </c>
      <c r="C61" s="915">
        <v>27.5</v>
      </c>
      <c r="E61" s="910">
        <v>37141.309421296297</v>
      </c>
      <c r="F61" s="991" t="s">
        <v>513</v>
      </c>
      <c r="H61" s="970">
        <f t="shared" si="10"/>
        <v>27.125</v>
      </c>
      <c r="J61">
        <f t="shared" si="11"/>
        <v>4.1730769230769234</v>
      </c>
      <c r="L61" s="907">
        <v>48724</v>
      </c>
      <c r="P61">
        <v>31</v>
      </c>
      <c r="Q61" s="928">
        <f t="shared" si="5"/>
        <v>4.3099999999999987</v>
      </c>
    </row>
    <row r="62" spans="1:17" x14ac:dyDescent="0.2">
      <c r="A62" s="907">
        <v>48498</v>
      </c>
      <c r="B62" s="915">
        <v>30</v>
      </c>
      <c r="C62" s="915">
        <v>30.75</v>
      </c>
      <c r="E62" s="910">
        <v>37141.364687499998</v>
      </c>
      <c r="F62" s="991" t="s">
        <v>514</v>
      </c>
      <c r="H62" s="970">
        <f t="shared" si="10"/>
        <v>30.375</v>
      </c>
      <c r="J62">
        <f t="shared" si="11"/>
        <v>4.6730769230769234</v>
      </c>
      <c r="L62" s="907">
        <v>48724</v>
      </c>
      <c r="P62">
        <v>31</v>
      </c>
      <c r="Q62" s="928">
        <f t="shared" si="5"/>
        <v>4.3149999999999986</v>
      </c>
    </row>
    <row r="63" spans="1:17" x14ac:dyDescent="0.2">
      <c r="A63" s="907">
        <v>48500</v>
      </c>
      <c r="B63" s="915">
        <v>39.25</v>
      </c>
      <c r="C63" s="915">
        <v>40.25</v>
      </c>
      <c r="E63" s="910">
        <v>37141.364768518521</v>
      </c>
      <c r="F63" s="991" t="s">
        <v>515</v>
      </c>
      <c r="H63" s="970">
        <f t="shared" si="10"/>
        <v>39.75</v>
      </c>
      <c r="J63">
        <f t="shared" si="11"/>
        <v>6.115384615384615</v>
      </c>
      <c r="L63" s="907">
        <v>48724</v>
      </c>
      <c r="P63">
        <v>31</v>
      </c>
      <c r="Q63" s="928">
        <f t="shared" si="5"/>
        <v>4.3199999999999985</v>
      </c>
    </row>
    <row r="64" spans="1:17" x14ac:dyDescent="0.2">
      <c r="A64" s="907">
        <v>31712</v>
      </c>
      <c r="B64" s="915">
        <v>53.75</v>
      </c>
      <c r="C64" s="915">
        <v>54.5</v>
      </c>
      <c r="E64" s="910">
        <v>37141.364814814813</v>
      </c>
      <c r="F64" s="991" t="s">
        <v>516</v>
      </c>
      <c r="H64" s="970">
        <f t="shared" si="10"/>
        <v>54.125</v>
      </c>
      <c r="J64">
        <f t="shared" si="11"/>
        <v>8.3269230769230766</v>
      </c>
      <c r="L64" s="907">
        <v>48724</v>
      </c>
      <c r="P64">
        <v>31</v>
      </c>
      <c r="Q64" s="928">
        <f t="shared" si="5"/>
        <v>4.3199999999999985</v>
      </c>
    </row>
    <row r="65" spans="1:17" x14ac:dyDescent="0.2">
      <c r="A65" s="907">
        <v>48502</v>
      </c>
      <c r="B65" s="915">
        <v>27.25</v>
      </c>
      <c r="C65" s="915">
        <v>27.75</v>
      </c>
      <c r="E65" s="910">
        <v>37141.268599537034</v>
      </c>
      <c r="F65" s="991" t="s">
        <v>517</v>
      </c>
      <c r="H65" s="970">
        <f t="shared" si="10"/>
        <v>27.5</v>
      </c>
      <c r="J65">
        <f t="shared" si="11"/>
        <v>4.2307692307692308</v>
      </c>
      <c r="L65" s="907">
        <v>48724</v>
      </c>
      <c r="P65">
        <v>31</v>
      </c>
      <c r="Q65" s="928">
        <f t="shared" si="5"/>
        <v>4.3099999999999987</v>
      </c>
    </row>
    <row r="66" spans="1:17" x14ac:dyDescent="0.2">
      <c r="A66" s="907">
        <v>48504</v>
      </c>
      <c r="B66" s="915">
        <v>27.75</v>
      </c>
      <c r="C66" s="915">
        <v>28.5</v>
      </c>
      <c r="E66" s="910">
        <v>37141.26866898148</v>
      </c>
      <c r="F66" s="991" t="s">
        <v>518</v>
      </c>
      <c r="H66" s="970">
        <f t="shared" si="10"/>
        <v>28.125</v>
      </c>
      <c r="J66">
        <f t="shared" si="11"/>
        <v>4.3269230769230766</v>
      </c>
      <c r="L66" s="907">
        <v>48724</v>
      </c>
      <c r="P66">
        <v>31</v>
      </c>
      <c r="Q66" s="928">
        <f t="shared" si="5"/>
        <v>4.3149999999999986</v>
      </c>
    </row>
    <row r="67" spans="1:17" x14ac:dyDescent="0.2">
      <c r="A67" s="907">
        <v>33317</v>
      </c>
      <c r="B67" s="915">
        <v>33.5</v>
      </c>
      <c r="C67" s="915">
        <v>34.25</v>
      </c>
      <c r="E67" s="910">
        <v>37141.362233796295</v>
      </c>
      <c r="F67" s="991" t="s">
        <v>519</v>
      </c>
      <c r="H67" s="970">
        <f t="shared" si="10"/>
        <v>33.875</v>
      </c>
      <c r="J67">
        <f t="shared" si="11"/>
        <v>5.2115384615384617</v>
      </c>
      <c r="L67" s="907">
        <v>48724</v>
      </c>
      <c r="P67">
        <v>31</v>
      </c>
      <c r="Q67" s="928">
        <f t="shared" si="5"/>
        <v>4.3199999999999985</v>
      </c>
    </row>
    <row r="68" spans="1:17" x14ac:dyDescent="0.2">
      <c r="A68" s="907">
        <v>36494</v>
      </c>
      <c r="B68" s="915">
        <v>24.9</v>
      </c>
      <c r="C68" s="915">
        <v>25.3</v>
      </c>
      <c r="E68" s="910">
        <v>37141.361747685187</v>
      </c>
      <c r="F68" s="991" t="s">
        <v>520</v>
      </c>
      <c r="H68" s="970">
        <f t="shared" si="10"/>
        <v>25.1</v>
      </c>
      <c r="J68">
        <f t="shared" si="11"/>
        <v>3.8615384615384616</v>
      </c>
      <c r="L68" s="907">
        <v>48724</v>
      </c>
      <c r="P68">
        <v>31</v>
      </c>
      <c r="Q68" s="928">
        <f t="shared" si="5"/>
        <v>4.3249999999999984</v>
      </c>
    </row>
    <row r="69" spans="1:17" x14ac:dyDescent="0.2">
      <c r="A69" s="907">
        <v>36495</v>
      </c>
      <c r="B69" s="915">
        <v>25.3</v>
      </c>
      <c r="C69" s="915">
        <v>25.7</v>
      </c>
      <c r="E69" s="910">
        <v>37141.298298611109</v>
      </c>
      <c r="F69" s="991" t="s">
        <v>521</v>
      </c>
      <c r="H69" s="970">
        <f t="shared" si="10"/>
        <v>25.5</v>
      </c>
      <c r="J69">
        <f t="shared" si="11"/>
        <v>3.9230769230769229</v>
      </c>
      <c r="L69" s="907">
        <v>48724</v>
      </c>
      <c r="P69">
        <v>31</v>
      </c>
      <c r="Q69" s="928">
        <f t="shared" si="5"/>
        <v>4.3249999999999984</v>
      </c>
    </row>
    <row r="70" spans="1:17" x14ac:dyDescent="0.2">
      <c r="A70" s="907">
        <v>52895</v>
      </c>
      <c r="B70" s="915">
        <v>26.6</v>
      </c>
      <c r="C70" s="915">
        <v>26.9</v>
      </c>
      <c r="E70" s="910">
        <v>37141.298321759263</v>
      </c>
      <c r="F70" s="991" t="s">
        <v>522</v>
      </c>
      <c r="H70" s="970">
        <f t="shared" si="10"/>
        <v>26.75</v>
      </c>
      <c r="J70">
        <f t="shared" si="11"/>
        <v>4.115384615384615</v>
      </c>
      <c r="L70" s="907">
        <v>48724</v>
      </c>
      <c r="P70">
        <v>31</v>
      </c>
      <c r="Q70" s="928">
        <f t="shared" si="5"/>
        <v>4.3149999999999986</v>
      </c>
    </row>
    <row r="71" spans="1:17" x14ac:dyDescent="0.2">
      <c r="A71" s="907">
        <v>26309</v>
      </c>
      <c r="B71" s="915">
        <v>25.6</v>
      </c>
      <c r="C71" s="915">
        <v>25.95</v>
      </c>
      <c r="E71" s="910">
        <v>37141.299131944441</v>
      </c>
      <c r="F71" s="991" t="s">
        <v>523</v>
      </c>
      <c r="H71" s="970">
        <f t="shared" si="10"/>
        <v>25.774999999999999</v>
      </c>
      <c r="J71">
        <f t="shared" si="11"/>
        <v>3.9653846153846151</v>
      </c>
      <c r="L71" s="907">
        <v>48724</v>
      </c>
      <c r="P71">
        <v>31</v>
      </c>
      <c r="Q71" s="928">
        <f t="shared" si="5"/>
        <v>4.3199999999999985</v>
      </c>
    </row>
  </sheetData>
  <phoneticPr fontId="0" type="noConversion"/>
  <conditionalFormatting sqref="B2:C7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Jan Havlíček</cp:lastModifiedBy>
  <cp:lastPrinted>2001-09-06T20:34:39Z</cp:lastPrinted>
  <dcterms:created xsi:type="dcterms:W3CDTF">1998-01-06T00:00:57Z</dcterms:created>
  <dcterms:modified xsi:type="dcterms:W3CDTF">2023-09-15T15:33:51Z</dcterms:modified>
</cp:coreProperties>
</file>