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A899D2-5197-4BDD-A385-82DFA6BDEF89}" xr6:coauthVersionLast="47" xr6:coauthVersionMax="47" xr10:uidLastSave="{00000000-0000-0000-0000-000000000000}"/>
  <bookViews>
    <workbookView xWindow="-120" yWindow="-120" windowWidth="38640" windowHeight="15720" tabRatio="122"/>
  </bookViews>
  <sheets>
    <sheet name="Summary" sheetId="1" r:id="rId1"/>
    <sheet name="Sum (val)" sheetId="74" r:id="rId2"/>
    <sheet name="ENA_9" sheetId="11" r:id="rId3"/>
    <sheet name="ENA_11" sheetId="13" r:id="rId4"/>
    <sheet name="ENA_12" sheetId="14" r:id="rId5"/>
    <sheet name="ENA_13" sheetId="15" r:id="rId6"/>
    <sheet name="QV8401.1" sheetId="63" r:id="rId7"/>
    <sheet name="QL5363.1" sheetId="49" r:id="rId8"/>
    <sheet name="QL5365.1" sheetId="50" r:id="rId9"/>
    <sheet name="QL2915.1" sheetId="40" r:id="rId10"/>
    <sheet name="QL2918.1" sheetId="39" r:id="rId11"/>
    <sheet name="QL5424.1" sheetId="51" r:id="rId12"/>
    <sheet name="QL5444.1" sheetId="52" r:id="rId13"/>
    <sheet name="QL5357.1" sheetId="46" r:id="rId14"/>
    <sheet name="QL5358.1" sheetId="45" r:id="rId15"/>
    <sheet name="QL9270.1" sheetId="47" r:id="rId16"/>
    <sheet name="QL9273.1" sheetId="48" r:id="rId17"/>
    <sheet name="Elpaso_6" sheetId="9" r:id="rId18"/>
    <sheet name="SW17" sheetId="35" r:id="rId19"/>
    <sheet name="SW18" sheetId="36" r:id="rId20"/>
    <sheet name="M337849" sheetId="32" r:id="rId21"/>
    <sheet name="12007624" sheetId="34" r:id="rId22"/>
    <sheet name="QK7503.1" sheetId="33" r:id="rId23"/>
    <sheet name="ENA #QF4410.1" sheetId="42" r:id="rId24"/>
    <sheet name="ENA #QF4447.1" sheetId="43" r:id="rId25"/>
    <sheet name="ENA #QF0967.1" sheetId="57" r:id="rId26"/>
    <sheet name="ENA #QF5953.1" sheetId="58" r:id="rId27"/>
    <sheet name="HJN1006" sheetId="55" r:id="rId28"/>
    <sheet name="HJN1007" sheetId="56" r:id="rId29"/>
    <sheet name="HJN1008" sheetId="70" r:id="rId30"/>
    <sheet name="HJN1009" sheetId="71" r:id="rId31"/>
    <sheet name="HJN1010" sheetId="72" r:id="rId32"/>
    <sheet name="HJN1011" sheetId="73" r:id="rId33"/>
  </sheets>
  <externalReferences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xlnm.Print_Area" localSheetId="1">'Sum (val)'!$A$1:$Z$143</definedName>
    <definedName name="_xlnm.Print_Area" localSheetId="0">Summary!$A$1:$AC$153</definedName>
    <definedName name="_xlnm.Print_Titles" localSheetId="1">'Sum (val)'!$1:$4</definedName>
    <definedName name="_xlnm.Print_Titles" localSheetId="0">Summary!$1:$4</definedName>
  </definedNames>
  <calcPr calcId="92512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4" l="1"/>
  <c r="I10" i="34"/>
  <c r="K10" i="34"/>
  <c r="L10" i="34"/>
  <c r="F12" i="34"/>
  <c r="I12" i="34"/>
  <c r="J12" i="34"/>
  <c r="K12" i="34"/>
  <c r="L12" i="34"/>
  <c r="G14" i="34"/>
  <c r="I14" i="34"/>
  <c r="K14" i="34"/>
  <c r="L14" i="34"/>
  <c r="F16" i="34"/>
  <c r="I16" i="34"/>
  <c r="J16" i="34"/>
  <c r="K16" i="34"/>
  <c r="L16" i="34"/>
  <c r="F19" i="34"/>
  <c r="I19" i="34"/>
  <c r="J19" i="34"/>
  <c r="K19" i="34"/>
  <c r="L19" i="34"/>
  <c r="H9" i="9"/>
  <c r="I9" i="9"/>
  <c r="K9" i="9"/>
  <c r="L9" i="9"/>
  <c r="H10" i="9"/>
  <c r="I10" i="9"/>
  <c r="K10" i="9"/>
  <c r="L10" i="9"/>
  <c r="H11" i="9"/>
  <c r="I11" i="9"/>
  <c r="K11" i="9"/>
  <c r="L11" i="9"/>
  <c r="H12" i="9"/>
  <c r="I12" i="9"/>
  <c r="K12" i="9"/>
  <c r="L12" i="9"/>
  <c r="H13" i="9"/>
  <c r="I13" i="9"/>
  <c r="K13" i="9"/>
  <c r="L13" i="9"/>
  <c r="F15" i="9"/>
  <c r="I15" i="9"/>
  <c r="K15" i="9"/>
  <c r="L15" i="9"/>
  <c r="H17" i="9"/>
  <c r="I17" i="9"/>
  <c r="K17" i="9"/>
  <c r="L17" i="9"/>
  <c r="H18" i="9"/>
  <c r="I18" i="9"/>
  <c r="K18" i="9"/>
  <c r="L18" i="9"/>
  <c r="H19" i="9"/>
  <c r="I19" i="9"/>
  <c r="K19" i="9"/>
  <c r="L19" i="9"/>
  <c r="H20" i="9"/>
  <c r="I20" i="9"/>
  <c r="K20" i="9"/>
  <c r="L20" i="9"/>
  <c r="H21" i="9"/>
  <c r="I21" i="9"/>
  <c r="K21" i="9"/>
  <c r="L21" i="9"/>
  <c r="F23" i="9"/>
  <c r="I23" i="9"/>
  <c r="K23" i="9"/>
  <c r="L23" i="9"/>
  <c r="I25" i="9"/>
  <c r="K25" i="9"/>
  <c r="L25" i="9"/>
  <c r="D10" i="57"/>
  <c r="F10" i="57"/>
  <c r="H10" i="57"/>
  <c r="I10" i="57"/>
  <c r="K10" i="57"/>
  <c r="L10" i="57"/>
  <c r="D11" i="57"/>
  <c r="F11" i="57"/>
  <c r="H11" i="57"/>
  <c r="I11" i="57"/>
  <c r="K11" i="57"/>
  <c r="L11" i="57"/>
  <c r="D12" i="57"/>
  <c r="F12" i="57"/>
  <c r="H12" i="57"/>
  <c r="I12" i="57"/>
  <c r="K12" i="57"/>
  <c r="L12" i="57"/>
  <c r="D13" i="57"/>
  <c r="F13" i="57"/>
  <c r="H13" i="57"/>
  <c r="I13" i="57"/>
  <c r="K13" i="57"/>
  <c r="L13" i="57"/>
  <c r="D14" i="57"/>
  <c r="F14" i="57"/>
  <c r="H14" i="57"/>
  <c r="I14" i="57"/>
  <c r="K14" i="57"/>
  <c r="L14" i="57"/>
  <c r="D15" i="57"/>
  <c r="F15" i="57"/>
  <c r="H15" i="57"/>
  <c r="I15" i="57"/>
  <c r="K15" i="57"/>
  <c r="L15" i="57"/>
  <c r="D16" i="57"/>
  <c r="F16" i="57"/>
  <c r="H16" i="57"/>
  <c r="I16" i="57"/>
  <c r="K16" i="57"/>
  <c r="L16" i="57"/>
  <c r="D17" i="57"/>
  <c r="F17" i="57"/>
  <c r="H17" i="57"/>
  <c r="I17" i="57"/>
  <c r="K17" i="57"/>
  <c r="L17" i="57"/>
  <c r="D18" i="57"/>
  <c r="F18" i="57"/>
  <c r="H18" i="57"/>
  <c r="I18" i="57"/>
  <c r="K18" i="57"/>
  <c r="L18" i="57"/>
  <c r="D19" i="57"/>
  <c r="F19" i="57"/>
  <c r="H19" i="57"/>
  <c r="I19" i="57"/>
  <c r="K19" i="57"/>
  <c r="L19" i="57"/>
  <c r="D20" i="57"/>
  <c r="F20" i="57"/>
  <c r="H20" i="57"/>
  <c r="I20" i="57"/>
  <c r="K20" i="57"/>
  <c r="L20" i="57"/>
  <c r="D21" i="57"/>
  <c r="F21" i="57"/>
  <c r="H21" i="57"/>
  <c r="I21" i="57"/>
  <c r="K21" i="57"/>
  <c r="L21" i="57"/>
  <c r="D22" i="57"/>
  <c r="F22" i="57"/>
  <c r="H22" i="57"/>
  <c r="I22" i="57"/>
  <c r="J22" i="57"/>
  <c r="K22" i="57"/>
  <c r="L22" i="57"/>
  <c r="F25" i="57"/>
  <c r="I25" i="57"/>
  <c r="J25" i="57"/>
  <c r="K25" i="57"/>
  <c r="L25" i="57"/>
  <c r="F10" i="42"/>
  <c r="H10" i="42"/>
  <c r="I10" i="42"/>
  <c r="K10" i="42"/>
  <c r="L10" i="42"/>
  <c r="F11" i="42"/>
  <c r="H11" i="42"/>
  <c r="I11" i="42"/>
  <c r="K11" i="42"/>
  <c r="L11" i="42"/>
  <c r="F12" i="42"/>
  <c r="H12" i="42"/>
  <c r="I12" i="42"/>
  <c r="K12" i="42"/>
  <c r="L12" i="42"/>
  <c r="F13" i="42"/>
  <c r="H13" i="42"/>
  <c r="I13" i="42"/>
  <c r="K13" i="42"/>
  <c r="L13" i="42"/>
  <c r="F14" i="42"/>
  <c r="H14" i="42"/>
  <c r="I14" i="42"/>
  <c r="K14" i="42"/>
  <c r="L14" i="42"/>
  <c r="F15" i="42"/>
  <c r="H15" i="42"/>
  <c r="I15" i="42"/>
  <c r="K15" i="42"/>
  <c r="L15" i="42"/>
  <c r="F16" i="42"/>
  <c r="H16" i="42"/>
  <c r="I16" i="42"/>
  <c r="K16" i="42"/>
  <c r="L16" i="42"/>
  <c r="F17" i="42"/>
  <c r="H17" i="42"/>
  <c r="I17" i="42"/>
  <c r="K17" i="42"/>
  <c r="L17" i="42"/>
  <c r="F18" i="42"/>
  <c r="H18" i="42"/>
  <c r="I18" i="42"/>
  <c r="K18" i="42"/>
  <c r="L18" i="42"/>
  <c r="F19" i="42"/>
  <c r="H19" i="42"/>
  <c r="I19" i="42"/>
  <c r="K19" i="42"/>
  <c r="L19" i="42"/>
  <c r="F20" i="42"/>
  <c r="H20" i="42"/>
  <c r="I20" i="42"/>
  <c r="K20" i="42"/>
  <c r="L20" i="42"/>
  <c r="F21" i="42"/>
  <c r="H21" i="42"/>
  <c r="I21" i="42"/>
  <c r="K21" i="42"/>
  <c r="L21" i="42"/>
  <c r="D22" i="42"/>
  <c r="F22" i="42"/>
  <c r="H22" i="42"/>
  <c r="I22" i="42"/>
  <c r="J22" i="42"/>
  <c r="K22" i="42"/>
  <c r="L22" i="42"/>
  <c r="F25" i="42"/>
  <c r="I25" i="42"/>
  <c r="J25" i="42"/>
  <c r="K25" i="42"/>
  <c r="L25" i="42"/>
  <c r="F10" i="43"/>
  <c r="H10" i="43"/>
  <c r="I10" i="43"/>
  <c r="K10" i="43"/>
  <c r="L10" i="43"/>
  <c r="F11" i="43"/>
  <c r="H11" i="43"/>
  <c r="I11" i="43"/>
  <c r="K11" i="43"/>
  <c r="L11" i="43"/>
  <c r="F12" i="43"/>
  <c r="H12" i="43"/>
  <c r="I12" i="43"/>
  <c r="K12" i="43"/>
  <c r="L12" i="43"/>
  <c r="F13" i="43"/>
  <c r="H13" i="43"/>
  <c r="I13" i="43"/>
  <c r="K13" i="43"/>
  <c r="L13" i="43"/>
  <c r="F14" i="43"/>
  <c r="H14" i="43"/>
  <c r="I14" i="43"/>
  <c r="K14" i="43"/>
  <c r="L14" i="43"/>
  <c r="F15" i="43"/>
  <c r="H15" i="43"/>
  <c r="I15" i="43"/>
  <c r="K15" i="43"/>
  <c r="L15" i="43"/>
  <c r="F16" i="43"/>
  <c r="H16" i="43"/>
  <c r="I16" i="43"/>
  <c r="K16" i="43"/>
  <c r="L16" i="43"/>
  <c r="F17" i="43"/>
  <c r="H17" i="43"/>
  <c r="I17" i="43"/>
  <c r="K17" i="43"/>
  <c r="L17" i="43"/>
  <c r="F18" i="43"/>
  <c r="H18" i="43"/>
  <c r="I18" i="43"/>
  <c r="K18" i="43"/>
  <c r="L18" i="43"/>
  <c r="F19" i="43"/>
  <c r="H19" i="43"/>
  <c r="I19" i="43"/>
  <c r="K19" i="43"/>
  <c r="L19" i="43"/>
  <c r="F20" i="43"/>
  <c r="H20" i="43"/>
  <c r="I20" i="43"/>
  <c r="K20" i="43"/>
  <c r="L20" i="43"/>
  <c r="F21" i="43"/>
  <c r="H21" i="43"/>
  <c r="I21" i="43"/>
  <c r="K21" i="43"/>
  <c r="L21" i="43"/>
  <c r="D22" i="43"/>
  <c r="F22" i="43"/>
  <c r="H22" i="43"/>
  <c r="I22" i="43"/>
  <c r="J22" i="43"/>
  <c r="K22" i="43"/>
  <c r="L22" i="43"/>
  <c r="F25" i="43"/>
  <c r="I25" i="43"/>
  <c r="J25" i="43"/>
  <c r="K25" i="43"/>
  <c r="L25" i="43"/>
  <c r="D10" i="58"/>
  <c r="F10" i="58"/>
  <c r="H10" i="58"/>
  <c r="I10" i="58"/>
  <c r="K10" i="58"/>
  <c r="L10" i="58"/>
  <c r="D11" i="58"/>
  <c r="F11" i="58"/>
  <c r="H11" i="58"/>
  <c r="I11" i="58"/>
  <c r="K11" i="58"/>
  <c r="L11" i="58"/>
  <c r="D12" i="58"/>
  <c r="F12" i="58"/>
  <c r="H12" i="58"/>
  <c r="I12" i="58"/>
  <c r="K12" i="58"/>
  <c r="L12" i="58"/>
  <c r="D13" i="58"/>
  <c r="F13" i="58"/>
  <c r="H13" i="58"/>
  <c r="I13" i="58"/>
  <c r="K13" i="58"/>
  <c r="L13" i="58"/>
  <c r="D14" i="58"/>
  <c r="F14" i="58"/>
  <c r="H14" i="58"/>
  <c r="I14" i="58"/>
  <c r="K14" i="58"/>
  <c r="L14" i="58"/>
  <c r="D15" i="58"/>
  <c r="F15" i="58"/>
  <c r="H15" i="58"/>
  <c r="I15" i="58"/>
  <c r="K15" i="58"/>
  <c r="L15" i="58"/>
  <c r="D16" i="58"/>
  <c r="F16" i="58"/>
  <c r="H16" i="58"/>
  <c r="I16" i="58"/>
  <c r="K16" i="58"/>
  <c r="L16" i="58"/>
  <c r="D17" i="58"/>
  <c r="F17" i="58"/>
  <c r="H17" i="58"/>
  <c r="I17" i="58"/>
  <c r="K17" i="58"/>
  <c r="L17" i="58"/>
  <c r="D18" i="58"/>
  <c r="F18" i="58"/>
  <c r="H18" i="58"/>
  <c r="I18" i="58"/>
  <c r="K18" i="58"/>
  <c r="L18" i="58"/>
  <c r="D19" i="58"/>
  <c r="F19" i="58"/>
  <c r="H19" i="58"/>
  <c r="I19" i="58"/>
  <c r="K19" i="58"/>
  <c r="L19" i="58"/>
  <c r="D20" i="58"/>
  <c r="F20" i="58"/>
  <c r="H20" i="58"/>
  <c r="I20" i="58"/>
  <c r="K20" i="58"/>
  <c r="L20" i="58"/>
  <c r="D21" i="58"/>
  <c r="F21" i="58"/>
  <c r="H21" i="58"/>
  <c r="I21" i="58"/>
  <c r="K21" i="58"/>
  <c r="L21" i="58"/>
  <c r="D22" i="58"/>
  <c r="F22" i="58"/>
  <c r="H22" i="58"/>
  <c r="I22" i="58"/>
  <c r="J22" i="58"/>
  <c r="K22" i="58"/>
  <c r="L22" i="58"/>
  <c r="F25" i="58"/>
  <c r="I25" i="58"/>
  <c r="J25" i="58"/>
  <c r="K25" i="58"/>
  <c r="L25" i="58"/>
  <c r="F9" i="13"/>
  <c r="I9" i="13"/>
  <c r="J9" i="13"/>
  <c r="L9" i="13"/>
  <c r="F10" i="13"/>
  <c r="I10" i="13"/>
  <c r="J10" i="13"/>
  <c r="L10" i="13"/>
  <c r="F11" i="13"/>
  <c r="I11" i="13"/>
  <c r="J11" i="13"/>
  <c r="L11" i="13"/>
  <c r="F12" i="13"/>
  <c r="I12" i="13"/>
  <c r="J12" i="13"/>
  <c r="L12" i="13"/>
  <c r="F13" i="13"/>
  <c r="I13" i="13"/>
  <c r="J13" i="13"/>
  <c r="L13" i="13"/>
  <c r="F14" i="13"/>
  <c r="I14" i="13"/>
  <c r="K14" i="13"/>
  <c r="L14" i="13"/>
  <c r="F15" i="13"/>
  <c r="H15" i="13"/>
  <c r="I15" i="13"/>
  <c r="K15" i="13"/>
  <c r="L15" i="13"/>
  <c r="F16" i="13"/>
  <c r="H16" i="13"/>
  <c r="I16" i="13"/>
  <c r="K16" i="13"/>
  <c r="L16" i="13"/>
  <c r="F17" i="13"/>
  <c r="H17" i="13"/>
  <c r="I17" i="13"/>
  <c r="K17" i="13"/>
  <c r="L17" i="13"/>
  <c r="F18" i="13"/>
  <c r="H18" i="13"/>
  <c r="I18" i="13"/>
  <c r="K18" i="13"/>
  <c r="L18" i="13"/>
  <c r="F19" i="13"/>
  <c r="H19" i="13"/>
  <c r="I19" i="13"/>
  <c r="K19" i="13"/>
  <c r="L19" i="13"/>
  <c r="F20" i="13"/>
  <c r="H20" i="13"/>
  <c r="I20" i="13"/>
  <c r="K20" i="13"/>
  <c r="L20" i="13"/>
  <c r="F22" i="13"/>
  <c r="H22" i="13"/>
  <c r="I22" i="13"/>
  <c r="J22" i="13"/>
  <c r="K22" i="13"/>
  <c r="L22" i="13"/>
  <c r="F26" i="13"/>
  <c r="I26" i="13"/>
  <c r="J26" i="13"/>
  <c r="L26" i="13"/>
  <c r="F27" i="13"/>
  <c r="I27" i="13"/>
  <c r="J27" i="13"/>
  <c r="L27" i="13"/>
  <c r="F28" i="13"/>
  <c r="I28" i="13"/>
  <c r="J28" i="13"/>
  <c r="L28" i="13"/>
  <c r="F29" i="13"/>
  <c r="I29" i="13"/>
  <c r="J29" i="13"/>
  <c r="L29" i="13"/>
  <c r="F30" i="13"/>
  <c r="I30" i="13"/>
  <c r="J30" i="13"/>
  <c r="L30" i="13"/>
  <c r="F31" i="13"/>
  <c r="I31" i="13"/>
  <c r="K31" i="13"/>
  <c r="L31" i="13"/>
  <c r="F32" i="13"/>
  <c r="H32" i="13"/>
  <c r="I32" i="13"/>
  <c r="K32" i="13"/>
  <c r="L32" i="13"/>
  <c r="F33" i="13"/>
  <c r="H33" i="13"/>
  <c r="I33" i="13"/>
  <c r="K33" i="13"/>
  <c r="L33" i="13"/>
  <c r="F34" i="13"/>
  <c r="H34" i="13"/>
  <c r="I34" i="13"/>
  <c r="K34" i="13"/>
  <c r="L34" i="13"/>
  <c r="F35" i="13"/>
  <c r="H35" i="13"/>
  <c r="I35" i="13"/>
  <c r="K35" i="13"/>
  <c r="L35" i="13"/>
  <c r="F36" i="13"/>
  <c r="H36" i="13"/>
  <c r="I36" i="13"/>
  <c r="K36" i="13"/>
  <c r="L36" i="13"/>
  <c r="F37" i="13"/>
  <c r="H37" i="13"/>
  <c r="I37" i="13"/>
  <c r="K37" i="13"/>
  <c r="L37" i="13"/>
  <c r="F39" i="13"/>
  <c r="H39" i="13"/>
  <c r="I39" i="13"/>
  <c r="J39" i="13"/>
  <c r="K39" i="13"/>
  <c r="L39" i="13"/>
  <c r="F41" i="13"/>
  <c r="I41" i="13"/>
  <c r="J41" i="13"/>
  <c r="K41" i="13"/>
  <c r="L41" i="13"/>
  <c r="F9" i="14"/>
  <c r="I9" i="14"/>
  <c r="J9" i="14"/>
  <c r="L9" i="14"/>
  <c r="F10" i="14"/>
  <c r="I10" i="14"/>
  <c r="J10" i="14"/>
  <c r="L10" i="14"/>
  <c r="F11" i="14"/>
  <c r="I11" i="14"/>
  <c r="J11" i="14"/>
  <c r="L11" i="14"/>
  <c r="F12" i="14"/>
  <c r="I12" i="14"/>
  <c r="J12" i="14"/>
  <c r="L12" i="14"/>
  <c r="F13" i="14"/>
  <c r="I13" i="14"/>
  <c r="J13" i="14"/>
  <c r="L13" i="14"/>
  <c r="F14" i="14"/>
  <c r="I14" i="14"/>
  <c r="K14" i="14"/>
  <c r="L14" i="14"/>
  <c r="F15" i="14"/>
  <c r="H15" i="14"/>
  <c r="I15" i="14"/>
  <c r="K15" i="14"/>
  <c r="L15" i="14"/>
  <c r="F16" i="14"/>
  <c r="H16" i="14"/>
  <c r="I16" i="14"/>
  <c r="K16" i="14"/>
  <c r="L16" i="14"/>
  <c r="F17" i="14"/>
  <c r="H17" i="14"/>
  <c r="I17" i="14"/>
  <c r="K17" i="14"/>
  <c r="L17" i="14"/>
  <c r="F18" i="14"/>
  <c r="H18" i="14"/>
  <c r="I18" i="14"/>
  <c r="K18" i="14"/>
  <c r="L18" i="14"/>
  <c r="F19" i="14"/>
  <c r="H19" i="14"/>
  <c r="I19" i="14"/>
  <c r="K19" i="14"/>
  <c r="L19" i="14"/>
  <c r="F20" i="14"/>
  <c r="H20" i="14"/>
  <c r="I20" i="14"/>
  <c r="K20" i="14"/>
  <c r="L20" i="14"/>
  <c r="F22" i="14"/>
  <c r="H22" i="14"/>
  <c r="I22" i="14"/>
  <c r="J22" i="14"/>
  <c r="K22" i="14"/>
  <c r="L22" i="14"/>
  <c r="F26" i="14"/>
  <c r="I26" i="14"/>
  <c r="J26" i="14"/>
  <c r="L26" i="14"/>
  <c r="F27" i="14"/>
  <c r="I27" i="14"/>
  <c r="J27" i="14"/>
  <c r="L27" i="14"/>
  <c r="F28" i="14"/>
  <c r="I28" i="14"/>
  <c r="J28" i="14"/>
  <c r="L28" i="14"/>
  <c r="F29" i="14"/>
  <c r="I29" i="14"/>
  <c r="J29" i="14"/>
  <c r="L29" i="14"/>
  <c r="F30" i="14"/>
  <c r="I30" i="14"/>
  <c r="J30" i="14"/>
  <c r="L30" i="14"/>
  <c r="F31" i="14"/>
  <c r="I31" i="14"/>
  <c r="K31" i="14"/>
  <c r="L31" i="14"/>
  <c r="F32" i="14"/>
  <c r="H32" i="14"/>
  <c r="I32" i="14"/>
  <c r="K32" i="14"/>
  <c r="L32" i="14"/>
  <c r="F33" i="14"/>
  <c r="H33" i="14"/>
  <c r="I33" i="14"/>
  <c r="K33" i="14"/>
  <c r="L33" i="14"/>
  <c r="F34" i="14"/>
  <c r="H34" i="14"/>
  <c r="I34" i="14"/>
  <c r="K34" i="14"/>
  <c r="L34" i="14"/>
  <c r="F35" i="14"/>
  <c r="H35" i="14"/>
  <c r="I35" i="14"/>
  <c r="K35" i="14"/>
  <c r="L35" i="14"/>
  <c r="F36" i="14"/>
  <c r="H36" i="14"/>
  <c r="I36" i="14"/>
  <c r="K36" i="14"/>
  <c r="L36" i="14"/>
  <c r="F37" i="14"/>
  <c r="H37" i="14"/>
  <c r="I37" i="14"/>
  <c r="K37" i="14"/>
  <c r="L37" i="14"/>
  <c r="F39" i="14"/>
  <c r="H39" i="14"/>
  <c r="I39" i="14"/>
  <c r="J39" i="14"/>
  <c r="K39" i="14"/>
  <c r="L39" i="14"/>
  <c r="F41" i="14"/>
  <c r="I41" i="14"/>
  <c r="J41" i="14"/>
  <c r="K41" i="14"/>
  <c r="L41" i="14"/>
  <c r="F9" i="15"/>
  <c r="I9" i="15"/>
  <c r="J9" i="15"/>
  <c r="L9" i="15"/>
  <c r="F10" i="15"/>
  <c r="I10" i="15"/>
  <c r="J10" i="15"/>
  <c r="L10" i="15"/>
  <c r="F11" i="15"/>
  <c r="I11" i="15"/>
  <c r="J11" i="15"/>
  <c r="L11" i="15"/>
  <c r="F12" i="15"/>
  <c r="I12" i="15"/>
  <c r="J12" i="15"/>
  <c r="L12" i="15"/>
  <c r="F13" i="15"/>
  <c r="I13" i="15"/>
  <c r="J13" i="15"/>
  <c r="L13" i="15"/>
  <c r="F14" i="15"/>
  <c r="I14" i="15"/>
  <c r="K14" i="15"/>
  <c r="L14" i="15"/>
  <c r="F15" i="15"/>
  <c r="H15" i="15"/>
  <c r="I15" i="15"/>
  <c r="K15" i="15"/>
  <c r="L15" i="15"/>
  <c r="F16" i="15"/>
  <c r="H16" i="15"/>
  <c r="I16" i="15"/>
  <c r="K16" i="15"/>
  <c r="L16" i="15"/>
  <c r="F17" i="15"/>
  <c r="H17" i="15"/>
  <c r="I17" i="15"/>
  <c r="K17" i="15"/>
  <c r="L17" i="15"/>
  <c r="F18" i="15"/>
  <c r="H18" i="15"/>
  <c r="I18" i="15"/>
  <c r="K18" i="15"/>
  <c r="L18" i="15"/>
  <c r="F19" i="15"/>
  <c r="H19" i="15"/>
  <c r="I19" i="15"/>
  <c r="K19" i="15"/>
  <c r="L19" i="15"/>
  <c r="F20" i="15"/>
  <c r="H20" i="15"/>
  <c r="I20" i="15"/>
  <c r="K20" i="15"/>
  <c r="L20" i="15"/>
  <c r="F22" i="15"/>
  <c r="H22" i="15"/>
  <c r="I22" i="15"/>
  <c r="J22" i="15"/>
  <c r="K22" i="15"/>
  <c r="L22" i="15"/>
  <c r="F26" i="15"/>
  <c r="I26" i="15"/>
  <c r="J26" i="15"/>
  <c r="L26" i="15"/>
  <c r="F27" i="15"/>
  <c r="I27" i="15"/>
  <c r="J27" i="15"/>
  <c r="L27" i="15"/>
  <c r="F28" i="15"/>
  <c r="I28" i="15"/>
  <c r="J28" i="15"/>
  <c r="L28" i="15"/>
  <c r="F29" i="15"/>
  <c r="I29" i="15"/>
  <c r="J29" i="15"/>
  <c r="L29" i="15"/>
  <c r="F30" i="15"/>
  <c r="I30" i="15"/>
  <c r="J30" i="15"/>
  <c r="L30" i="15"/>
  <c r="F31" i="15"/>
  <c r="I31" i="15"/>
  <c r="K31" i="15"/>
  <c r="L31" i="15"/>
  <c r="F32" i="15"/>
  <c r="H32" i="15"/>
  <c r="I32" i="15"/>
  <c r="K32" i="15"/>
  <c r="L32" i="15"/>
  <c r="F33" i="15"/>
  <c r="H33" i="15"/>
  <c r="I33" i="15"/>
  <c r="K33" i="15"/>
  <c r="L33" i="15"/>
  <c r="F34" i="15"/>
  <c r="H34" i="15"/>
  <c r="I34" i="15"/>
  <c r="K34" i="15"/>
  <c r="L34" i="15"/>
  <c r="F35" i="15"/>
  <c r="H35" i="15"/>
  <c r="I35" i="15"/>
  <c r="K35" i="15"/>
  <c r="L35" i="15"/>
  <c r="F36" i="15"/>
  <c r="H36" i="15"/>
  <c r="I36" i="15"/>
  <c r="K36" i="15"/>
  <c r="L36" i="15"/>
  <c r="F37" i="15"/>
  <c r="H37" i="15"/>
  <c r="I37" i="15"/>
  <c r="K37" i="15"/>
  <c r="L37" i="15"/>
  <c r="F39" i="15"/>
  <c r="H39" i="15"/>
  <c r="I39" i="15"/>
  <c r="J39" i="15"/>
  <c r="K39" i="15"/>
  <c r="L39" i="15"/>
  <c r="F41" i="15"/>
  <c r="I41" i="15"/>
  <c r="J41" i="15"/>
  <c r="K41" i="15"/>
  <c r="L41" i="15"/>
  <c r="F9" i="11"/>
  <c r="I9" i="11"/>
  <c r="J9" i="11"/>
  <c r="L9" i="11"/>
  <c r="F10" i="11"/>
  <c r="I10" i="11"/>
  <c r="J10" i="11"/>
  <c r="L10" i="11"/>
  <c r="F11" i="11"/>
  <c r="I11" i="11"/>
  <c r="J11" i="11"/>
  <c r="L11" i="11"/>
  <c r="F12" i="11"/>
  <c r="I12" i="11"/>
  <c r="J12" i="11"/>
  <c r="L12" i="11"/>
  <c r="F13" i="11"/>
  <c r="I13" i="11"/>
  <c r="J13" i="11"/>
  <c r="L13" i="11"/>
  <c r="F14" i="11"/>
  <c r="I14" i="11"/>
  <c r="K14" i="11"/>
  <c r="L14" i="11"/>
  <c r="F15" i="11"/>
  <c r="H15" i="11"/>
  <c r="I15" i="11"/>
  <c r="K15" i="11"/>
  <c r="L15" i="11"/>
  <c r="F16" i="11"/>
  <c r="H16" i="11"/>
  <c r="I16" i="11"/>
  <c r="K16" i="11"/>
  <c r="L16" i="11"/>
  <c r="F17" i="11"/>
  <c r="H17" i="11"/>
  <c r="I17" i="11"/>
  <c r="K17" i="11"/>
  <c r="L17" i="11"/>
  <c r="F18" i="11"/>
  <c r="H18" i="11"/>
  <c r="I18" i="11"/>
  <c r="K18" i="11"/>
  <c r="L18" i="11"/>
  <c r="F19" i="11"/>
  <c r="H19" i="11"/>
  <c r="I19" i="11"/>
  <c r="K19" i="11"/>
  <c r="L19" i="11"/>
  <c r="F20" i="11"/>
  <c r="H20" i="11"/>
  <c r="I20" i="11"/>
  <c r="K20" i="11"/>
  <c r="L20" i="11"/>
  <c r="F22" i="11"/>
  <c r="H22" i="11"/>
  <c r="I22" i="11"/>
  <c r="J22" i="11"/>
  <c r="K22" i="11"/>
  <c r="L22" i="11"/>
  <c r="F26" i="11"/>
  <c r="I26" i="11"/>
  <c r="J26" i="11"/>
  <c r="L26" i="11"/>
  <c r="F27" i="11"/>
  <c r="I27" i="11"/>
  <c r="J27" i="11"/>
  <c r="L27" i="11"/>
  <c r="F28" i="11"/>
  <c r="I28" i="11"/>
  <c r="J28" i="11"/>
  <c r="L28" i="11"/>
  <c r="F29" i="11"/>
  <c r="I29" i="11"/>
  <c r="J29" i="11"/>
  <c r="L29" i="11"/>
  <c r="F30" i="11"/>
  <c r="I30" i="11"/>
  <c r="J30" i="11"/>
  <c r="L30" i="11"/>
  <c r="F31" i="11"/>
  <c r="I31" i="11"/>
  <c r="K31" i="11"/>
  <c r="L31" i="11"/>
  <c r="F32" i="11"/>
  <c r="H32" i="11"/>
  <c r="I32" i="11"/>
  <c r="K32" i="11"/>
  <c r="L32" i="11"/>
  <c r="F33" i="11"/>
  <c r="H33" i="11"/>
  <c r="I33" i="11"/>
  <c r="K33" i="11"/>
  <c r="L33" i="11"/>
  <c r="F34" i="11"/>
  <c r="H34" i="11"/>
  <c r="I34" i="11"/>
  <c r="K34" i="11"/>
  <c r="L34" i="11"/>
  <c r="F35" i="11"/>
  <c r="H35" i="11"/>
  <c r="I35" i="11"/>
  <c r="K35" i="11"/>
  <c r="L35" i="11"/>
  <c r="F36" i="11"/>
  <c r="H36" i="11"/>
  <c r="I36" i="11"/>
  <c r="K36" i="11"/>
  <c r="L36" i="11"/>
  <c r="F37" i="11"/>
  <c r="H37" i="11"/>
  <c r="I37" i="11"/>
  <c r="K37" i="11"/>
  <c r="L37" i="11"/>
  <c r="F39" i="11"/>
  <c r="I39" i="11"/>
  <c r="J39" i="11"/>
  <c r="K39" i="11"/>
  <c r="L39" i="11"/>
  <c r="F41" i="11"/>
  <c r="I41" i="11"/>
  <c r="J41" i="11"/>
  <c r="K41" i="11"/>
  <c r="L41" i="11"/>
  <c r="D10" i="55"/>
  <c r="I10" i="55"/>
  <c r="J10" i="55"/>
  <c r="L10" i="55"/>
  <c r="D11" i="55"/>
  <c r="I11" i="55"/>
  <c r="J11" i="55"/>
  <c r="L11" i="55"/>
  <c r="D12" i="55"/>
  <c r="I12" i="55"/>
  <c r="K12" i="55"/>
  <c r="L12" i="55"/>
  <c r="D13" i="55"/>
  <c r="H13" i="55"/>
  <c r="I13" i="55"/>
  <c r="K13" i="55"/>
  <c r="L13" i="55"/>
  <c r="D14" i="55"/>
  <c r="H14" i="55"/>
  <c r="I14" i="55"/>
  <c r="K14" i="55"/>
  <c r="L14" i="55"/>
  <c r="D15" i="55"/>
  <c r="H15" i="55"/>
  <c r="I15" i="55"/>
  <c r="K15" i="55"/>
  <c r="L15" i="55"/>
  <c r="D16" i="55"/>
  <c r="H16" i="55"/>
  <c r="I16" i="55"/>
  <c r="K16" i="55"/>
  <c r="L16" i="55"/>
  <c r="D18" i="55"/>
  <c r="F18" i="55"/>
  <c r="H18" i="55"/>
  <c r="I18" i="55"/>
  <c r="J18" i="55"/>
  <c r="K18" i="55"/>
  <c r="L18" i="55"/>
  <c r="D10" i="56"/>
  <c r="I10" i="56"/>
  <c r="J10" i="56"/>
  <c r="L10" i="56"/>
  <c r="D11" i="56"/>
  <c r="I11" i="56"/>
  <c r="J11" i="56"/>
  <c r="L11" i="56"/>
  <c r="D12" i="56"/>
  <c r="I12" i="56"/>
  <c r="K12" i="56"/>
  <c r="L12" i="56"/>
  <c r="D13" i="56"/>
  <c r="H13" i="56"/>
  <c r="I13" i="56"/>
  <c r="K13" i="56"/>
  <c r="L13" i="56"/>
  <c r="D14" i="56"/>
  <c r="H14" i="56"/>
  <c r="I14" i="56"/>
  <c r="K14" i="56"/>
  <c r="L14" i="56"/>
  <c r="D15" i="56"/>
  <c r="H15" i="56"/>
  <c r="I15" i="56"/>
  <c r="K15" i="56"/>
  <c r="L15" i="56"/>
  <c r="D16" i="56"/>
  <c r="H16" i="56"/>
  <c r="I16" i="56"/>
  <c r="K16" i="56"/>
  <c r="L16" i="56"/>
  <c r="D18" i="56"/>
  <c r="F18" i="56"/>
  <c r="H18" i="56"/>
  <c r="I18" i="56"/>
  <c r="J18" i="56"/>
  <c r="K18" i="56"/>
  <c r="L18" i="56"/>
  <c r="D10" i="70"/>
  <c r="I10" i="70"/>
  <c r="K10" i="70"/>
  <c r="L10" i="70"/>
  <c r="D11" i="70"/>
  <c r="H11" i="70"/>
  <c r="I11" i="70"/>
  <c r="K11" i="70"/>
  <c r="L11" i="70"/>
  <c r="D12" i="70"/>
  <c r="H12" i="70"/>
  <c r="I12" i="70"/>
  <c r="K12" i="70"/>
  <c r="L12" i="70"/>
  <c r="D13" i="70"/>
  <c r="H13" i="70"/>
  <c r="I13" i="70"/>
  <c r="K13" i="70"/>
  <c r="L13" i="70"/>
  <c r="D14" i="70"/>
  <c r="H14" i="70"/>
  <c r="I14" i="70"/>
  <c r="K14" i="70"/>
  <c r="L14" i="70"/>
  <c r="D16" i="70"/>
  <c r="F16" i="70"/>
  <c r="H16" i="70"/>
  <c r="I16" i="70"/>
  <c r="J16" i="70"/>
  <c r="K16" i="70"/>
  <c r="L16" i="70"/>
  <c r="D10" i="71"/>
  <c r="I10" i="71"/>
  <c r="K10" i="71"/>
  <c r="L10" i="71"/>
  <c r="D11" i="71"/>
  <c r="H11" i="71"/>
  <c r="I11" i="71"/>
  <c r="K11" i="71"/>
  <c r="L11" i="71"/>
  <c r="D12" i="71"/>
  <c r="H12" i="71"/>
  <c r="I12" i="71"/>
  <c r="K12" i="71"/>
  <c r="L12" i="71"/>
  <c r="D13" i="71"/>
  <c r="H13" i="71"/>
  <c r="I13" i="71"/>
  <c r="K13" i="71"/>
  <c r="L13" i="71"/>
  <c r="D14" i="71"/>
  <c r="H14" i="71"/>
  <c r="I14" i="71"/>
  <c r="K14" i="71"/>
  <c r="L14" i="71"/>
  <c r="D16" i="71"/>
  <c r="F16" i="71"/>
  <c r="H16" i="71"/>
  <c r="I16" i="71"/>
  <c r="J16" i="71"/>
  <c r="K16" i="71"/>
  <c r="L16" i="71"/>
  <c r="D10" i="72"/>
  <c r="E10" i="72"/>
  <c r="I10" i="72"/>
  <c r="K10" i="72"/>
  <c r="L10" i="72"/>
  <c r="D11" i="72"/>
  <c r="I11" i="72"/>
  <c r="K11" i="72"/>
  <c r="L11" i="72"/>
  <c r="D12" i="72"/>
  <c r="I12" i="72"/>
  <c r="K12" i="72"/>
  <c r="L12" i="72"/>
  <c r="D13" i="72"/>
  <c r="I13" i="72"/>
  <c r="K13" i="72"/>
  <c r="L13" i="72"/>
  <c r="D14" i="72"/>
  <c r="I14" i="72"/>
  <c r="K14" i="72"/>
  <c r="L14" i="72"/>
  <c r="D15" i="72"/>
  <c r="I15" i="72"/>
  <c r="K15" i="72"/>
  <c r="L15" i="72"/>
  <c r="D16" i="72"/>
  <c r="I16" i="72"/>
  <c r="K16" i="72"/>
  <c r="L16" i="72"/>
  <c r="D17" i="72"/>
  <c r="I17" i="72"/>
  <c r="K17" i="72"/>
  <c r="L17" i="72"/>
  <c r="D18" i="72"/>
  <c r="I18" i="72"/>
  <c r="K18" i="72"/>
  <c r="L18" i="72"/>
  <c r="D19" i="72"/>
  <c r="I19" i="72"/>
  <c r="K19" i="72"/>
  <c r="L19" i="72"/>
  <c r="D20" i="72"/>
  <c r="I20" i="72"/>
  <c r="K20" i="72"/>
  <c r="L20" i="72"/>
  <c r="D21" i="72"/>
  <c r="I21" i="72"/>
  <c r="K21" i="72"/>
  <c r="L21" i="72"/>
  <c r="D22" i="72"/>
  <c r="I22" i="72"/>
  <c r="K22" i="72"/>
  <c r="L22" i="72"/>
  <c r="D23" i="72"/>
  <c r="I23" i="72"/>
  <c r="K23" i="72"/>
  <c r="L23" i="72"/>
  <c r="D24" i="72"/>
  <c r="I24" i="72"/>
  <c r="K24" i="72"/>
  <c r="L24" i="72"/>
  <c r="D25" i="72"/>
  <c r="I25" i="72"/>
  <c r="K25" i="72"/>
  <c r="L25" i="72"/>
  <c r="D26" i="72"/>
  <c r="I26" i="72"/>
  <c r="K26" i="72"/>
  <c r="L26" i="72"/>
  <c r="D27" i="72"/>
  <c r="I27" i="72"/>
  <c r="K27" i="72"/>
  <c r="L27" i="72"/>
  <c r="D28" i="72"/>
  <c r="I28" i="72"/>
  <c r="K28" i="72"/>
  <c r="L28" i="72"/>
  <c r="D29" i="72"/>
  <c r="I29" i="72"/>
  <c r="K29" i="72"/>
  <c r="L29" i="72"/>
  <c r="D30" i="72"/>
  <c r="I30" i="72"/>
  <c r="K30" i="72"/>
  <c r="L30" i="72"/>
  <c r="D31" i="72"/>
  <c r="I31" i="72"/>
  <c r="K31" i="72"/>
  <c r="L31" i="72"/>
  <c r="D32" i="72"/>
  <c r="I32" i="72"/>
  <c r="K32" i="72"/>
  <c r="L32" i="72"/>
  <c r="D33" i="72"/>
  <c r="I33" i="72"/>
  <c r="K33" i="72"/>
  <c r="L33" i="72"/>
  <c r="D34" i="72"/>
  <c r="I34" i="72"/>
  <c r="K34" i="72"/>
  <c r="L34" i="72"/>
  <c r="D35" i="72"/>
  <c r="I35" i="72"/>
  <c r="K35" i="72"/>
  <c r="L35" i="72"/>
  <c r="D36" i="72"/>
  <c r="I36" i="72"/>
  <c r="K36" i="72"/>
  <c r="L36" i="72"/>
  <c r="D37" i="72"/>
  <c r="I37" i="72"/>
  <c r="K37" i="72"/>
  <c r="L37" i="72"/>
  <c r="D38" i="72"/>
  <c r="I38" i="72"/>
  <c r="K38" i="72"/>
  <c r="L38" i="72"/>
  <c r="D39" i="72"/>
  <c r="I39" i="72"/>
  <c r="K39" i="72"/>
  <c r="L39" i="72"/>
  <c r="D41" i="72"/>
  <c r="F41" i="72"/>
  <c r="H41" i="72"/>
  <c r="I41" i="72"/>
  <c r="J41" i="72"/>
  <c r="K41" i="72"/>
  <c r="L41" i="72"/>
  <c r="D10" i="73"/>
  <c r="I10" i="73"/>
  <c r="K10" i="73"/>
  <c r="L10" i="73"/>
  <c r="D11" i="73"/>
  <c r="I11" i="73"/>
  <c r="K11" i="73"/>
  <c r="L11" i="73"/>
  <c r="D12" i="73"/>
  <c r="I12" i="73"/>
  <c r="K12" i="73"/>
  <c r="L12" i="73"/>
  <c r="D13" i="73"/>
  <c r="I13" i="73"/>
  <c r="K13" i="73"/>
  <c r="L13" i="73"/>
  <c r="D14" i="73"/>
  <c r="I14" i="73"/>
  <c r="K14" i="73"/>
  <c r="L14" i="73"/>
  <c r="D15" i="73"/>
  <c r="I15" i="73"/>
  <c r="K15" i="73"/>
  <c r="L15" i="73"/>
  <c r="D16" i="73"/>
  <c r="I16" i="73"/>
  <c r="K16" i="73"/>
  <c r="L16" i="73"/>
  <c r="D17" i="73"/>
  <c r="I17" i="73"/>
  <c r="K17" i="73"/>
  <c r="L17" i="73"/>
  <c r="D18" i="73"/>
  <c r="I18" i="73"/>
  <c r="K18" i="73"/>
  <c r="L18" i="73"/>
  <c r="D19" i="73"/>
  <c r="I19" i="73"/>
  <c r="K19" i="73"/>
  <c r="L19" i="73"/>
  <c r="D20" i="73"/>
  <c r="I20" i="73"/>
  <c r="K20" i="73"/>
  <c r="L20" i="73"/>
  <c r="D21" i="73"/>
  <c r="I21" i="73"/>
  <c r="K21" i="73"/>
  <c r="L21" i="73"/>
  <c r="D22" i="73"/>
  <c r="I22" i="73"/>
  <c r="K22" i="73"/>
  <c r="L22" i="73"/>
  <c r="D23" i="73"/>
  <c r="I23" i="73"/>
  <c r="K23" i="73"/>
  <c r="L23" i="73"/>
  <c r="D24" i="73"/>
  <c r="I24" i="73"/>
  <c r="K24" i="73"/>
  <c r="L24" i="73"/>
  <c r="D25" i="73"/>
  <c r="I25" i="73"/>
  <c r="K25" i="73"/>
  <c r="L25" i="73"/>
  <c r="D26" i="73"/>
  <c r="I26" i="73"/>
  <c r="K26" i="73"/>
  <c r="L26" i="73"/>
  <c r="D27" i="73"/>
  <c r="I27" i="73"/>
  <c r="K27" i="73"/>
  <c r="L27" i="73"/>
  <c r="D28" i="73"/>
  <c r="I28" i="73"/>
  <c r="K28" i="73"/>
  <c r="L28" i="73"/>
  <c r="D29" i="73"/>
  <c r="I29" i="73"/>
  <c r="K29" i="73"/>
  <c r="L29" i="73"/>
  <c r="D30" i="73"/>
  <c r="I30" i="73"/>
  <c r="K30" i="73"/>
  <c r="L30" i="73"/>
  <c r="D31" i="73"/>
  <c r="I31" i="73"/>
  <c r="K31" i="73"/>
  <c r="L31" i="73"/>
  <c r="D32" i="73"/>
  <c r="I32" i="73"/>
  <c r="K32" i="73"/>
  <c r="L32" i="73"/>
  <c r="D33" i="73"/>
  <c r="I33" i="73"/>
  <c r="K33" i="73"/>
  <c r="L33" i="73"/>
  <c r="D34" i="73"/>
  <c r="I34" i="73"/>
  <c r="K34" i="73"/>
  <c r="L34" i="73"/>
  <c r="D35" i="73"/>
  <c r="I35" i="73"/>
  <c r="K35" i="73"/>
  <c r="L35" i="73"/>
  <c r="D36" i="73"/>
  <c r="I36" i="73"/>
  <c r="K36" i="73"/>
  <c r="L36" i="73"/>
  <c r="D37" i="73"/>
  <c r="I37" i="73"/>
  <c r="K37" i="73"/>
  <c r="L37" i="73"/>
  <c r="D38" i="73"/>
  <c r="I38" i="73"/>
  <c r="K38" i="73"/>
  <c r="L38" i="73"/>
  <c r="D39" i="73"/>
  <c r="I39" i="73"/>
  <c r="K39" i="73"/>
  <c r="L39" i="73"/>
  <c r="D41" i="73"/>
  <c r="F41" i="73"/>
  <c r="H41" i="73"/>
  <c r="I41" i="73"/>
  <c r="J41" i="73"/>
  <c r="K41" i="73"/>
  <c r="L41" i="73"/>
  <c r="H9" i="32"/>
  <c r="I9" i="32"/>
  <c r="K9" i="32"/>
  <c r="H10" i="32"/>
  <c r="I10" i="32"/>
  <c r="K10" i="32"/>
  <c r="G11" i="32"/>
  <c r="H11" i="32"/>
  <c r="I11" i="32"/>
  <c r="K11" i="32"/>
  <c r="G12" i="32"/>
  <c r="H12" i="32"/>
  <c r="I12" i="32"/>
  <c r="K12" i="32"/>
  <c r="G13" i="32"/>
  <c r="H13" i="32"/>
  <c r="I13" i="32"/>
  <c r="K13" i="32"/>
  <c r="G14" i="32"/>
  <c r="H14" i="32"/>
  <c r="I14" i="32"/>
  <c r="K14" i="32"/>
  <c r="F15" i="32"/>
  <c r="G15" i="32"/>
  <c r="H15" i="32"/>
  <c r="I15" i="32"/>
  <c r="K15" i="32"/>
  <c r="F16" i="32"/>
  <c r="G16" i="32"/>
  <c r="H16" i="32"/>
  <c r="J16" i="32"/>
  <c r="K16" i="32"/>
  <c r="F17" i="32"/>
  <c r="G17" i="32"/>
  <c r="H17" i="32"/>
  <c r="J17" i="32"/>
  <c r="K17" i="32"/>
  <c r="F18" i="32"/>
  <c r="G18" i="32"/>
  <c r="H18" i="32"/>
  <c r="J18" i="32"/>
  <c r="K18" i="32"/>
  <c r="F19" i="32"/>
  <c r="G19" i="32"/>
  <c r="H19" i="32"/>
  <c r="J19" i="32"/>
  <c r="K19" i="32"/>
  <c r="F20" i="32"/>
  <c r="G20" i="32"/>
  <c r="H20" i="32"/>
  <c r="J20" i="32"/>
  <c r="K20" i="32"/>
  <c r="F21" i="32"/>
  <c r="G21" i="32"/>
  <c r="H21" i="32"/>
  <c r="J21" i="32"/>
  <c r="K21" i="32"/>
  <c r="F22" i="32"/>
  <c r="G22" i="32"/>
  <c r="H22" i="32"/>
  <c r="J22" i="32"/>
  <c r="K22" i="32"/>
  <c r="F23" i="32"/>
  <c r="G23" i="32"/>
  <c r="H23" i="32"/>
  <c r="J23" i="32"/>
  <c r="K23" i="32"/>
  <c r="F24" i="32"/>
  <c r="G24" i="32"/>
  <c r="H24" i="32"/>
  <c r="J24" i="32"/>
  <c r="K24" i="32"/>
  <c r="F25" i="32"/>
  <c r="G25" i="32"/>
  <c r="H25" i="32"/>
  <c r="J25" i="32"/>
  <c r="K25" i="32"/>
  <c r="F26" i="32"/>
  <c r="G26" i="32"/>
  <c r="H26" i="32"/>
  <c r="J26" i="32"/>
  <c r="K26" i="32"/>
  <c r="F27" i="32"/>
  <c r="G27" i="32"/>
  <c r="H27" i="32"/>
  <c r="J27" i="32"/>
  <c r="K27" i="32"/>
  <c r="F28" i="32"/>
  <c r="G28" i="32"/>
  <c r="H28" i="32"/>
  <c r="J28" i="32"/>
  <c r="K28" i="32"/>
  <c r="F29" i="32"/>
  <c r="G29" i="32"/>
  <c r="H29" i="32"/>
  <c r="J29" i="32"/>
  <c r="K29" i="32"/>
  <c r="F30" i="32"/>
  <c r="G30" i="32"/>
  <c r="H30" i="32"/>
  <c r="J30" i="32"/>
  <c r="K30" i="32"/>
  <c r="F31" i="32"/>
  <c r="G31" i="32"/>
  <c r="H31" i="32"/>
  <c r="J31" i="32"/>
  <c r="K31" i="32"/>
  <c r="F32" i="32"/>
  <c r="G32" i="32"/>
  <c r="H32" i="32"/>
  <c r="J32" i="32"/>
  <c r="K32" i="32"/>
  <c r="D36" i="32"/>
  <c r="F36" i="32"/>
  <c r="G36" i="32"/>
  <c r="H36" i="32"/>
  <c r="I36" i="32"/>
  <c r="J36" i="32"/>
  <c r="K36" i="32"/>
  <c r="D10" i="33"/>
  <c r="I10" i="33"/>
  <c r="K10" i="33"/>
  <c r="L10" i="33"/>
  <c r="F12" i="33"/>
  <c r="I12" i="33"/>
  <c r="J12" i="33"/>
  <c r="K12" i="33"/>
  <c r="L12" i="33"/>
  <c r="G14" i="33"/>
  <c r="I14" i="33"/>
  <c r="K14" i="33"/>
  <c r="L14" i="33"/>
  <c r="F16" i="33"/>
  <c r="I16" i="33"/>
  <c r="J16" i="33"/>
  <c r="K16" i="33"/>
  <c r="L16" i="33"/>
  <c r="F19" i="33"/>
  <c r="I19" i="33"/>
  <c r="J19" i="33"/>
  <c r="K19" i="33"/>
  <c r="L19" i="33"/>
  <c r="D10" i="40"/>
  <c r="F10" i="40"/>
  <c r="H10" i="40"/>
  <c r="I10" i="40"/>
  <c r="K10" i="40"/>
  <c r="L10" i="40"/>
  <c r="D11" i="40"/>
  <c r="F11" i="40"/>
  <c r="H11" i="40"/>
  <c r="I11" i="40"/>
  <c r="K11" i="40"/>
  <c r="L11" i="40"/>
  <c r="D12" i="40"/>
  <c r="F12" i="40"/>
  <c r="H12" i="40"/>
  <c r="I12" i="40"/>
  <c r="K12" i="40"/>
  <c r="L12" i="40"/>
  <c r="D13" i="40"/>
  <c r="F13" i="40"/>
  <c r="H13" i="40"/>
  <c r="I13" i="40"/>
  <c r="K13" i="40"/>
  <c r="L13" i="40"/>
  <c r="D14" i="40"/>
  <c r="F14" i="40"/>
  <c r="H14" i="40"/>
  <c r="I14" i="40"/>
  <c r="K14" i="40"/>
  <c r="L14" i="40"/>
  <c r="D15" i="40"/>
  <c r="F15" i="40"/>
  <c r="H15" i="40"/>
  <c r="I15" i="40"/>
  <c r="K15" i="40"/>
  <c r="L15" i="40"/>
  <c r="D16" i="40"/>
  <c r="F16" i="40"/>
  <c r="H16" i="40"/>
  <c r="I16" i="40"/>
  <c r="K16" i="40"/>
  <c r="L16" i="40"/>
  <c r="D17" i="40"/>
  <c r="F17" i="40"/>
  <c r="H17" i="40"/>
  <c r="I17" i="40"/>
  <c r="K17" i="40"/>
  <c r="L17" i="40"/>
  <c r="D18" i="40"/>
  <c r="F18" i="40"/>
  <c r="H18" i="40"/>
  <c r="I18" i="40"/>
  <c r="K18" i="40"/>
  <c r="L18" i="40"/>
  <c r="D19" i="40"/>
  <c r="F19" i="40"/>
  <c r="H19" i="40"/>
  <c r="I19" i="40"/>
  <c r="K19" i="40"/>
  <c r="L19" i="40"/>
  <c r="D20" i="40"/>
  <c r="F20" i="40"/>
  <c r="H20" i="40"/>
  <c r="I20" i="40"/>
  <c r="K20" i="40"/>
  <c r="L20" i="40"/>
  <c r="D21" i="40"/>
  <c r="F21" i="40"/>
  <c r="H21" i="40"/>
  <c r="I21" i="40"/>
  <c r="K21" i="40"/>
  <c r="L21" i="40"/>
  <c r="F22" i="40"/>
  <c r="I22" i="40"/>
  <c r="J22" i="40"/>
  <c r="K22" i="40"/>
  <c r="L22" i="40"/>
  <c r="F25" i="40"/>
  <c r="I25" i="40"/>
  <c r="J25" i="40"/>
  <c r="K25" i="40"/>
  <c r="L25" i="40"/>
  <c r="D10" i="39"/>
  <c r="F10" i="39"/>
  <c r="H10" i="39"/>
  <c r="I10" i="39"/>
  <c r="K10" i="39"/>
  <c r="L10" i="39"/>
  <c r="D11" i="39"/>
  <c r="F11" i="39"/>
  <c r="H11" i="39"/>
  <c r="I11" i="39"/>
  <c r="K11" i="39"/>
  <c r="L11" i="39"/>
  <c r="D12" i="39"/>
  <c r="F12" i="39"/>
  <c r="H12" i="39"/>
  <c r="I12" i="39"/>
  <c r="K12" i="39"/>
  <c r="L12" i="39"/>
  <c r="D13" i="39"/>
  <c r="F13" i="39"/>
  <c r="H13" i="39"/>
  <c r="I13" i="39"/>
  <c r="K13" i="39"/>
  <c r="L13" i="39"/>
  <c r="D14" i="39"/>
  <c r="F14" i="39"/>
  <c r="H14" i="39"/>
  <c r="I14" i="39"/>
  <c r="K14" i="39"/>
  <c r="L14" i="39"/>
  <c r="D15" i="39"/>
  <c r="F15" i="39"/>
  <c r="H15" i="39"/>
  <c r="I15" i="39"/>
  <c r="K15" i="39"/>
  <c r="L15" i="39"/>
  <c r="D16" i="39"/>
  <c r="F16" i="39"/>
  <c r="H16" i="39"/>
  <c r="I16" i="39"/>
  <c r="K16" i="39"/>
  <c r="L16" i="39"/>
  <c r="D17" i="39"/>
  <c r="F17" i="39"/>
  <c r="H17" i="39"/>
  <c r="I17" i="39"/>
  <c r="K17" i="39"/>
  <c r="L17" i="39"/>
  <c r="D18" i="39"/>
  <c r="F18" i="39"/>
  <c r="H18" i="39"/>
  <c r="I18" i="39"/>
  <c r="K18" i="39"/>
  <c r="L18" i="39"/>
  <c r="D19" i="39"/>
  <c r="F19" i="39"/>
  <c r="H19" i="39"/>
  <c r="I19" i="39"/>
  <c r="K19" i="39"/>
  <c r="L19" i="39"/>
  <c r="D20" i="39"/>
  <c r="F20" i="39"/>
  <c r="H20" i="39"/>
  <c r="I20" i="39"/>
  <c r="K20" i="39"/>
  <c r="L20" i="39"/>
  <c r="D21" i="39"/>
  <c r="F21" i="39"/>
  <c r="H21" i="39"/>
  <c r="I21" i="39"/>
  <c r="K21" i="39"/>
  <c r="L21" i="39"/>
  <c r="D22" i="39"/>
  <c r="F22" i="39"/>
  <c r="H22" i="39"/>
  <c r="I22" i="39"/>
  <c r="J22" i="39"/>
  <c r="K22" i="39"/>
  <c r="L22" i="39"/>
  <c r="F25" i="39"/>
  <c r="I25" i="39"/>
  <c r="J25" i="39"/>
  <c r="K25" i="39"/>
  <c r="L25" i="39"/>
  <c r="D35" i="39"/>
  <c r="F35" i="39"/>
  <c r="H35" i="39"/>
  <c r="I35" i="39"/>
  <c r="D36" i="39"/>
  <c r="F36" i="39"/>
  <c r="H36" i="39"/>
  <c r="I36" i="39"/>
  <c r="D37" i="39"/>
  <c r="F37" i="39"/>
  <c r="H37" i="39"/>
  <c r="I37" i="39"/>
  <c r="D38" i="39"/>
  <c r="F38" i="39"/>
  <c r="H38" i="39"/>
  <c r="I38" i="39"/>
  <c r="D39" i="39"/>
  <c r="F39" i="39"/>
  <c r="H39" i="39"/>
  <c r="I39" i="39"/>
  <c r="D40" i="39"/>
  <c r="F40" i="39"/>
  <c r="H40" i="39"/>
  <c r="I40" i="39"/>
  <c r="D41" i="39"/>
  <c r="F41" i="39"/>
  <c r="H41" i="39"/>
  <c r="I41" i="39"/>
  <c r="D42" i="39"/>
  <c r="F42" i="39"/>
  <c r="H42" i="39"/>
  <c r="I42" i="39"/>
  <c r="D43" i="39"/>
  <c r="F43" i="39"/>
  <c r="H43" i="39"/>
  <c r="I43" i="39"/>
  <c r="D44" i="39"/>
  <c r="F44" i="39"/>
  <c r="H44" i="39"/>
  <c r="I44" i="39"/>
  <c r="D45" i="39"/>
  <c r="F45" i="39"/>
  <c r="H45" i="39"/>
  <c r="I45" i="39"/>
  <c r="D46" i="39"/>
  <c r="F46" i="39"/>
  <c r="H46" i="39"/>
  <c r="I46" i="39"/>
  <c r="I47" i="39"/>
  <c r="D10" i="46"/>
  <c r="F10" i="46"/>
  <c r="G10" i="46"/>
  <c r="H10" i="46"/>
  <c r="I10" i="46"/>
  <c r="K10" i="46"/>
  <c r="L10" i="46"/>
  <c r="D11" i="46"/>
  <c r="E11" i="46"/>
  <c r="F11" i="46"/>
  <c r="G11" i="46"/>
  <c r="H11" i="46"/>
  <c r="I11" i="46"/>
  <c r="K11" i="46"/>
  <c r="L11" i="46"/>
  <c r="D12" i="46"/>
  <c r="F12" i="46"/>
  <c r="G12" i="46"/>
  <c r="H12" i="46"/>
  <c r="I12" i="46"/>
  <c r="K12" i="46"/>
  <c r="L12" i="46"/>
  <c r="D13" i="46"/>
  <c r="F13" i="46"/>
  <c r="G13" i="46"/>
  <c r="H13" i="46"/>
  <c r="I13" i="46"/>
  <c r="K13" i="46"/>
  <c r="L13" i="46"/>
  <c r="D14" i="46"/>
  <c r="F14" i="46"/>
  <c r="G14" i="46"/>
  <c r="H14" i="46"/>
  <c r="I14" i="46"/>
  <c r="K14" i="46"/>
  <c r="L14" i="46"/>
  <c r="D15" i="46"/>
  <c r="F15" i="46"/>
  <c r="G15" i="46"/>
  <c r="H15" i="46"/>
  <c r="I15" i="46"/>
  <c r="K15" i="46"/>
  <c r="L15" i="46"/>
  <c r="D16" i="46"/>
  <c r="F16" i="46"/>
  <c r="G16" i="46"/>
  <c r="H16" i="46"/>
  <c r="I16" i="46"/>
  <c r="K16" i="46"/>
  <c r="L16" i="46"/>
  <c r="D17" i="46"/>
  <c r="F17" i="46"/>
  <c r="G17" i="46"/>
  <c r="H17" i="46"/>
  <c r="I17" i="46"/>
  <c r="K17" i="46"/>
  <c r="L17" i="46"/>
  <c r="D18" i="46"/>
  <c r="F18" i="46"/>
  <c r="G18" i="46"/>
  <c r="H18" i="46"/>
  <c r="I18" i="46"/>
  <c r="K18" i="46"/>
  <c r="L18" i="46"/>
  <c r="D19" i="46"/>
  <c r="F19" i="46"/>
  <c r="G19" i="46"/>
  <c r="H19" i="46"/>
  <c r="I19" i="46"/>
  <c r="K19" i="46"/>
  <c r="L19" i="46"/>
  <c r="D20" i="46"/>
  <c r="F20" i="46"/>
  <c r="G20" i="46"/>
  <c r="H20" i="46"/>
  <c r="I20" i="46"/>
  <c r="K20" i="46"/>
  <c r="L20" i="46"/>
  <c r="D21" i="46"/>
  <c r="F21" i="46"/>
  <c r="G21" i="46"/>
  <c r="H21" i="46"/>
  <c r="I21" i="46"/>
  <c r="K21" i="46"/>
  <c r="L21" i="46"/>
  <c r="D22" i="46"/>
  <c r="F22" i="46"/>
  <c r="H22" i="46"/>
  <c r="I22" i="46"/>
  <c r="J22" i="46"/>
  <c r="K22" i="46"/>
  <c r="L22" i="46"/>
  <c r="F25" i="46"/>
  <c r="I25" i="46"/>
  <c r="J25" i="46"/>
  <c r="K25" i="46"/>
  <c r="L25" i="46"/>
  <c r="D10" i="45"/>
  <c r="F10" i="45"/>
  <c r="G10" i="45"/>
  <c r="H10" i="45"/>
  <c r="I10" i="45"/>
  <c r="K10" i="45"/>
  <c r="L10" i="45"/>
  <c r="D11" i="45"/>
  <c r="F11" i="45"/>
  <c r="G11" i="45"/>
  <c r="H11" i="45"/>
  <c r="I11" i="45"/>
  <c r="K11" i="45"/>
  <c r="L11" i="45"/>
  <c r="D12" i="45"/>
  <c r="F12" i="45"/>
  <c r="G12" i="45"/>
  <c r="H12" i="45"/>
  <c r="I12" i="45"/>
  <c r="K12" i="45"/>
  <c r="L12" i="45"/>
  <c r="D13" i="45"/>
  <c r="F13" i="45"/>
  <c r="G13" i="45"/>
  <c r="H13" i="45"/>
  <c r="I13" i="45"/>
  <c r="K13" i="45"/>
  <c r="L13" i="45"/>
  <c r="D14" i="45"/>
  <c r="F14" i="45"/>
  <c r="G14" i="45"/>
  <c r="H14" i="45"/>
  <c r="I14" i="45"/>
  <c r="K14" i="45"/>
  <c r="L14" i="45"/>
  <c r="D15" i="45"/>
  <c r="F15" i="45"/>
  <c r="G15" i="45"/>
  <c r="H15" i="45"/>
  <c r="I15" i="45"/>
  <c r="K15" i="45"/>
  <c r="L15" i="45"/>
  <c r="D16" i="45"/>
  <c r="F16" i="45"/>
  <c r="G16" i="45"/>
  <c r="H16" i="45"/>
  <c r="I16" i="45"/>
  <c r="K16" i="45"/>
  <c r="L16" i="45"/>
  <c r="D17" i="45"/>
  <c r="F17" i="45"/>
  <c r="G17" i="45"/>
  <c r="H17" i="45"/>
  <c r="I17" i="45"/>
  <c r="K17" i="45"/>
  <c r="L17" i="45"/>
  <c r="D18" i="45"/>
  <c r="F18" i="45"/>
  <c r="G18" i="45"/>
  <c r="H18" i="45"/>
  <c r="I18" i="45"/>
  <c r="K18" i="45"/>
  <c r="L18" i="45"/>
  <c r="D19" i="45"/>
  <c r="F19" i="45"/>
  <c r="G19" i="45"/>
  <c r="H19" i="45"/>
  <c r="I19" i="45"/>
  <c r="K19" i="45"/>
  <c r="L19" i="45"/>
  <c r="D20" i="45"/>
  <c r="F20" i="45"/>
  <c r="G20" i="45"/>
  <c r="H20" i="45"/>
  <c r="I20" i="45"/>
  <c r="K20" i="45"/>
  <c r="L20" i="45"/>
  <c r="D21" i="45"/>
  <c r="F21" i="45"/>
  <c r="G21" i="45"/>
  <c r="H21" i="45"/>
  <c r="I21" i="45"/>
  <c r="K21" i="45"/>
  <c r="L21" i="45"/>
  <c r="D22" i="45"/>
  <c r="F22" i="45"/>
  <c r="H22" i="45"/>
  <c r="I22" i="45"/>
  <c r="J22" i="45"/>
  <c r="K22" i="45"/>
  <c r="L22" i="45"/>
  <c r="F25" i="45"/>
  <c r="I25" i="45"/>
  <c r="J25" i="45"/>
  <c r="K25" i="45"/>
  <c r="L25" i="45"/>
  <c r="D10" i="49"/>
  <c r="F10" i="49"/>
  <c r="G10" i="49"/>
  <c r="H10" i="49"/>
  <c r="I10" i="49"/>
  <c r="K10" i="49"/>
  <c r="L10" i="49"/>
  <c r="F12" i="49"/>
  <c r="I12" i="49"/>
  <c r="J12" i="49"/>
  <c r="K12" i="49"/>
  <c r="L12" i="49"/>
  <c r="F15" i="49"/>
  <c r="I15" i="49"/>
  <c r="J15" i="49"/>
  <c r="K15" i="49"/>
  <c r="L15" i="49"/>
  <c r="D10" i="50"/>
  <c r="F10" i="50"/>
  <c r="G10" i="50"/>
  <c r="H10" i="50"/>
  <c r="I10" i="50"/>
  <c r="K10" i="50"/>
  <c r="L10" i="50"/>
  <c r="F12" i="50"/>
  <c r="I12" i="50"/>
  <c r="J12" i="50"/>
  <c r="K12" i="50"/>
  <c r="L12" i="50"/>
  <c r="F15" i="50"/>
  <c r="I15" i="50"/>
  <c r="J15" i="50"/>
  <c r="K15" i="50"/>
  <c r="L15" i="50"/>
  <c r="D10" i="51"/>
  <c r="F10" i="51"/>
  <c r="H10" i="51"/>
  <c r="I10" i="51"/>
  <c r="K10" i="51"/>
  <c r="L10" i="51"/>
  <c r="D11" i="51"/>
  <c r="F11" i="51"/>
  <c r="H11" i="51"/>
  <c r="I11" i="51"/>
  <c r="K11" i="51"/>
  <c r="L11" i="51"/>
  <c r="D13" i="51"/>
  <c r="F13" i="51"/>
  <c r="H13" i="51"/>
  <c r="I13" i="51"/>
  <c r="J13" i="51"/>
  <c r="K13" i="51"/>
  <c r="L13" i="51"/>
  <c r="F16" i="51"/>
  <c r="I16" i="51"/>
  <c r="J16" i="51"/>
  <c r="K16" i="51"/>
  <c r="L16" i="51"/>
  <c r="D10" i="52"/>
  <c r="F10" i="52"/>
  <c r="H10" i="52"/>
  <c r="I10" i="52"/>
  <c r="K10" i="52"/>
  <c r="L10" i="52"/>
  <c r="D11" i="52"/>
  <c r="F11" i="52"/>
  <c r="H11" i="52"/>
  <c r="I11" i="52"/>
  <c r="K11" i="52"/>
  <c r="L11" i="52"/>
  <c r="D13" i="52"/>
  <c r="F13" i="52"/>
  <c r="H13" i="52"/>
  <c r="I13" i="52"/>
  <c r="J13" i="52"/>
  <c r="K13" i="52"/>
  <c r="L13" i="52"/>
  <c r="F16" i="52"/>
  <c r="I16" i="52"/>
  <c r="J16" i="52"/>
  <c r="K16" i="52"/>
  <c r="L16" i="52"/>
  <c r="D10" i="47"/>
  <c r="F10" i="47"/>
  <c r="G10" i="47"/>
  <c r="H10" i="47"/>
  <c r="I10" i="47"/>
  <c r="K10" i="47"/>
  <c r="L10" i="47"/>
  <c r="D11" i="47"/>
  <c r="F11" i="47"/>
  <c r="G11" i="47"/>
  <c r="H11" i="47"/>
  <c r="I11" i="47"/>
  <c r="K11" i="47"/>
  <c r="L11" i="47"/>
  <c r="D12" i="47"/>
  <c r="F12" i="47"/>
  <c r="G12" i="47"/>
  <c r="H12" i="47"/>
  <c r="I12" i="47"/>
  <c r="K12" i="47"/>
  <c r="L12" i="47"/>
  <c r="D13" i="47"/>
  <c r="F13" i="47"/>
  <c r="G13" i="47"/>
  <c r="H13" i="47"/>
  <c r="I13" i="47"/>
  <c r="K13" i="47"/>
  <c r="L13" i="47"/>
  <c r="D14" i="47"/>
  <c r="F14" i="47"/>
  <c r="G14" i="47"/>
  <c r="H14" i="47"/>
  <c r="I14" i="47"/>
  <c r="K14" i="47"/>
  <c r="L14" i="47"/>
  <c r="D15" i="47"/>
  <c r="F15" i="47"/>
  <c r="G15" i="47"/>
  <c r="H15" i="47"/>
  <c r="I15" i="47"/>
  <c r="K15" i="47"/>
  <c r="L15" i="47"/>
  <c r="D16" i="47"/>
  <c r="F16" i="47"/>
  <c r="G16" i="47"/>
  <c r="H16" i="47"/>
  <c r="I16" i="47"/>
  <c r="K16" i="47"/>
  <c r="L16" i="47"/>
  <c r="D17" i="47"/>
  <c r="F17" i="47"/>
  <c r="G17" i="47"/>
  <c r="H17" i="47"/>
  <c r="I17" i="47"/>
  <c r="K17" i="47"/>
  <c r="L17" i="47"/>
  <c r="D18" i="47"/>
  <c r="F18" i="47"/>
  <c r="G18" i="47"/>
  <c r="H18" i="47"/>
  <c r="I18" i="47"/>
  <c r="K18" i="47"/>
  <c r="L18" i="47"/>
  <c r="D19" i="47"/>
  <c r="F19" i="47"/>
  <c r="G19" i="47"/>
  <c r="H19" i="47"/>
  <c r="I19" i="47"/>
  <c r="K19" i="47"/>
  <c r="L19" i="47"/>
  <c r="D20" i="47"/>
  <c r="F20" i="47"/>
  <c r="G20" i="47"/>
  <c r="H20" i="47"/>
  <c r="I20" i="47"/>
  <c r="K20" i="47"/>
  <c r="L20" i="47"/>
  <c r="D21" i="47"/>
  <c r="F21" i="47"/>
  <c r="G21" i="47"/>
  <c r="H21" i="47"/>
  <c r="I21" i="47"/>
  <c r="K21" i="47"/>
  <c r="L21" i="47"/>
  <c r="D22" i="47"/>
  <c r="F22" i="47"/>
  <c r="H22" i="47"/>
  <c r="I22" i="47"/>
  <c r="J22" i="47"/>
  <c r="K22" i="47"/>
  <c r="L22" i="47"/>
  <c r="F25" i="47"/>
  <c r="I25" i="47"/>
  <c r="J25" i="47"/>
  <c r="K25" i="47"/>
  <c r="L25" i="47"/>
  <c r="D10" i="48"/>
  <c r="F10" i="48"/>
  <c r="G10" i="48"/>
  <c r="H10" i="48"/>
  <c r="I10" i="48"/>
  <c r="K10" i="48"/>
  <c r="L10" i="48"/>
  <c r="D11" i="48"/>
  <c r="F11" i="48"/>
  <c r="G11" i="48"/>
  <c r="H11" i="48"/>
  <c r="I11" i="48"/>
  <c r="K11" i="48"/>
  <c r="L11" i="48"/>
  <c r="D12" i="48"/>
  <c r="F12" i="48"/>
  <c r="G12" i="48"/>
  <c r="H12" i="48"/>
  <c r="I12" i="48"/>
  <c r="K12" i="48"/>
  <c r="L12" i="48"/>
  <c r="D13" i="48"/>
  <c r="F13" i="48"/>
  <c r="G13" i="48"/>
  <c r="H13" i="48"/>
  <c r="I13" i="48"/>
  <c r="K13" i="48"/>
  <c r="L13" i="48"/>
  <c r="D14" i="48"/>
  <c r="F14" i="48"/>
  <c r="G14" i="48"/>
  <c r="H14" i="48"/>
  <c r="I14" i="48"/>
  <c r="K14" i="48"/>
  <c r="L14" i="48"/>
  <c r="D15" i="48"/>
  <c r="F15" i="48"/>
  <c r="G15" i="48"/>
  <c r="H15" i="48"/>
  <c r="I15" i="48"/>
  <c r="K15" i="48"/>
  <c r="L15" i="48"/>
  <c r="D16" i="48"/>
  <c r="F16" i="48"/>
  <c r="G16" i="48"/>
  <c r="H16" i="48"/>
  <c r="I16" i="48"/>
  <c r="K16" i="48"/>
  <c r="L16" i="48"/>
  <c r="D17" i="48"/>
  <c r="F17" i="48"/>
  <c r="G17" i="48"/>
  <c r="H17" i="48"/>
  <c r="I17" i="48"/>
  <c r="K17" i="48"/>
  <c r="L17" i="48"/>
  <c r="D18" i="48"/>
  <c r="F18" i="48"/>
  <c r="G18" i="48"/>
  <c r="H18" i="48"/>
  <c r="I18" i="48"/>
  <c r="K18" i="48"/>
  <c r="L18" i="48"/>
  <c r="D19" i="48"/>
  <c r="F19" i="48"/>
  <c r="G19" i="48"/>
  <c r="H19" i="48"/>
  <c r="I19" i="48"/>
  <c r="K19" i="48"/>
  <c r="L19" i="48"/>
  <c r="D20" i="48"/>
  <c r="F20" i="48"/>
  <c r="G20" i="48"/>
  <c r="H20" i="48"/>
  <c r="I20" i="48"/>
  <c r="K20" i="48"/>
  <c r="L20" i="48"/>
  <c r="D21" i="48"/>
  <c r="F21" i="48"/>
  <c r="G21" i="48"/>
  <c r="H21" i="48"/>
  <c r="I21" i="48"/>
  <c r="K21" i="48"/>
  <c r="L21" i="48"/>
  <c r="D22" i="48"/>
  <c r="F22" i="48"/>
  <c r="H22" i="48"/>
  <c r="I22" i="48"/>
  <c r="J22" i="48"/>
  <c r="K22" i="48"/>
  <c r="L22" i="48"/>
  <c r="F25" i="48"/>
  <c r="I25" i="48"/>
  <c r="J25" i="48"/>
  <c r="K25" i="48"/>
  <c r="L25" i="48"/>
  <c r="F9" i="63"/>
  <c r="H9" i="63"/>
  <c r="I9" i="63"/>
  <c r="K9" i="63"/>
  <c r="L9" i="63"/>
  <c r="F10" i="63"/>
  <c r="H10" i="63"/>
  <c r="I10" i="63"/>
  <c r="K10" i="63"/>
  <c r="L10" i="63"/>
  <c r="F11" i="63"/>
  <c r="H11" i="63"/>
  <c r="I11" i="63"/>
  <c r="K11" i="63"/>
  <c r="L11" i="63"/>
  <c r="F12" i="63"/>
  <c r="H12" i="63"/>
  <c r="I12" i="63"/>
  <c r="K12" i="63"/>
  <c r="L12" i="63"/>
  <c r="F13" i="63"/>
  <c r="H13" i="63"/>
  <c r="I13" i="63"/>
  <c r="K13" i="63"/>
  <c r="L13" i="63"/>
  <c r="F14" i="63"/>
  <c r="H14" i="63"/>
  <c r="I14" i="63"/>
  <c r="K14" i="63"/>
  <c r="L14" i="63"/>
  <c r="F15" i="63"/>
  <c r="H15" i="63"/>
  <c r="I15" i="63"/>
  <c r="K15" i="63"/>
  <c r="L15" i="63"/>
  <c r="F16" i="63"/>
  <c r="H16" i="63"/>
  <c r="I16" i="63"/>
  <c r="K16" i="63"/>
  <c r="L16" i="63"/>
  <c r="F17" i="63"/>
  <c r="H17" i="63"/>
  <c r="I17" i="63"/>
  <c r="K17" i="63"/>
  <c r="L17" i="63"/>
  <c r="F18" i="63"/>
  <c r="H18" i="63"/>
  <c r="I18" i="63"/>
  <c r="K18" i="63"/>
  <c r="L18" i="63"/>
  <c r="F19" i="63"/>
  <c r="H19" i="63"/>
  <c r="I19" i="63"/>
  <c r="K19" i="63"/>
  <c r="L19" i="63"/>
  <c r="F20" i="63"/>
  <c r="H20" i="63"/>
  <c r="I20" i="63"/>
  <c r="K20" i="63"/>
  <c r="L20" i="63"/>
  <c r="D22" i="63"/>
  <c r="F22" i="63"/>
  <c r="H22" i="63"/>
  <c r="I22" i="63"/>
  <c r="J22" i="63"/>
  <c r="K22" i="63"/>
  <c r="L22" i="63"/>
  <c r="F26" i="63"/>
  <c r="H26" i="63"/>
  <c r="I26" i="63"/>
  <c r="K26" i="63"/>
  <c r="L26" i="63"/>
  <c r="F27" i="63"/>
  <c r="H27" i="63"/>
  <c r="I27" i="63"/>
  <c r="K27" i="63"/>
  <c r="L27" i="63"/>
  <c r="F28" i="63"/>
  <c r="H28" i="63"/>
  <c r="I28" i="63"/>
  <c r="K28" i="63"/>
  <c r="L28" i="63"/>
  <c r="F29" i="63"/>
  <c r="H29" i="63"/>
  <c r="I29" i="63"/>
  <c r="K29" i="63"/>
  <c r="L29" i="63"/>
  <c r="F30" i="63"/>
  <c r="H30" i="63"/>
  <c r="I30" i="63"/>
  <c r="K30" i="63"/>
  <c r="L30" i="63"/>
  <c r="F31" i="63"/>
  <c r="H31" i="63"/>
  <c r="I31" i="63"/>
  <c r="K31" i="63"/>
  <c r="L31" i="63"/>
  <c r="F32" i="63"/>
  <c r="H32" i="63"/>
  <c r="I32" i="63"/>
  <c r="K32" i="63"/>
  <c r="L32" i="63"/>
  <c r="F33" i="63"/>
  <c r="H33" i="63"/>
  <c r="I33" i="63"/>
  <c r="K33" i="63"/>
  <c r="L33" i="63"/>
  <c r="F34" i="63"/>
  <c r="H34" i="63"/>
  <c r="I34" i="63"/>
  <c r="K34" i="63"/>
  <c r="L34" i="63"/>
  <c r="F35" i="63"/>
  <c r="H35" i="63"/>
  <c r="I35" i="63"/>
  <c r="K35" i="63"/>
  <c r="L35" i="63"/>
  <c r="F36" i="63"/>
  <c r="H36" i="63"/>
  <c r="I36" i="63"/>
  <c r="K36" i="63"/>
  <c r="L36" i="63"/>
  <c r="F37" i="63"/>
  <c r="H37" i="63"/>
  <c r="I37" i="63"/>
  <c r="K37" i="63"/>
  <c r="L37" i="63"/>
  <c r="D39" i="63"/>
  <c r="F39" i="63"/>
  <c r="H39" i="63"/>
  <c r="I39" i="63"/>
  <c r="J39" i="63"/>
  <c r="K39" i="63"/>
  <c r="L39" i="63"/>
  <c r="F41" i="63"/>
  <c r="I41" i="63"/>
  <c r="J41" i="63"/>
  <c r="K41" i="63"/>
  <c r="Z55" i="74"/>
  <c r="Z56" i="74"/>
  <c r="Z83" i="74"/>
  <c r="Z84" i="74"/>
  <c r="Z85" i="74"/>
  <c r="R107" i="74"/>
  <c r="S107" i="74"/>
  <c r="Z107" i="74"/>
  <c r="R108" i="74"/>
  <c r="S108" i="74"/>
  <c r="Z108" i="74"/>
  <c r="R109" i="74"/>
  <c r="S109" i="74"/>
  <c r="T109" i="74"/>
  <c r="Z109" i="74"/>
  <c r="R110" i="74"/>
  <c r="S110" i="74"/>
  <c r="Z110" i="74"/>
  <c r="R112" i="74"/>
  <c r="S112" i="74"/>
  <c r="Z112" i="74"/>
  <c r="R119" i="74"/>
  <c r="S119" i="74"/>
  <c r="Z119" i="74"/>
  <c r="K3" i="1"/>
  <c r="H11" i="1"/>
  <c r="I11" i="1"/>
  <c r="J11" i="1"/>
  <c r="K11" i="1"/>
  <c r="L11" i="1"/>
  <c r="M11" i="1"/>
  <c r="N11" i="1"/>
  <c r="O11" i="1"/>
  <c r="H12" i="1"/>
  <c r="I12" i="1"/>
  <c r="J12" i="1"/>
  <c r="K12" i="1"/>
  <c r="L12" i="1"/>
  <c r="M12" i="1"/>
  <c r="N12" i="1"/>
  <c r="O12" i="1"/>
  <c r="H13" i="1"/>
  <c r="J13" i="1"/>
  <c r="K13" i="1"/>
  <c r="L13" i="1"/>
  <c r="M13" i="1"/>
  <c r="N13" i="1"/>
  <c r="O13" i="1"/>
  <c r="H14" i="1"/>
  <c r="H15" i="1"/>
  <c r="I15" i="1"/>
  <c r="J15" i="1"/>
  <c r="K15" i="1"/>
  <c r="L15" i="1"/>
  <c r="M15" i="1"/>
  <c r="N15" i="1"/>
  <c r="O15" i="1"/>
  <c r="H16" i="1"/>
  <c r="I16" i="1"/>
  <c r="J16" i="1"/>
  <c r="K16" i="1"/>
  <c r="L16" i="1"/>
  <c r="M16" i="1"/>
  <c r="N16" i="1"/>
  <c r="O16" i="1"/>
  <c r="H17" i="1"/>
  <c r="J17" i="1"/>
  <c r="K17" i="1"/>
  <c r="L17" i="1"/>
  <c r="M17" i="1"/>
  <c r="N17" i="1"/>
  <c r="O17" i="1"/>
  <c r="H18" i="1"/>
  <c r="H19" i="1"/>
  <c r="I19" i="1"/>
  <c r="J19" i="1"/>
  <c r="K19" i="1"/>
  <c r="L19" i="1"/>
  <c r="M19" i="1"/>
  <c r="N19" i="1"/>
  <c r="O19" i="1"/>
  <c r="H20" i="1"/>
  <c r="I20" i="1"/>
  <c r="J20" i="1"/>
  <c r="K20" i="1"/>
  <c r="L20" i="1"/>
  <c r="M20" i="1"/>
  <c r="N20" i="1"/>
  <c r="O20" i="1"/>
  <c r="J21" i="1"/>
  <c r="K21" i="1"/>
  <c r="L21" i="1"/>
  <c r="M21" i="1"/>
  <c r="N21" i="1"/>
  <c r="O21" i="1"/>
  <c r="H23" i="1"/>
  <c r="I23" i="1"/>
  <c r="J23" i="1"/>
  <c r="K23" i="1"/>
  <c r="L23" i="1"/>
  <c r="M23" i="1"/>
  <c r="N23" i="1"/>
  <c r="O23" i="1"/>
  <c r="H24" i="1"/>
  <c r="I24" i="1"/>
  <c r="J24" i="1"/>
  <c r="K24" i="1"/>
  <c r="L24" i="1"/>
  <c r="M24" i="1"/>
  <c r="N24" i="1"/>
  <c r="O24" i="1"/>
  <c r="J25" i="1"/>
  <c r="K25" i="1"/>
  <c r="L25" i="1"/>
  <c r="M25" i="1"/>
  <c r="N25" i="1"/>
  <c r="O25" i="1"/>
  <c r="I27" i="1"/>
  <c r="J27" i="1"/>
  <c r="K27" i="1"/>
  <c r="L27" i="1"/>
  <c r="M27" i="1"/>
  <c r="N27" i="1"/>
  <c r="O27" i="1"/>
  <c r="I28" i="1"/>
  <c r="J28" i="1"/>
  <c r="K28" i="1"/>
  <c r="L28" i="1"/>
  <c r="M28" i="1"/>
  <c r="N28" i="1"/>
  <c r="O28" i="1"/>
  <c r="J29" i="1"/>
  <c r="K29" i="1"/>
  <c r="L29" i="1"/>
  <c r="M29" i="1"/>
  <c r="N29" i="1"/>
  <c r="O29" i="1"/>
  <c r="H30" i="1"/>
  <c r="H31" i="1"/>
  <c r="I31" i="1"/>
  <c r="J31" i="1"/>
  <c r="K31" i="1"/>
  <c r="L31" i="1"/>
  <c r="M31" i="1"/>
  <c r="N31" i="1"/>
  <c r="O31" i="1"/>
  <c r="H32" i="1"/>
  <c r="I32" i="1"/>
  <c r="J32" i="1"/>
  <c r="K32" i="1"/>
  <c r="L32" i="1"/>
  <c r="M32" i="1"/>
  <c r="N32" i="1"/>
  <c r="O32" i="1"/>
  <c r="H33" i="1"/>
  <c r="J33" i="1"/>
  <c r="K33" i="1"/>
  <c r="L33" i="1"/>
  <c r="M33" i="1"/>
  <c r="N33" i="1"/>
  <c r="O33" i="1"/>
  <c r="H35" i="1"/>
  <c r="I35" i="1"/>
  <c r="J35" i="1"/>
  <c r="K35" i="1"/>
  <c r="L35" i="1"/>
  <c r="M35" i="1"/>
  <c r="N35" i="1"/>
  <c r="O35" i="1"/>
  <c r="H36" i="1"/>
  <c r="I36" i="1"/>
  <c r="J36" i="1"/>
  <c r="K36" i="1"/>
  <c r="L36" i="1"/>
  <c r="M36" i="1"/>
  <c r="N36" i="1"/>
  <c r="O36" i="1"/>
  <c r="H37" i="1"/>
  <c r="J37" i="1"/>
  <c r="K37" i="1"/>
  <c r="L37" i="1"/>
  <c r="M37" i="1"/>
  <c r="N37" i="1"/>
  <c r="O37" i="1"/>
  <c r="I39" i="1"/>
  <c r="J39" i="1"/>
  <c r="K39" i="1"/>
  <c r="L39" i="1"/>
  <c r="M39" i="1"/>
  <c r="N39" i="1"/>
  <c r="O39" i="1"/>
  <c r="I40" i="1"/>
  <c r="J40" i="1"/>
  <c r="K40" i="1"/>
  <c r="L40" i="1"/>
  <c r="M40" i="1"/>
  <c r="N40" i="1"/>
  <c r="O40" i="1"/>
  <c r="J41" i="1"/>
  <c r="K41" i="1"/>
  <c r="L41" i="1"/>
  <c r="M41" i="1"/>
  <c r="N41" i="1"/>
  <c r="O41" i="1"/>
  <c r="I43" i="1"/>
  <c r="J43" i="1"/>
  <c r="K43" i="1"/>
  <c r="L43" i="1"/>
  <c r="M43" i="1"/>
  <c r="N43" i="1"/>
  <c r="O43" i="1"/>
  <c r="Q43" i="1"/>
  <c r="R43" i="1"/>
  <c r="S43" i="1"/>
  <c r="T43" i="1"/>
  <c r="U43" i="1"/>
  <c r="V43" i="1"/>
  <c r="W43" i="1"/>
  <c r="X43" i="1"/>
  <c r="Z43" i="1"/>
  <c r="I44" i="1"/>
  <c r="J44" i="1"/>
  <c r="K44" i="1"/>
  <c r="L44" i="1"/>
  <c r="M44" i="1"/>
  <c r="N44" i="1"/>
  <c r="O44" i="1"/>
  <c r="J45" i="1"/>
  <c r="O45" i="1"/>
  <c r="V45" i="1"/>
  <c r="Z45" i="1"/>
  <c r="I47" i="1"/>
  <c r="K47" i="1"/>
  <c r="L47" i="1"/>
  <c r="M47" i="1"/>
  <c r="N47" i="1"/>
  <c r="O47" i="1"/>
  <c r="Q47" i="1"/>
  <c r="R47" i="1"/>
  <c r="S47" i="1"/>
  <c r="T47" i="1"/>
  <c r="U47" i="1"/>
  <c r="V47" i="1"/>
  <c r="W47" i="1"/>
  <c r="X47" i="1"/>
  <c r="I48" i="1"/>
  <c r="J48" i="1"/>
  <c r="K48" i="1"/>
  <c r="L48" i="1"/>
  <c r="M48" i="1"/>
  <c r="N48" i="1"/>
  <c r="O48" i="1"/>
  <c r="T48" i="1"/>
  <c r="U48" i="1"/>
  <c r="W48" i="1"/>
  <c r="X48" i="1"/>
  <c r="J49" i="1"/>
  <c r="K49" i="1"/>
  <c r="L49" i="1"/>
  <c r="M49" i="1"/>
  <c r="N49" i="1"/>
  <c r="O49" i="1"/>
  <c r="T49" i="1"/>
  <c r="U49" i="1"/>
  <c r="V49" i="1"/>
  <c r="W49" i="1"/>
  <c r="X49" i="1"/>
  <c r="T50" i="1"/>
  <c r="U50" i="1"/>
  <c r="W50" i="1"/>
  <c r="X50" i="1"/>
  <c r="I51" i="1"/>
  <c r="K51" i="1"/>
  <c r="L51" i="1"/>
  <c r="M51" i="1"/>
  <c r="N51" i="1"/>
  <c r="O51" i="1"/>
  <c r="Q51" i="1"/>
  <c r="R51" i="1"/>
  <c r="S51" i="1"/>
  <c r="T51" i="1"/>
  <c r="U51" i="1"/>
  <c r="V51" i="1"/>
  <c r="W51" i="1"/>
  <c r="X51" i="1"/>
  <c r="I52" i="1"/>
  <c r="J52" i="1"/>
  <c r="K52" i="1"/>
  <c r="L52" i="1"/>
  <c r="M52" i="1"/>
  <c r="N52" i="1"/>
  <c r="O52" i="1"/>
  <c r="T52" i="1"/>
  <c r="U52" i="1"/>
  <c r="W52" i="1"/>
  <c r="X52" i="1"/>
  <c r="J53" i="1"/>
  <c r="K53" i="1"/>
  <c r="L53" i="1"/>
  <c r="M53" i="1"/>
  <c r="N53" i="1"/>
  <c r="O53" i="1"/>
  <c r="T53" i="1"/>
  <c r="U53" i="1"/>
  <c r="V53" i="1"/>
  <c r="W53" i="1"/>
  <c r="X53" i="1"/>
  <c r="T54" i="1"/>
  <c r="U54" i="1"/>
  <c r="W54" i="1"/>
  <c r="X54" i="1"/>
  <c r="I55" i="1"/>
  <c r="K55" i="1"/>
  <c r="L55" i="1"/>
  <c r="M55" i="1"/>
  <c r="N55" i="1"/>
  <c r="O55" i="1"/>
  <c r="Q55" i="1"/>
  <c r="R55" i="1"/>
  <c r="S55" i="1"/>
  <c r="T55" i="1"/>
  <c r="U55" i="1"/>
  <c r="V55" i="1"/>
  <c r="W55" i="1"/>
  <c r="X55" i="1"/>
  <c r="I56" i="1"/>
  <c r="J56" i="1"/>
  <c r="K56" i="1"/>
  <c r="L56" i="1"/>
  <c r="M56" i="1"/>
  <c r="N56" i="1"/>
  <c r="O56" i="1"/>
  <c r="T56" i="1"/>
  <c r="U56" i="1"/>
  <c r="W56" i="1"/>
  <c r="X56" i="1"/>
  <c r="J57" i="1"/>
  <c r="K57" i="1"/>
  <c r="L57" i="1"/>
  <c r="M57" i="1"/>
  <c r="N57" i="1"/>
  <c r="O57" i="1"/>
  <c r="T57" i="1"/>
  <c r="U57" i="1"/>
  <c r="V57" i="1"/>
  <c r="W57" i="1"/>
  <c r="X57" i="1"/>
  <c r="T58" i="1"/>
  <c r="U58" i="1"/>
  <c r="W58" i="1"/>
  <c r="X58" i="1"/>
  <c r="I59" i="1"/>
  <c r="J59" i="1"/>
  <c r="K59" i="1"/>
  <c r="L59" i="1"/>
  <c r="M59" i="1"/>
  <c r="N59" i="1"/>
  <c r="O59" i="1"/>
  <c r="Q59" i="1"/>
  <c r="R59" i="1"/>
  <c r="S59" i="1"/>
  <c r="T59" i="1"/>
  <c r="U59" i="1"/>
  <c r="V59" i="1"/>
  <c r="W59" i="1"/>
  <c r="X59" i="1"/>
  <c r="Z59" i="1"/>
  <c r="H60" i="1"/>
  <c r="J60" i="1"/>
  <c r="K60" i="1"/>
  <c r="L60" i="1"/>
  <c r="M60" i="1"/>
  <c r="N60" i="1"/>
  <c r="O60" i="1"/>
  <c r="T60" i="1"/>
  <c r="U60" i="1"/>
  <c r="W60" i="1"/>
  <c r="X60" i="1"/>
  <c r="AD60" i="1"/>
  <c r="J61" i="1"/>
  <c r="K61" i="1"/>
  <c r="L61" i="1"/>
  <c r="M61" i="1"/>
  <c r="N61" i="1"/>
  <c r="O61" i="1"/>
  <c r="T61" i="1"/>
  <c r="U61" i="1"/>
  <c r="V61" i="1"/>
  <c r="W61" i="1"/>
  <c r="X61" i="1"/>
  <c r="Z61" i="1"/>
  <c r="T62" i="1"/>
  <c r="U62" i="1"/>
  <c r="W62" i="1"/>
  <c r="X62" i="1"/>
  <c r="H63" i="1"/>
  <c r="I63" i="1"/>
  <c r="J63" i="1"/>
  <c r="K63" i="1"/>
  <c r="L63" i="1"/>
  <c r="M63" i="1"/>
  <c r="N63" i="1"/>
  <c r="O63" i="1"/>
  <c r="Q63" i="1"/>
  <c r="R63" i="1"/>
  <c r="S63" i="1"/>
  <c r="T63" i="1"/>
  <c r="U63" i="1"/>
  <c r="V63" i="1"/>
  <c r="W63" i="1"/>
  <c r="X63" i="1"/>
  <c r="AD63" i="1"/>
  <c r="H64" i="1"/>
  <c r="I64" i="1"/>
  <c r="J64" i="1"/>
  <c r="K64" i="1"/>
  <c r="L64" i="1"/>
  <c r="M64" i="1"/>
  <c r="N64" i="1"/>
  <c r="O64" i="1"/>
  <c r="Q64" i="1"/>
  <c r="R64" i="1"/>
  <c r="S64" i="1"/>
  <c r="T64" i="1"/>
  <c r="U64" i="1"/>
  <c r="V64" i="1"/>
  <c r="W64" i="1"/>
  <c r="X64" i="1"/>
  <c r="M65" i="1"/>
  <c r="N65" i="1"/>
  <c r="O65" i="1"/>
  <c r="T65" i="1"/>
  <c r="U65" i="1"/>
  <c r="W65" i="1"/>
  <c r="X65" i="1"/>
  <c r="M66" i="1"/>
  <c r="N66" i="1"/>
  <c r="O66" i="1"/>
  <c r="T66" i="1"/>
  <c r="U66" i="1"/>
  <c r="V66" i="1"/>
  <c r="W66" i="1"/>
  <c r="X66" i="1"/>
  <c r="T67" i="1"/>
  <c r="U67" i="1"/>
  <c r="W67" i="1"/>
  <c r="X67" i="1"/>
  <c r="H68" i="1"/>
  <c r="I68" i="1"/>
  <c r="J68" i="1"/>
  <c r="K68" i="1"/>
  <c r="L68" i="1"/>
  <c r="M68" i="1"/>
  <c r="N68" i="1"/>
  <c r="O68" i="1"/>
  <c r="Q68" i="1"/>
  <c r="R68" i="1"/>
  <c r="S68" i="1"/>
  <c r="T68" i="1"/>
  <c r="U68" i="1"/>
  <c r="V68" i="1"/>
  <c r="W68" i="1"/>
  <c r="X68" i="1"/>
  <c r="H69" i="1"/>
  <c r="I69" i="1"/>
  <c r="J69" i="1"/>
  <c r="K69" i="1"/>
  <c r="L69" i="1"/>
  <c r="M69" i="1"/>
  <c r="N69" i="1"/>
  <c r="O69" i="1"/>
  <c r="Q69" i="1"/>
  <c r="R69" i="1"/>
  <c r="S69" i="1"/>
  <c r="T69" i="1"/>
  <c r="U69" i="1"/>
  <c r="V69" i="1"/>
  <c r="W69" i="1"/>
  <c r="X69" i="1"/>
  <c r="M70" i="1"/>
  <c r="O70" i="1"/>
  <c r="T70" i="1"/>
  <c r="U70" i="1"/>
  <c r="W70" i="1"/>
  <c r="X70" i="1"/>
  <c r="M71" i="1"/>
  <c r="N71" i="1"/>
  <c r="O71" i="1"/>
  <c r="T71" i="1"/>
  <c r="U71" i="1"/>
  <c r="V71" i="1"/>
  <c r="W71" i="1"/>
  <c r="X71" i="1"/>
  <c r="T72" i="1"/>
  <c r="U72" i="1"/>
  <c r="W72" i="1"/>
  <c r="X72" i="1"/>
  <c r="H73" i="1"/>
  <c r="I73" i="1"/>
  <c r="J73" i="1"/>
  <c r="K73" i="1"/>
  <c r="L73" i="1"/>
  <c r="M73" i="1"/>
  <c r="N73" i="1"/>
  <c r="O73" i="1"/>
  <c r="Q73" i="1"/>
  <c r="R73" i="1"/>
  <c r="S73" i="1"/>
  <c r="T73" i="1"/>
  <c r="U73" i="1"/>
  <c r="V73" i="1"/>
  <c r="W73" i="1"/>
  <c r="X73" i="1"/>
  <c r="H74" i="1"/>
  <c r="I74" i="1"/>
  <c r="J74" i="1"/>
  <c r="K74" i="1"/>
  <c r="L74" i="1"/>
  <c r="M74" i="1"/>
  <c r="N74" i="1"/>
  <c r="O74" i="1"/>
  <c r="Q74" i="1"/>
  <c r="R74" i="1"/>
  <c r="S74" i="1"/>
  <c r="T74" i="1"/>
  <c r="U74" i="1"/>
  <c r="V74" i="1"/>
  <c r="W74" i="1"/>
  <c r="X74" i="1"/>
  <c r="M75" i="1"/>
  <c r="N75" i="1"/>
  <c r="O75" i="1"/>
  <c r="T75" i="1"/>
  <c r="U75" i="1"/>
  <c r="W75" i="1"/>
  <c r="X75" i="1"/>
  <c r="M76" i="1"/>
  <c r="N76" i="1"/>
  <c r="O76" i="1"/>
  <c r="T76" i="1"/>
  <c r="U76" i="1"/>
  <c r="V76" i="1"/>
  <c r="W76" i="1"/>
  <c r="X76" i="1"/>
  <c r="T77" i="1"/>
  <c r="U77" i="1"/>
  <c r="W77" i="1"/>
  <c r="X77" i="1"/>
  <c r="H78" i="1"/>
  <c r="I78" i="1"/>
  <c r="J78" i="1"/>
  <c r="K78" i="1"/>
  <c r="L78" i="1"/>
  <c r="M78" i="1"/>
  <c r="N78" i="1"/>
  <c r="O78" i="1"/>
  <c r="Q78" i="1"/>
  <c r="R78" i="1"/>
  <c r="S78" i="1"/>
  <c r="T78" i="1"/>
  <c r="U78" i="1"/>
  <c r="V78" i="1"/>
  <c r="W78" i="1"/>
  <c r="X78" i="1"/>
  <c r="Z78" i="1"/>
  <c r="H79" i="1"/>
  <c r="I79" i="1"/>
  <c r="J79" i="1"/>
  <c r="K79" i="1"/>
  <c r="L79" i="1"/>
  <c r="M79" i="1"/>
  <c r="N79" i="1"/>
  <c r="O79" i="1"/>
  <c r="Q79" i="1"/>
  <c r="R79" i="1"/>
  <c r="S79" i="1"/>
  <c r="T79" i="1"/>
  <c r="U79" i="1"/>
  <c r="V79" i="1"/>
  <c r="W79" i="1"/>
  <c r="X79" i="1"/>
  <c r="M80" i="1"/>
  <c r="N80" i="1"/>
  <c r="O80" i="1"/>
  <c r="T80" i="1"/>
  <c r="U80" i="1"/>
  <c r="W80" i="1"/>
  <c r="X80" i="1"/>
  <c r="K81" i="1"/>
  <c r="L81" i="1"/>
  <c r="M81" i="1"/>
  <c r="N81" i="1"/>
  <c r="O81" i="1"/>
  <c r="T81" i="1"/>
  <c r="U81" i="1"/>
  <c r="V81" i="1"/>
  <c r="W81" i="1"/>
  <c r="X81" i="1"/>
  <c r="T82" i="1"/>
  <c r="U82" i="1"/>
  <c r="W82" i="1"/>
  <c r="X82" i="1"/>
  <c r="H83" i="1"/>
  <c r="I83" i="1"/>
  <c r="J83" i="1"/>
  <c r="K83" i="1"/>
  <c r="L83" i="1"/>
  <c r="M83" i="1"/>
  <c r="N83" i="1"/>
  <c r="O83" i="1"/>
  <c r="Q83" i="1"/>
  <c r="R83" i="1"/>
  <c r="S83" i="1"/>
  <c r="T83" i="1"/>
  <c r="U83" i="1"/>
  <c r="V83" i="1"/>
  <c r="W83" i="1"/>
  <c r="X83" i="1"/>
  <c r="H84" i="1"/>
  <c r="I84" i="1"/>
  <c r="J84" i="1"/>
  <c r="K84" i="1"/>
  <c r="L84" i="1"/>
  <c r="M84" i="1"/>
  <c r="N84" i="1"/>
  <c r="O84" i="1"/>
  <c r="Q84" i="1"/>
  <c r="R84" i="1"/>
  <c r="S84" i="1"/>
  <c r="T84" i="1"/>
  <c r="U84" i="1"/>
  <c r="V84" i="1"/>
  <c r="W84" i="1"/>
  <c r="X84" i="1"/>
  <c r="M85" i="1"/>
  <c r="N85" i="1"/>
  <c r="O85" i="1"/>
  <c r="T85" i="1"/>
  <c r="U85" i="1"/>
  <c r="W85" i="1"/>
  <c r="X85" i="1"/>
  <c r="M86" i="1"/>
  <c r="N86" i="1"/>
  <c r="O86" i="1"/>
  <c r="T86" i="1"/>
  <c r="U86" i="1"/>
  <c r="V86" i="1"/>
  <c r="W86" i="1"/>
  <c r="X86" i="1"/>
  <c r="T87" i="1"/>
  <c r="U87" i="1"/>
  <c r="W87" i="1"/>
  <c r="X87" i="1"/>
  <c r="T88" i="1"/>
  <c r="U88" i="1"/>
  <c r="W88" i="1"/>
  <c r="X88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Q93" i="1"/>
  <c r="K105" i="1"/>
  <c r="M105" i="1"/>
  <c r="O105" i="1"/>
  <c r="I106" i="1"/>
  <c r="J106" i="1"/>
  <c r="L106" i="1"/>
  <c r="M106" i="1"/>
  <c r="N106" i="1"/>
  <c r="O106" i="1"/>
  <c r="P106" i="1"/>
  <c r="V106" i="1"/>
  <c r="W106" i="1"/>
  <c r="X106" i="1"/>
  <c r="I107" i="1"/>
  <c r="J107" i="1"/>
  <c r="L107" i="1"/>
  <c r="M107" i="1"/>
  <c r="N107" i="1"/>
  <c r="O107" i="1"/>
  <c r="P107" i="1"/>
  <c r="V107" i="1"/>
  <c r="W107" i="1"/>
  <c r="X107" i="1"/>
  <c r="K108" i="1"/>
  <c r="L108" i="1"/>
  <c r="M108" i="1"/>
  <c r="N108" i="1"/>
  <c r="O108" i="1"/>
  <c r="V108" i="1"/>
  <c r="W108" i="1"/>
  <c r="X108" i="1"/>
  <c r="W109" i="1"/>
  <c r="X109" i="1"/>
  <c r="K110" i="1"/>
  <c r="L110" i="1"/>
  <c r="M110" i="1"/>
  <c r="N110" i="1"/>
  <c r="O110" i="1"/>
  <c r="P110" i="1"/>
  <c r="V110" i="1"/>
  <c r="W110" i="1"/>
  <c r="X110" i="1"/>
  <c r="H111" i="1"/>
  <c r="I111" i="1"/>
  <c r="J111" i="1"/>
  <c r="K111" i="1"/>
  <c r="L111" i="1"/>
  <c r="M111" i="1"/>
  <c r="N111" i="1"/>
  <c r="O111" i="1"/>
  <c r="P111" i="1"/>
  <c r="V111" i="1"/>
  <c r="W111" i="1"/>
  <c r="X111" i="1"/>
  <c r="H112" i="1"/>
  <c r="I112" i="1"/>
  <c r="J112" i="1"/>
  <c r="K112" i="1"/>
  <c r="L112" i="1"/>
  <c r="M112" i="1"/>
  <c r="N112" i="1"/>
  <c r="O112" i="1"/>
  <c r="P112" i="1"/>
  <c r="V112" i="1"/>
  <c r="W112" i="1"/>
  <c r="X112" i="1"/>
  <c r="H113" i="1"/>
  <c r="I113" i="1"/>
  <c r="J113" i="1"/>
  <c r="K113" i="1"/>
  <c r="L113" i="1"/>
  <c r="M113" i="1"/>
  <c r="N113" i="1"/>
  <c r="O113" i="1"/>
  <c r="V113" i="1"/>
  <c r="W113" i="1"/>
  <c r="X113" i="1"/>
  <c r="W114" i="1"/>
  <c r="X114" i="1"/>
  <c r="M115" i="1"/>
  <c r="N115" i="1"/>
  <c r="O115" i="1"/>
  <c r="P115" i="1"/>
  <c r="S115" i="1"/>
  <c r="V115" i="1"/>
  <c r="W115" i="1"/>
  <c r="X115" i="1"/>
  <c r="W116" i="1"/>
  <c r="X116" i="1"/>
  <c r="H117" i="1"/>
  <c r="I117" i="1"/>
  <c r="J117" i="1"/>
  <c r="L117" i="1"/>
  <c r="M117" i="1"/>
  <c r="N117" i="1"/>
  <c r="O117" i="1"/>
  <c r="P117" i="1"/>
  <c r="V117" i="1"/>
  <c r="W117" i="1"/>
  <c r="X117" i="1"/>
  <c r="H118" i="1"/>
  <c r="I118" i="1"/>
  <c r="J118" i="1"/>
  <c r="L118" i="1"/>
  <c r="M118" i="1"/>
  <c r="N118" i="1"/>
  <c r="O118" i="1"/>
  <c r="P118" i="1"/>
  <c r="V118" i="1"/>
  <c r="W118" i="1"/>
  <c r="X118" i="1"/>
  <c r="H119" i="1"/>
  <c r="I119" i="1"/>
  <c r="J119" i="1"/>
  <c r="K119" i="1"/>
  <c r="L119" i="1"/>
  <c r="M119" i="1"/>
  <c r="N119" i="1"/>
  <c r="O119" i="1"/>
  <c r="V119" i="1"/>
  <c r="W119" i="1"/>
  <c r="X119" i="1"/>
  <c r="W120" i="1"/>
  <c r="X120" i="1"/>
  <c r="H121" i="1"/>
  <c r="I121" i="1"/>
  <c r="J121" i="1"/>
  <c r="K121" i="1"/>
  <c r="L121" i="1"/>
  <c r="M121" i="1"/>
  <c r="N121" i="1"/>
  <c r="O121" i="1"/>
  <c r="Q121" i="1"/>
  <c r="V121" i="1"/>
  <c r="W121" i="1"/>
  <c r="X121" i="1"/>
  <c r="H122" i="1"/>
  <c r="I122" i="1"/>
  <c r="J122" i="1"/>
  <c r="K122" i="1"/>
  <c r="L122" i="1"/>
  <c r="M122" i="1"/>
  <c r="N122" i="1"/>
  <c r="O122" i="1"/>
  <c r="Q122" i="1"/>
  <c r="V122" i="1"/>
  <c r="W122" i="1"/>
  <c r="X122" i="1"/>
  <c r="H123" i="1"/>
  <c r="I123" i="1"/>
  <c r="J123" i="1"/>
  <c r="K123" i="1"/>
  <c r="L123" i="1"/>
  <c r="M123" i="1"/>
  <c r="N123" i="1"/>
  <c r="O123" i="1"/>
  <c r="Q123" i="1"/>
  <c r="V123" i="1"/>
  <c r="W123" i="1"/>
  <c r="X123" i="1"/>
  <c r="H124" i="1"/>
  <c r="I124" i="1"/>
  <c r="J124" i="1"/>
  <c r="K124" i="1"/>
  <c r="L124" i="1"/>
  <c r="M124" i="1"/>
  <c r="N124" i="1"/>
  <c r="O124" i="1"/>
  <c r="Q124" i="1"/>
  <c r="V124" i="1"/>
  <c r="W124" i="1"/>
  <c r="X124" i="1"/>
  <c r="H125" i="1"/>
  <c r="I125" i="1"/>
  <c r="J125" i="1"/>
  <c r="K125" i="1"/>
  <c r="L125" i="1"/>
  <c r="M125" i="1"/>
  <c r="N125" i="1"/>
  <c r="O125" i="1"/>
  <c r="V125" i="1"/>
  <c r="W125" i="1"/>
  <c r="X125" i="1"/>
  <c r="W126" i="1"/>
  <c r="X126" i="1"/>
  <c r="H127" i="1"/>
  <c r="I127" i="1"/>
  <c r="J127" i="1"/>
  <c r="K127" i="1"/>
  <c r="L127" i="1"/>
  <c r="M127" i="1"/>
  <c r="N127" i="1"/>
  <c r="O127" i="1"/>
  <c r="P127" i="1"/>
  <c r="T127" i="1"/>
  <c r="U127" i="1"/>
  <c r="V127" i="1"/>
  <c r="W127" i="1"/>
  <c r="X127" i="1"/>
  <c r="H128" i="1"/>
  <c r="I128" i="1"/>
  <c r="J128" i="1"/>
  <c r="K128" i="1"/>
  <c r="L128" i="1"/>
  <c r="M128" i="1"/>
  <c r="N128" i="1"/>
  <c r="O128" i="1"/>
  <c r="P128" i="1"/>
  <c r="T128" i="1"/>
  <c r="U128" i="1"/>
  <c r="V128" i="1"/>
  <c r="W128" i="1"/>
  <c r="X128" i="1"/>
  <c r="H129" i="1"/>
  <c r="I129" i="1"/>
  <c r="J129" i="1"/>
  <c r="K129" i="1"/>
  <c r="L129" i="1"/>
  <c r="M129" i="1"/>
  <c r="N129" i="1"/>
  <c r="O129" i="1"/>
  <c r="V129" i="1"/>
  <c r="W129" i="1"/>
  <c r="X129" i="1"/>
  <c r="T130" i="1"/>
  <c r="U130" i="1"/>
  <c r="W130" i="1"/>
  <c r="X130" i="1"/>
  <c r="H131" i="1"/>
  <c r="I131" i="1"/>
  <c r="J131" i="1"/>
  <c r="K131" i="1"/>
  <c r="L131" i="1"/>
  <c r="M131" i="1"/>
  <c r="N131" i="1"/>
  <c r="O131" i="1"/>
  <c r="P131" i="1"/>
  <c r="T131" i="1"/>
  <c r="U131" i="1"/>
  <c r="V131" i="1"/>
  <c r="W131" i="1"/>
  <c r="X131" i="1"/>
  <c r="H132" i="1"/>
  <c r="I132" i="1"/>
  <c r="J132" i="1"/>
  <c r="K132" i="1"/>
  <c r="L132" i="1"/>
  <c r="M132" i="1"/>
  <c r="N132" i="1"/>
  <c r="O132" i="1"/>
  <c r="P132" i="1"/>
  <c r="T132" i="1"/>
  <c r="U132" i="1"/>
  <c r="V132" i="1"/>
  <c r="W132" i="1"/>
  <c r="X132" i="1"/>
  <c r="H133" i="1"/>
  <c r="I133" i="1"/>
  <c r="J133" i="1"/>
  <c r="K133" i="1"/>
  <c r="L133" i="1"/>
  <c r="M133" i="1"/>
  <c r="N133" i="1"/>
  <c r="O133" i="1"/>
  <c r="V133" i="1"/>
  <c r="W133" i="1"/>
  <c r="X133" i="1"/>
  <c r="T134" i="1"/>
  <c r="U134" i="1"/>
  <c r="W134" i="1"/>
  <c r="X134" i="1"/>
  <c r="W135" i="1"/>
  <c r="X135" i="1"/>
  <c r="H136" i="1"/>
  <c r="I136" i="1"/>
  <c r="J136" i="1"/>
  <c r="K136" i="1"/>
  <c r="L136" i="1"/>
  <c r="M136" i="1"/>
  <c r="N136" i="1"/>
  <c r="O136" i="1"/>
  <c r="P136" i="1"/>
  <c r="V136" i="1"/>
  <c r="W136" i="1"/>
  <c r="X136" i="1"/>
  <c r="H137" i="1"/>
  <c r="I137" i="1"/>
  <c r="J137" i="1"/>
  <c r="K137" i="1"/>
  <c r="L137" i="1"/>
  <c r="M137" i="1"/>
  <c r="N137" i="1"/>
  <c r="O137" i="1"/>
  <c r="P137" i="1"/>
  <c r="V137" i="1"/>
  <c r="W137" i="1"/>
  <c r="X137" i="1"/>
  <c r="H138" i="1"/>
  <c r="I138" i="1"/>
  <c r="J138" i="1"/>
  <c r="K138" i="1"/>
  <c r="L138" i="1"/>
  <c r="M138" i="1"/>
  <c r="N138" i="1"/>
  <c r="O138" i="1"/>
  <c r="V138" i="1"/>
  <c r="W138" i="1"/>
  <c r="X138" i="1"/>
  <c r="W139" i="1"/>
  <c r="X139" i="1"/>
  <c r="K140" i="1"/>
  <c r="L140" i="1"/>
  <c r="M140" i="1"/>
  <c r="N140" i="1"/>
  <c r="O140" i="1"/>
  <c r="P140" i="1"/>
  <c r="Q140" i="1"/>
  <c r="T140" i="1"/>
  <c r="U140" i="1"/>
  <c r="V140" i="1"/>
  <c r="W140" i="1"/>
  <c r="X140" i="1"/>
  <c r="P147" i="1"/>
  <c r="P148" i="1"/>
  <c r="Q148" i="1"/>
  <c r="Q150" i="1"/>
  <c r="R150" i="1"/>
  <c r="Q151" i="1"/>
  <c r="Q152" i="1"/>
  <c r="F10" i="35"/>
  <c r="I10" i="35"/>
  <c r="J10" i="35"/>
  <c r="L10" i="35"/>
  <c r="F11" i="35"/>
  <c r="I11" i="35"/>
  <c r="J11" i="35"/>
  <c r="L11" i="35"/>
  <c r="F12" i="35"/>
  <c r="I12" i="35"/>
  <c r="J12" i="35"/>
  <c r="L12" i="35"/>
  <c r="F13" i="35"/>
  <c r="I13" i="35"/>
  <c r="J13" i="35"/>
  <c r="L13" i="35"/>
  <c r="F14" i="35"/>
  <c r="I14" i="35"/>
  <c r="K14" i="35"/>
  <c r="L14" i="35"/>
  <c r="F15" i="35"/>
  <c r="I15" i="35"/>
  <c r="K15" i="35"/>
  <c r="L15" i="35"/>
  <c r="F16" i="35"/>
  <c r="I16" i="35"/>
  <c r="K16" i="35"/>
  <c r="L16" i="35"/>
  <c r="F17" i="35"/>
  <c r="I17" i="35"/>
  <c r="K17" i="35"/>
  <c r="L17" i="35"/>
  <c r="F18" i="35"/>
  <c r="I18" i="35"/>
  <c r="K18" i="35"/>
  <c r="L18" i="35"/>
  <c r="F19" i="35"/>
  <c r="I19" i="35"/>
  <c r="K19" i="35"/>
  <c r="L19" i="35"/>
  <c r="F20" i="35"/>
  <c r="I20" i="35"/>
  <c r="K20" i="35"/>
  <c r="L20" i="35"/>
  <c r="F21" i="35"/>
  <c r="I21" i="35"/>
  <c r="J21" i="35"/>
  <c r="K21" i="35"/>
  <c r="L21" i="35"/>
  <c r="F24" i="35"/>
  <c r="I24" i="35"/>
  <c r="J24" i="35"/>
  <c r="L24" i="35"/>
  <c r="F25" i="35"/>
  <c r="I25" i="35"/>
  <c r="J25" i="35"/>
  <c r="L25" i="35"/>
  <c r="F26" i="35"/>
  <c r="I26" i="35"/>
  <c r="J26" i="35"/>
  <c r="L26" i="35"/>
  <c r="F27" i="35"/>
  <c r="I27" i="35"/>
  <c r="J27" i="35"/>
  <c r="L27" i="35"/>
  <c r="F28" i="35"/>
  <c r="I28" i="35"/>
  <c r="K28" i="35"/>
  <c r="L28" i="35"/>
  <c r="F29" i="35"/>
  <c r="G29" i="35"/>
  <c r="I29" i="35"/>
  <c r="K29" i="35"/>
  <c r="L29" i="35"/>
  <c r="F30" i="35"/>
  <c r="G30" i="35"/>
  <c r="I30" i="35"/>
  <c r="K30" i="35"/>
  <c r="L30" i="35"/>
  <c r="F31" i="35"/>
  <c r="G31" i="35"/>
  <c r="I31" i="35"/>
  <c r="K31" i="35"/>
  <c r="L31" i="35"/>
  <c r="F32" i="35"/>
  <c r="G32" i="35"/>
  <c r="I32" i="35"/>
  <c r="K32" i="35"/>
  <c r="L32" i="35"/>
  <c r="F33" i="35"/>
  <c r="G33" i="35"/>
  <c r="I33" i="35"/>
  <c r="K33" i="35"/>
  <c r="L33" i="35"/>
  <c r="F34" i="35"/>
  <c r="G34" i="35"/>
  <c r="I34" i="35"/>
  <c r="K34" i="35"/>
  <c r="L34" i="35"/>
  <c r="F35" i="35"/>
  <c r="I35" i="35"/>
  <c r="J35" i="35"/>
  <c r="K35" i="35"/>
  <c r="L35" i="35"/>
  <c r="G36" i="35"/>
  <c r="F37" i="35"/>
  <c r="I37" i="35"/>
  <c r="J37" i="35"/>
  <c r="K37" i="35"/>
  <c r="L37" i="35"/>
  <c r="F10" i="36"/>
  <c r="I10" i="36"/>
  <c r="J10" i="36"/>
  <c r="L10" i="36"/>
  <c r="F11" i="36"/>
  <c r="I11" i="36"/>
  <c r="J11" i="36"/>
  <c r="L11" i="36"/>
  <c r="F12" i="36"/>
  <c r="I12" i="36"/>
  <c r="J12" i="36"/>
  <c r="L12" i="36"/>
  <c r="F13" i="36"/>
  <c r="I13" i="36"/>
  <c r="J13" i="36"/>
  <c r="L13" i="36"/>
  <c r="F14" i="36"/>
  <c r="I14" i="36"/>
  <c r="K14" i="36"/>
  <c r="L14" i="36"/>
  <c r="F15" i="36"/>
  <c r="I15" i="36"/>
  <c r="K15" i="36"/>
  <c r="L15" i="36"/>
  <c r="F16" i="36"/>
  <c r="I16" i="36"/>
  <c r="K16" i="36"/>
  <c r="L16" i="36"/>
  <c r="F17" i="36"/>
  <c r="I17" i="36"/>
  <c r="K17" i="36"/>
  <c r="L17" i="36"/>
  <c r="F18" i="36"/>
  <c r="I18" i="36"/>
  <c r="K18" i="36"/>
  <c r="L18" i="36"/>
  <c r="F19" i="36"/>
  <c r="I19" i="36"/>
  <c r="K19" i="36"/>
  <c r="L19" i="36"/>
  <c r="F20" i="36"/>
  <c r="I20" i="36"/>
  <c r="K20" i="36"/>
  <c r="L20" i="36"/>
  <c r="F21" i="36"/>
  <c r="I21" i="36"/>
  <c r="J21" i="36"/>
  <c r="K21" i="36"/>
  <c r="L21" i="36"/>
  <c r="F24" i="36"/>
  <c r="I24" i="36"/>
  <c r="J24" i="36"/>
  <c r="L24" i="36"/>
  <c r="F25" i="36"/>
  <c r="I25" i="36"/>
  <c r="J25" i="36"/>
  <c r="L25" i="36"/>
  <c r="F26" i="36"/>
  <c r="I26" i="36"/>
  <c r="J26" i="36"/>
  <c r="L26" i="36"/>
  <c r="F27" i="36"/>
  <c r="I27" i="36"/>
  <c r="J27" i="36"/>
  <c r="L27" i="36"/>
  <c r="F28" i="36"/>
  <c r="I28" i="36"/>
  <c r="K28" i="36"/>
  <c r="L28" i="36"/>
  <c r="F29" i="36"/>
  <c r="G29" i="36"/>
  <c r="I29" i="36"/>
  <c r="K29" i="36"/>
  <c r="L29" i="36"/>
  <c r="F30" i="36"/>
  <c r="G30" i="36"/>
  <c r="I30" i="36"/>
  <c r="K30" i="36"/>
  <c r="L30" i="36"/>
  <c r="F31" i="36"/>
  <c r="G31" i="36"/>
  <c r="I31" i="36"/>
  <c r="K31" i="36"/>
  <c r="L31" i="36"/>
  <c r="F32" i="36"/>
  <c r="G32" i="36"/>
  <c r="I32" i="36"/>
  <c r="K32" i="36"/>
  <c r="L32" i="36"/>
  <c r="F33" i="36"/>
  <c r="G33" i="36"/>
  <c r="I33" i="36"/>
  <c r="K33" i="36"/>
  <c r="L33" i="36"/>
  <c r="F34" i="36"/>
  <c r="G34" i="36"/>
  <c r="I34" i="36"/>
  <c r="K34" i="36"/>
  <c r="L34" i="36"/>
  <c r="F35" i="36"/>
  <c r="I35" i="36"/>
  <c r="J35" i="36"/>
  <c r="K35" i="36"/>
  <c r="L35" i="36"/>
  <c r="F38" i="36"/>
  <c r="I38" i="36"/>
  <c r="J38" i="36"/>
  <c r="K38" i="36"/>
  <c r="L38" i="36"/>
</calcChain>
</file>

<file path=xl/sharedStrings.xml><?xml version="1.0" encoding="utf-8"?>
<sst xmlns="http://schemas.openxmlformats.org/spreadsheetml/2006/main" count="2261" uniqueCount="231">
  <si>
    <t>FUEL HEDGING BOOK</t>
  </si>
  <si>
    <t>SUMMARY</t>
  </si>
  <si>
    <t>Company</t>
  </si>
  <si>
    <t>Contract</t>
  </si>
  <si>
    <t>Hedge</t>
  </si>
  <si>
    <t>Avg.</t>
  </si>
  <si>
    <t>Spread</t>
  </si>
  <si>
    <t>Fuel</t>
  </si>
  <si>
    <t>Name</t>
  </si>
  <si>
    <t>Number</t>
  </si>
  <si>
    <t>Type</t>
  </si>
  <si>
    <t>Term</t>
  </si>
  <si>
    <t>Price</t>
  </si>
  <si>
    <t>Actual/</t>
  </si>
  <si>
    <t>Volume</t>
  </si>
  <si>
    <t>Dth/d</t>
  </si>
  <si>
    <t>Gains and (Losses)</t>
  </si>
  <si>
    <t>Futures</t>
  </si>
  <si>
    <t>(Short)</t>
  </si>
  <si>
    <t>Total</t>
  </si>
  <si>
    <t>Realized</t>
  </si>
  <si>
    <t>Unrealized</t>
  </si>
  <si>
    <t>Prices</t>
  </si>
  <si>
    <t>Long</t>
  </si>
  <si>
    <t>(4)</t>
  </si>
  <si>
    <t>TW</t>
  </si>
  <si>
    <t>Avista</t>
  </si>
  <si>
    <t>F</t>
  </si>
  <si>
    <t>Engage</t>
  </si>
  <si>
    <t>P</t>
  </si>
  <si>
    <t>Sempra</t>
  </si>
  <si>
    <t>RMTC</t>
  </si>
  <si>
    <t>NNG</t>
  </si>
  <si>
    <t>El Paso</t>
  </si>
  <si>
    <t>Short(-)</t>
  </si>
  <si>
    <t>Long(+)</t>
  </si>
  <si>
    <t>Over-retention</t>
  </si>
  <si>
    <t>(4)Gain and Losses are a measurement of the effectiveness of meeting the stated hedge objective.</t>
  </si>
  <si>
    <t>TRANSWESTERN PIPELINE COMPANY</t>
  </si>
  <si>
    <t>Prod.</t>
  </si>
  <si>
    <t>Fixed</t>
  </si>
  <si>
    <t>Settled</t>
  </si>
  <si>
    <t>(Gains) and Losses</t>
  </si>
  <si>
    <t>Date</t>
  </si>
  <si>
    <t>Dth</t>
  </si>
  <si>
    <t>El Paso Prmn</t>
  </si>
  <si>
    <t>NORTHERN NATURAL GAS COMPANY</t>
  </si>
  <si>
    <t>EL PASO ENERGY MARKETING COMPANY_6</t>
  </si>
  <si>
    <t>IF-DEMARC</t>
  </si>
  <si>
    <t>EL PASO</t>
  </si>
  <si>
    <t>06/98-05/99</t>
  </si>
  <si>
    <t>10/98-12/99</t>
  </si>
  <si>
    <t>05/99-12/99</t>
  </si>
  <si>
    <t>01/01-12/01</t>
  </si>
  <si>
    <t xml:space="preserve"> 06/02-10/02 (5)</t>
  </si>
  <si>
    <t>Over-rtnd</t>
  </si>
  <si>
    <t xml:space="preserve"> 06/99-05/00</t>
  </si>
  <si>
    <t>MEC</t>
  </si>
  <si>
    <t>11/99-04/00</t>
  </si>
  <si>
    <t>Index less $.104</t>
  </si>
  <si>
    <t>Speculative Gains and (Losses)</t>
  </si>
  <si>
    <t>ENA</t>
  </si>
  <si>
    <t>Enron North America_9</t>
  </si>
  <si>
    <t>Enron North America_11</t>
  </si>
  <si>
    <t>Financial</t>
  </si>
  <si>
    <t>Physical</t>
  </si>
  <si>
    <t>See Note 1</t>
  </si>
  <si>
    <t xml:space="preserve"> 06/02-10/02 (4)</t>
  </si>
  <si>
    <t>(3)</t>
  </si>
  <si>
    <t>Enron North America_12</t>
  </si>
  <si>
    <t>Enron North America_13</t>
  </si>
  <si>
    <t>01/00-12/00</t>
  </si>
  <si>
    <t>TransCanada</t>
  </si>
  <si>
    <t>NT6154.1</t>
  </si>
  <si>
    <t>Trade</t>
  </si>
  <si>
    <t>NV5358.1</t>
  </si>
  <si>
    <t>OTHER TRADE</t>
  </si>
  <si>
    <t>Floating</t>
  </si>
  <si>
    <t>Notional</t>
  </si>
  <si>
    <t>11/00-10/02</t>
  </si>
  <si>
    <t>Risk Book</t>
  </si>
  <si>
    <t>Trading BOOK</t>
  </si>
  <si>
    <t>Receiving</t>
  </si>
  <si>
    <t>Paying</t>
  </si>
  <si>
    <t>Mark to Mrkt</t>
  </si>
  <si>
    <t xml:space="preserve">NNG </t>
  </si>
  <si>
    <t>Fixed Price</t>
  </si>
  <si>
    <t>NYMEX H.H. +</t>
  </si>
  <si>
    <t>I.F. Demarc</t>
  </si>
  <si>
    <t>Variance</t>
  </si>
  <si>
    <t>NI8156.1</t>
  </si>
  <si>
    <t>NK4742.1</t>
  </si>
  <si>
    <t>FX Swap M337849</t>
  </si>
  <si>
    <t>FX Swap</t>
  </si>
  <si>
    <t>RTMC</t>
  </si>
  <si>
    <t>$USD</t>
  </si>
  <si>
    <t>$CAD</t>
  </si>
  <si>
    <t>12/26/00-11/25/02</t>
  </si>
  <si>
    <t>M337849</t>
  </si>
  <si>
    <t>Note 1:  Hedges are perfectly correlated.</t>
  </si>
  <si>
    <t>DEMARC</t>
  </si>
  <si>
    <t>Commodity Swap</t>
  </si>
  <si>
    <t>Risk Management &amp; Trading Corp.</t>
  </si>
  <si>
    <t>Deal #QK7503.1</t>
  </si>
  <si>
    <t>FIXED</t>
  </si>
  <si>
    <t>NYMEX</t>
  </si>
  <si>
    <t>NYMEX H.H.</t>
  </si>
  <si>
    <t>Qty.</t>
  </si>
  <si>
    <t xml:space="preserve">Float </t>
  </si>
  <si>
    <t>Reliant Energy Services, Inc.</t>
  </si>
  <si>
    <t>Deal #12007624</t>
  </si>
  <si>
    <t>Reliant</t>
  </si>
  <si>
    <t>QK7503.1</t>
  </si>
  <si>
    <t>04/01/02-04/30/02</t>
  </si>
  <si>
    <t>Reliant Energy</t>
  </si>
  <si>
    <t>TransCanada Energy Financial Products Limited</t>
  </si>
  <si>
    <t>Deal #SW17</t>
  </si>
  <si>
    <t>TCEFPL</t>
  </si>
  <si>
    <t>SW17</t>
  </si>
  <si>
    <t>02/01/01-12/31/01</t>
  </si>
  <si>
    <t>SW18</t>
  </si>
  <si>
    <t>Risk Management Trading Corp Deal #QL2918.1</t>
  </si>
  <si>
    <t>NGI</t>
  </si>
  <si>
    <t>Southern Cal</t>
  </si>
  <si>
    <t>Border Avg</t>
  </si>
  <si>
    <t>Risk Management Trading Corp Deal #QL2915.1</t>
  </si>
  <si>
    <t>EPNG</t>
  </si>
  <si>
    <t>S.J.</t>
  </si>
  <si>
    <t xml:space="preserve">Floating </t>
  </si>
  <si>
    <t xml:space="preserve">ENA </t>
  </si>
  <si>
    <t>NYMEX H.H. -</t>
  </si>
  <si>
    <t>QL2915.1</t>
  </si>
  <si>
    <t>01/01/02-12/31/02</t>
  </si>
  <si>
    <t>QL2918.1</t>
  </si>
  <si>
    <t>NGI Socal -</t>
  </si>
  <si>
    <t>Last month speculative risk management asset</t>
  </si>
  <si>
    <t>Speculative asset</t>
  </si>
  <si>
    <t>Sale</t>
  </si>
  <si>
    <t>Transport</t>
  </si>
  <si>
    <t>Hedged Position Summary</t>
  </si>
  <si>
    <t xml:space="preserve">Note 3:  Gain and Losses are a measurement of the effectiveness of meeting the </t>
  </si>
  <si>
    <t xml:space="preserve">              stated hedge objective.</t>
  </si>
  <si>
    <t>Note 4:  Margin call:  $  1,000,000 - NNG</t>
  </si>
  <si>
    <t xml:space="preserve">                                   $30,000,000 - El Paso</t>
  </si>
  <si>
    <t>Hedging liability</t>
  </si>
  <si>
    <t>Total risk management asset/(liability)</t>
  </si>
  <si>
    <t>ENRON TRANSPORTATION SERVICES</t>
  </si>
  <si>
    <t>I.F. Elpaso</t>
  </si>
  <si>
    <t>Permian</t>
  </si>
  <si>
    <t>TWPL</t>
  </si>
  <si>
    <t>02/01/02-12/31/02</t>
  </si>
  <si>
    <t>Rick Management Trading Corp  Deal #QL5358.1</t>
  </si>
  <si>
    <t>H.H.</t>
  </si>
  <si>
    <t>I.F. ELPASO</t>
  </si>
  <si>
    <t>Rick Management Trading Corp  Deal #QL5357.1</t>
  </si>
  <si>
    <t>Socal</t>
  </si>
  <si>
    <t>QL5357.1</t>
  </si>
  <si>
    <t>QL5358.1</t>
  </si>
  <si>
    <t>Dynegy</t>
  </si>
  <si>
    <t>01/01/03-12/31/03</t>
  </si>
  <si>
    <t>Rick Management Trading Corp  Deal #QL9273.1</t>
  </si>
  <si>
    <t>Rick Management Trading Corp  Deal #QL9270.1</t>
  </si>
  <si>
    <t>IF SJ</t>
  </si>
  <si>
    <t>Calpine</t>
  </si>
  <si>
    <t>QL9270.1</t>
  </si>
  <si>
    <t>QL9273.1</t>
  </si>
  <si>
    <t>Rick Management Trading Corp  Deal #QL5363.1</t>
  </si>
  <si>
    <t>I.F.</t>
  </si>
  <si>
    <t>SJ</t>
  </si>
  <si>
    <t>Rick Management Trading Corp  Deal #QL5365.1</t>
  </si>
  <si>
    <t>QL5363.1</t>
  </si>
  <si>
    <t>QL5365.1</t>
  </si>
  <si>
    <t>12/01/01-12/31/01</t>
  </si>
  <si>
    <t>Rick Management Trading Corp  Deal #QL5444.1</t>
  </si>
  <si>
    <t xml:space="preserve">I.F. </t>
  </si>
  <si>
    <t>Rick Management Trading Corp  Deal #QL5424.1</t>
  </si>
  <si>
    <t>QL5424.1</t>
  </si>
  <si>
    <t>QL5444.1</t>
  </si>
  <si>
    <t>Total OCI</t>
  </si>
  <si>
    <t>Richardson</t>
  </si>
  <si>
    <t>11/01/02-12/31/02</t>
  </si>
  <si>
    <t>04/01/01-10/31/01</t>
  </si>
  <si>
    <t>HJN1006</t>
  </si>
  <si>
    <t>OCI  (Gains) Losses</t>
  </si>
  <si>
    <t>NK7775.1</t>
  </si>
  <si>
    <t>QF4410.1</t>
  </si>
  <si>
    <t>QF4447.1</t>
  </si>
  <si>
    <t>ENA QF4410.1 Swap</t>
  </si>
  <si>
    <t>ENA QF4447.1  Swap</t>
  </si>
  <si>
    <t>HJN1007</t>
  </si>
  <si>
    <t xml:space="preserve">TransCanada </t>
  </si>
  <si>
    <t>Deal #SW18</t>
  </si>
  <si>
    <t>HENRY HUB</t>
  </si>
  <si>
    <t>NYMEX Henry Hub</t>
  </si>
  <si>
    <t>ENA QF0967.1 Swap</t>
  </si>
  <si>
    <t>ENA QF5953.1  Swap</t>
  </si>
  <si>
    <t>QF0967.1</t>
  </si>
  <si>
    <t>QF5953.1</t>
  </si>
  <si>
    <t>Speculative (Gains)/Losses</t>
  </si>
  <si>
    <t>QV8401.1</t>
  </si>
  <si>
    <t>RMTC    QV8401.1</t>
  </si>
  <si>
    <t>Sempra Energy Trading</t>
  </si>
  <si>
    <t>HJN1008</t>
  </si>
  <si>
    <t>Aquila</t>
  </si>
  <si>
    <t>PEPL TXOK</t>
  </si>
  <si>
    <t>HJN1009</t>
  </si>
  <si>
    <t>Basis Swap</t>
  </si>
  <si>
    <t>Current Portion</t>
  </si>
  <si>
    <t xml:space="preserve">As of </t>
  </si>
  <si>
    <t>06/01/01-10/31/01</t>
  </si>
  <si>
    <t>Current</t>
  </si>
  <si>
    <t>current 4/30/2001</t>
  </si>
  <si>
    <t>Speculative  (Gains) Losses</t>
  </si>
  <si>
    <t xml:space="preserve">     Less May settled amount</t>
  </si>
  <si>
    <t xml:space="preserve">     Increase due to $CAD price changes from 04/30/01 to</t>
  </si>
  <si>
    <t xml:space="preserve">        05/07/01</t>
  </si>
  <si>
    <t xml:space="preserve">     May additions to risk management asset</t>
  </si>
  <si>
    <t>RISK BOOK  SUMMARY excluding Index Premium</t>
  </si>
  <si>
    <t>Transcanada</t>
  </si>
  <si>
    <t>IF PEPL TXOK</t>
  </si>
  <si>
    <t>GD MID OK PEPL</t>
  </si>
  <si>
    <t>IF DEMARC</t>
  </si>
  <si>
    <t>GD MID DEMARC</t>
  </si>
  <si>
    <t>HJN1010</t>
  </si>
  <si>
    <t>06/01/01-06/30/01</t>
  </si>
  <si>
    <t>HJN1011</t>
  </si>
  <si>
    <t>TransCanada HJN 1010</t>
  </si>
  <si>
    <t>TransCanada HJN 1011</t>
  </si>
  <si>
    <t xml:space="preserve">     Decrease due to exclusion of index Premiums </t>
  </si>
  <si>
    <t/>
  </si>
  <si>
    <t>long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</si>
</sst>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0_);_(&quot;$&quot;* \(#,##0.0000\);_(&quot;$&quot;* &quot;-&quot;??_);_(@_)"/>
    <numFmt numFmtId="167" formatCode="_(&quot;$&quot;* #,##0.000_);_(&quot;$&quot;* \(#,##0.000\);_(&quot;$&quot;* &quot;-&quot;??_);_(@_)"/>
    <numFmt numFmtId="179" formatCode="mm/dd/yy"/>
    <numFmt numFmtId="180" formatCode="&quot;$&quot;#,##0.00000"/>
  </numFmts>
  <fonts count="17" x14ac:knownFonts="1">
    <font>
      <sz val="10"/>
      <name val="Arial"/>
    </font>
    <font>
      <b/>
      <i/>
      <sz val="10"/>
      <name val="Arial"/>
    </font>
    <font>
      <sz val="10"/>
      <name val="Arial"/>
    </font>
    <font>
      <b/>
      <i/>
      <sz val="12"/>
      <name val="Arial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color indexed="10"/>
      <name val="Arial"/>
      <family val="2"/>
    </font>
    <font>
      <sz val="8"/>
      <color indexed="58"/>
      <name val="Arial"/>
      <family val="2"/>
    </font>
    <font>
      <sz val="8"/>
      <color indexed="12"/>
      <name val="Arial"/>
      <family val="2"/>
    </font>
    <font>
      <sz val="10"/>
      <color indexed="10"/>
      <name val="Arial"/>
      <family val="2"/>
    </font>
    <font>
      <sz val="8"/>
      <color indexed="5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93">
    <xf numFmtId="0" fontId="0" fillId="0" borderId="0" xfId="0"/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1" fillId="2" borderId="6" xfId="0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44" fontId="0" fillId="0" borderId="7" xfId="2" applyFont="1" applyBorder="1"/>
    <xf numFmtId="164" fontId="0" fillId="0" borderId="7" xfId="1" applyNumberFormat="1" applyFont="1" applyBorder="1"/>
    <xf numFmtId="44" fontId="0" fillId="0" borderId="4" xfId="2" applyFont="1" applyBorder="1"/>
    <xf numFmtId="0" fontId="0" fillId="0" borderId="3" xfId="0" applyBorder="1"/>
    <xf numFmtId="0" fontId="0" fillId="0" borderId="8" xfId="0" applyBorder="1"/>
    <xf numFmtId="44" fontId="0" fillId="0" borderId="0" xfId="2" applyFont="1"/>
    <xf numFmtId="0" fontId="5" fillId="0" borderId="0" xfId="0" applyFont="1"/>
    <xf numFmtId="17" fontId="0" fillId="0" borderId="7" xfId="0" applyNumberFormat="1" applyBorder="1"/>
    <xf numFmtId="165" fontId="0" fillId="0" borderId="7" xfId="2" applyNumberFormat="1" applyFont="1" applyBorder="1"/>
    <xf numFmtId="165" fontId="0" fillId="0" borderId="7" xfId="0" applyNumberFormat="1" applyBorder="1"/>
    <xf numFmtId="44" fontId="6" fillId="0" borderId="7" xfId="2" applyFont="1" applyBorder="1"/>
    <xf numFmtId="164" fontId="1" fillId="0" borderId="7" xfId="0" applyNumberFormat="1" applyFont="1" applyBorder="1"/>
    <xf numFmtId="0" fontId="0" fillId="0" borderId="4" xfId="0" applyBorder="1"/>
    <xf numFmtId="0" fontId="0" fillId="0" borderId="9" xfId="0" applyBorder="1"/>
    <xf numFmtId="44" fontId="0" fillId="0" borderId="4" xfId="0" applyNumberFormat="1" applyBorder="1"/>
    <xf numFmtId="44" fontId="1" fillId="0" borderId="4" xfId="2" applyFont="1" applyBorder="1"/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44" fontId="1" fillId="0" borderId="7" xfId="2" applyFont="1" applyBorder="1"/>
    <xf numFmtId="0" fontId="1" fillId="2" borderId="11" xfId="0" applyFont="1" applyFill="1" applyBorder="1" applyAlignment="1">
      <alignment horizontal="centerContinuous"/>
    </xf>
    <xf numFmtId="0" fontId="1" fillId="3" borderId="11" xfId="0" applyFont="1" applyFill="1" applyBorder="1" applyAlignment="1">
      <alignment horizontal="centerContinuous"/>
    </xf>
    <xf numFmtId="0" fontId="1" fillId="3" borderId="12" xfId="0" applyFont="1" applyFill="1" applyBorder="1" applyAlignment="1">
      <alignment horizontal="centerContinuous"/>
    </xf>
    <xf numFmtId="0" fontId="1" fillId="2" borderId="6" xfId="0" quotePrefix="1" applyFont="1" applyFill="1" applyBorder="1" applyAlignment="1">
      <alignment horizontal="center"/>
    </xf>
    <xf numFmtId="0" fontId="1" fillId="2" borderId="9" xfId="0" quotePrefix="1" applyFont="1" applyFill="1" applyBorder="1" applyAlignment="1">
      <alignment horizontal="center"/>
    </xf>
    <xf numFmtId="44" fontId="0" fillId="0" borderId="7" xfId="2" applyFont="1" applyFill="1" applyBorder="1"/>
    <xf numFmtId="164" fontId="0" fillId="0" borderId="8" xfId="1" applyNumberFormat="1" applyFont="1" applyBorder="1"/>
    <xf numFmtId="44" fontId="0" fillId="0" borderId="8" xfId="2" applyFont="1" applyBorder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3" xfId="0" applyFont="1" applyBorder="1"/>
    <xf numFmtId="0" fontId="8" fillId="0" borderId="7" xfId="0" applyFont="1" applyBorder="1" applyAlignment="1">
      <alignment horizontal="center" wrapText="1"/>
    </xf>
    <xf numFmtId="165" fontId="8" fillId="0" borderId="13" xfId="0" applyNumberFormat="1" applyFont="1" applyBorder="1"/>
    <xf numFmtId="165" fontId="8" fillId="0" borderId="7" xfId="2" applyNumberFormat="1" applyFont="1" applyBorder="1"/>
    <xf numFmtId="164" fontId="8" fillId="0" borderId="13" xfId="1" applyNumberFormat="1" applyFont="1" applyBorder="1"/>
    <xf numFmtId="44" fontId="8" fillId="0" borderId="13" xfId="0" applyNumberFormat="1" applyFont="1" applyBorder="1"/>
    <xf numFmtId="44" fontId="8" fillId="0" borderId="4" xfId="0" applyNumberFormat="1" applyFont="1" applyBorder="1"/>
    <xf numFmtId="0" fontId="8" fillId="0" borderId="7" xfId="0" applyFont="1" applyBorder="1" applyAlignment="1">
      <alignment horizontal="center"/>
    </xf>
    <xf numFmtId="0" fontId="8" fillId="0" borderId="7" xfId="0" applyFont="1" applyBorder="1"/>
    <xf numFmtId="0" fontId="8" fillId="0" borderId="4" xfId="0" applyFont="1" applyBorder="1"/>
    <xf numFmtId="165" fontId="8" fillId="0" borderId="7" xfId="0" applyNumberFormat="1" applyFont="1" applyBorder="1"/>
    <xf numFmtId="165" fontId="8" fillId="0" borderId="3" xfId="2" applyNumberFormat="1" applyFont="1" applyBorder="1"/>
    <xf numFmtId="165" fontId="8" fillId="0" borderId="8" xfId="0" applyNumberFormat="1" applyFont="1" applyFill="1" applyBorder="1"/>
    <xf numFmtId="164" fontId="8" fillId="0" borderId="4" xfId="1" applyNumberFormat="1" applyFont="1" applyBorder="1"/>
    <xf numFmtId="164" fontId="8" fillId="0" borderId="7" xfId="1" applyNumberFormat="1" applyFont="1" applyBorder="1"/>
    <xf numFmtId="44" fontId="8" fillId="0" borderId="7" xfId="0" applyNumberFormat="1" applyFont="1" applyBorder="1"/>
    <xf numFmtId="164" fontId="7" fillId="0" borderId="13" xfId="1" applyNumberFormat="1" applyFont="1" applyBorder="1"/>
    <xf numFmtId="44" fontId="7" fillId="0" borderId="13" xfId="2" applyFont="1" applyBorder="1"/>
    <xf numFmtId="164" fontId="7" fillId="0" borderId="7" xfId="0" applyNumberFormat="1" applyFont="1" applyBorder="1"/>
    <xf numFmtId="164" fontId="7" fillId="0" borderId="13" xfId="0" applyNumberFormat="1" applyFont="1" applyBorder="1"/>
    <xf numFmtId="44" fontId="7" fillId="0" borderId="13" xfId="0" applyNumberFormat="1" applyFont="1" applyBorder="1"/>
    <xf numFmtId="164" fontId="8" fillId="0" borderId="8" xfId="1" applyNumberFormat="1" applyFont="1" applyBorder="1"/>
    <xf numFmtId="44" fontId="8" fillId="0" borderId="8" xfId="0" applyNumberFormat="1" applyFont="1" applyBorder="1"/>
    <xf numFmtId="44" fontId="8" fillId="0" borderId="9" xfId="0" applyNumberFormat="1" applyFont="1" applyBorder="1"/>
    <xf numFmtId="44" fontId="7" fillId="0" borderId="7" xfId="0" applyNumberFormat="1" applyFont="1" applyBorder="1"/>
    <xf numFmtId="44" fontId="7" fillId="0" borderId="4" xfId="0" applyNumberFormat="1" applyFont="1" applyBorder="1"/>
    <xf numFmtId="164" fontId="8" fillId="0" borderId="7" xfId="0" applyNumberFormat="1" applyFont="1" applyBorder="1"/>
    <xf numFmtId="164" fontId="8" fillId="0" borderId="8" xfId="0" applyNumberFormat="1" applyFont="1" applyBorder="1"/>
    <xf numFmtId="164" fontId="8" fillId="0" borderId="0" xfId="1" applyNumberFormat="1" applyFont="1"/>
    <xf numFmtId="44" fontId="8" fillId="0" borderId="7" xfId="2" applyFont="1" applyBorder="1"/>
    <xf numFmtId="0" fontId="8" fillId="0" borderId="8" xfId="0" applyFont="1" applyBorder="1" applyAlignment="1">
      <alignment horizontal="center"/>
    </xf>
    <xf numFmtId="0" fontId="8" fillId="0" borderId="8" xfId="0" applyFont="1" applyBorder="1"/>
    <xf numFmtId="0" fontId="8" fillId="0" borderId="9" xfId="0" applyFont="1" applyBorder="1"/>
    <xf numFmtId="0" fontId="8" fillId="0" borderId="0" xfId="0" applyFont="1" applyAlignment="1">
      <alignment horizontal="center"/>
    </xf>
    <xf numFmtId="165" fontId="8" fillId="0" borderId="8" xfId="0" applyNumberFormat="1" applyFont="1" applyBorder="1"/>
    <xf numFmtId="164" fontId="8" fillId="0" borderId="6" xfId="1" applyNumberFormat="1" applyFont="1" applyBorder="1"/>
    <xf numFmtId="44" fontId="8" fillId="0" borderId="8" xfId="2" applyFont="1" applyBorder="1"/>
    <xf numFmtId="44" fontId="9" fillId="0" borderId="7" xfId="0" applyNumberFormat="1" applyFont="1" applyBorder="1"/>
    <xf numFmtId="44" fontId="9" fillId="0" borderId="7" xfId="2" applyFont="1" applyBorder="1"/>
    <xf numFmtId="164" fontId="0" fillId="0" borderId="14" xfId="1" applyNumberFormat="1" applyFont="1" applyBorder="1"/>
    <xf numFmtId="44" fontId="0" fillId="0" borderId="14" xfId="2" applyFont="1" applyBorder="1"/>
    <xf numFmtId="164" fontId="8" fillId="0" borderId="0" xfId="1" applyNumberFormat="1" applyFont="1" applyBorder="1"/>
    <xf numFmtId="44" fontId="0" fillId="0" borderId="9" xfId="0" applyNumberFormat="1" applyBorder="1"/>
    <xf numFmtId="0" fontId="7" fillId="0" borderId="3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0" borderId="3" xfId="0" applyFont="1" applyFill="1" applyBorder="1" applyAlignment="1">
      <alignment horizontal="center" wrapText="1" shrinkToFit="1"/>
    </xf>
    <xf numFmtId="164" fontId="8" fillId="0" borderId="3" xfId="1" applyNumberFormat="1" applyFont="1" applyFill="1" applyBorder="1" applyAlignment="1">
      <alignment horizontal="center"/>
    </xf>
    <xf numFmtId="164" fontId="7" fillId="0" borderId="3" xfId="1" applyNumberFormat="1" applyFont="1" applyFill="1" applyBorder="1" applyAlignment="1">
      <alignment horizontal="center"/>
    </xf>
    <xf numFmtId="44" fontId="8" fillId="0" borderId="3" xfId="0" quotePrefix="1" applyNumberFormat="1" applyFont="1" applyFill="1" applyBorder="1" applyAlignment="1">
      <alignment horizontal="center"/>
    </xf>
    <xf numFmtId="0" fontId="7" fillId="0" borderId="3" xfId="0" quotePrefix="1" applyFont="1" applyFill="1" applyBorder="1" applyAlignment="1">
      <alignment horizontal="center"/>
    </xf>
    <xf numFmtId="44" fontId="8" fillId="0" borderId="7" xfId="0" quotePrefix="1" applyNumberFormat="1" applyFont="1" applyFill="1" applyBorder="1" applyAlignment="1">
      <alignment horizontal="center"/>
    </xf>
    <xf numFmtId="44" fontId="8" fillId="0" borderId="3" xfId="2" applyFont="1" applyFill="1" applyBorder="1" applyAlignment="1">
      <alignment horizontal="center"/>
    </xf>
    <xf numFmtId="167" fontId="8" fillId="0" borderId="3" xfId="2" applyNumberFormat="1" applyFont="1" applyFill="1" applyBorder="1" applyAlignment="1">
      <alignment horizontal="center"/>
    </xf>
    <xf numFmtId="44" fontId="7" fillId="0" borderId="7" xfId="0" quotePrefix="1" applyNumberFormat="1" applyFont="1" applyFill="1" applyBorder="1" applyAlignment="1">
      <alignment horizontal="center"/>
    </xf>
    <xf numFmtId="164" fontId="7" fillId="0" borderId="0" xfId="0" applyNumberFormat="1" applyFont="1" applyBorder="1"/>
    <xf numFmtId="44" fontId="8" fillId="0" borderId="8" xfId="0" quotePrefix="1" applyNumberFormat="1" applyFont="1" applyFill="1" applyBorder="1" applyAlignment="1">
      <alignment horizontal="center"/>
    </xf>
    <xf numFmtId="164" fontId="8" fillId="0" borderId="8" xfId="1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9" fillId="0" borderId="7" xfId="0" applyFont="1" applyBorder="1"/>
    <xf numFmtId="0" fontId="9" fillId="0" borderId="0" xfId="0" applyFont="1"/>
    <xf numFmtId="0" fontId="9" fillId="0" borderId="15" xfId="0" applyFont="1" applyBorder="1" applyAlignment="1">
      <alignment horizontal="center"/>
    </xf>
    <xf numFmtId="165" fontId="0" fillId="0" borderId="0" xfId="0" applyNumberFormat="1"/>
    <xf numFmtId="43" fontId="0" fillId="0" borderId="0" xfId="0" applyNumberFormat="1"/>
    <xf numFmtId="164" fontId="7" fillId="0" borderId="0" xfId="1" applyNumberFormat="1" applyFont="1" applyBorder="1"/>
    <xf numFmtId="44" fontId="7" fillId="0" borderId="0" xfId="0" applyNumberFormat="1" applyFont="1" applyBorder="1"/>
    <xf numFmtId="44" fontId="8" fillId="0" borderId="0" xfId="0" applyNumberFormat="1" applyFont="1" applyBorder="1"/>
    <xf numFmtId="0" fontId="8" fillId="0" borderId="4" xfId="0" applyFont="1" applyBorder="1" applyAlignment="1">
      <alignment horizontal="center"/>
    </xf>
    <xf numFmtId="0" fontId="8" fillId="0" borderId="6" xfId="0" applyFont="1" applyBorder="1"/>
    <xf numFmtId="164" fontId="7" fillId="0" borderId="9" xfId="1" applyNumberFormat="1" applyFont="1" applyBorder="1"/>
    <xf numFmtId="14" fontId="8" fillId="0" borderId="7" xfId="0" applyNumberFormat="1" applyFont="1" applyBorder="1" applyAlignment="1">
      <alignment horizontal="center"/>
    </xf>
    <xf numFmtId="165" fontId="0" fillId="0" borderId="8" xfId="2" applyNumberFormat="1" applyFont="1" applyBorder="1"/>
    <xf numFmtId="0" fontId="1" fillId="0" borderId="3" xfId="0" applyFont="1" applyBorder="1" applyAlignment="1">
      <alignment horizontal="center"/>
    </xf>
    <xf numFmtId="164" fontId="8" fillId="0" borderId="0" xfId="0" applyNumberFormat="1" applyFont="1" applyBorder="1"/>
    <xf numFmtId="0" fontId="8" fillId="0" borderId="3" xfId="0" applyFont="1" applyFill="1" applyBorder="1" applyAlignment="1">
      <alignment horizontal="center"/>
    </xf>
    <xf numFmtId="180" fontId="3" fillId="0" borderId="0" xfId="0" applyNumberFormat="1" applyFont="1" applyAlignment="1">
      <alignment horizontal="centerContinuous"/>
    </xf>
    <xf numFmtId="180" fontId="0" fillId="0" borderId="0" xfId="0" applyNumberFormat="1"/>
    <xf numFmtId="17" fontId="0" fillId="0" borderId="7" xfId="0" applyNumberFormat="1" applyFill="1" applyBorder="1"/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165" fontId="2" fillId="0" borderId="7" xfId="2" applyNumberFormat="1" applyFont="1" applyFill="1" applyBorder="1"/>
    <xf numFmtId="44" fontId="2" fillId="0" borderId="7" xfId="2" applyFill="1" applyBorder="1"/>
    <xf numFmtId="43" fontId="0" fillId="0" borderId="0" xfId="0" applyNumberFormat="1" applyFill="1"/>
    <xf numFmtId="0" fontId="0" fillId="0" borderId="0" xfId="0" applyFill="1"/>
    <xf numFmtId="44" fontId="2" fillId="0" borderId="7" xfId="2" applyBorder="1"/>
    <xf numFmtId="164" fontId="2" fillId="0" borderId="7" xfId="1" applyNumberFormat="1" applyBorder="1"/>
    <xf numFmtId="165" fontId="2" fillId="0" borderId="7" xfId="2" applyNumberFormat="1" applyBorder="1"/>
    <xf numFmtId="44" fontId="2" fillId="0" borderId="14" xfId="2" applyBorder="1"/>
    <xf numFmtId="180" fontId="0" fillId="0" borderId="8" xfId="0" applyNumberFormat="1" applyBorder="1"/>
    <xf numFmtId="0" fontId="8" fillId="0" borderId="9" xfId="0" applyFont="1" applyBorder="1" applyAlignment="1">
      <alignment horizontal="center"/>
    </xf>
    <xf numFmtId="44" fontId="7" fillId="0" borderId="9" xfId="2" applyFont="1" applyBorder="1"/>
    <xf numFmtId="44" fontId="8" fillId="0" borderId="0" xfId="0" applyNumberFormat="1" applyFont="1"/>
    <xf numFmtId="165" fontId="0" fillId="0" borderId="0" xfId="2" applyNumberFormat="1" applyFont="1"/>
    <xf numFmtId="165" fontId="9" fillId="0" borderId="7" xfId="0" applyNumberFormat="1" applyFont="1" applyBorder="1"/>
    <xf numFmtId="44" fontId="8" fillId="0" borderId="4" xfId="0" quotePrefix="1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44" fontId="2" fillId="0" borderId="3" xfId="2" applyBorder="1"/>
    <xf numFmtId="44" fontId="2" fillId="0" borderId="0" xfId="2" applyBorder="1"/>
    <xf numFmtId="0" fontId="0" fillId="0" borderId="0" xfId="0" applyBorder="1"/>
    <xf numFmtId="44" fontId="0" fillId="0" borderId="13" xfId="2" applyFont="1" applyFill="1" applyBorder="1"/>
    <xf numFmtId="44" fontId="0" fillId="0" borderId="6" xfId="2" applyFont="1" applyBorder="1"/>
    <xf numFmtId="14" fontId="8" fillId="0" borderId="3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Continuous"/>
    </xf>
    <xf numFmtId="0" fontId="7" fillId="3" borderId="11" xfId="0" applyFont="1" applyFill="1" applyBorder="1" applyAlignment="1">
      <alignment horizontal="centerContinuous"/>
    </xf>
    <xf numFmtId="0" fontId="7" fillId="3" borderId="12" xfId="0" applyFont="1" applyFill="1" applyBorder="1" applyAlignment="1">
      <alignment horizontal="centerContinuous"/>
    </xf>
    <xf numFmtId="0" fontId="7" fillId="2" borderId="3" xfId="0" applyFont="1" applyFill="1" applyBorder="1" applyAlignment="1">
      <alignment horizontal="center"/>
    </xf>
    <xf numFmtId="0" fontId="8" fillId="2" borderId="5" xfId="0" applyFont="1" applyFill="1" applyBorder="1"/>
    <xf numFmtId="0" fontId="8" fillId="2" borderId="6" xfId="0" applyFont="1" applyFill="1" applyBorder="1"/>
    <xf numFmtId="165" fontId="7" fillId="2" borderId="6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17" fontId="8" fillId="0" borderId="7" xfId="0" applyNumberFormat="1" applyFont="1" applyBorder="1"/>
    <xf numFmtId="165" fontId="8" fillId="0" borderId="7" xfId="2" applyNumberFormat="1" applyFont="1" applyFill="1" applyBorder="1"/>
    <xf numFmtId="164" fontId="7" fillId="0" borderId="14" xfId="0" applyNumberFormat="1" applyFont="1" applyBorder="1"/>
    <xf numFmtId="0" fontId="8" fillId="2" borderId="3" xfId="0" applyFont="1" applyFill="1" applyBorder="1"/>
    <xf numFmtId="0" fontId="8" fillId="2" borderId="0" xfId="0" applyFont="1" applyFill="1" applyBorder="1"/>
    <xf numFmtId="165" fontId="7" fillId="2" borderId="0" xfId="0" applyNumberFormat="1" applyFont="1" applyFill="1" applyBorder="1" applyAlignment="1">
      <alignment horizontal="center"/>
    </xf>
    <xf numFmtId="44" fontId="7" fillId="2" borderId="6" xfId="2" applyFont="1" applyFill="1" applyBorder="1" applyAlignment="1">
      <alignment horizontal="center"/>
    </xf>
    <xf numFmtId="164" fontId="8" fillId="0" borderId="3" xfId="1" applyNumberFormat="1" applyFont="1" applyBorder="1"/>
    <xf numFmtId="164" fontId="8" fillId="0" borderId="5" xfId="1" applyNumberFormat="1" applyFont="1" applyFill="1" applyBorder="1" applyAlignment="1">
      <alignment horizontal="center"/>
    </xf>
    <xf numFmtId="44" fontId="8" fillId="0" borderId="5" xfId="2" applyFont="1" applyFill="1" applyBorder="1" applyAlignment="1">
      <alignment horizontal="center"/>
    </xf>
    <xf numFmtId="165" fontId="8" fillId="0" borderId="3" xfId="2" applyNumberFormat="1" applyFont="1" applyFill="1" applyBorder="1" applyAlignment="1">
      <alignment horizontal="center"/>
    </xf>
    <xf numFmtId="165" fontId="8" fillId="0" borderId="0" xfId="0" applyNumberFormat="1" applyFont="1"/>
    <xf numFmtId="43" fontId="8" fillId="0" borderId="0" xfId="0" applyNumberFormat="1" applyFont="1"/>
    <xf numFmtId="165" fontId="8" fillId="0" borderId="8" xfId="2" applyNumberFormat="1" applyFont="1" applyFill="1" applyBorder="1" applyAlignment="1">
      <alignment horizontal="center"/>
    </xf>
    <xf numFmtId="165" fontId="8" fillId="0" borderId="5" xfId="2" applyNumberFormat="1" applyFont="1" applyFill="1" applyBorder="1" applyAlignment="1">
      <alignment horizontal="center"/>
    </xf>
    <xf numFmtId="165" fontId="0" fillId="0" borderId="4" xfId="2" applyNumberFormat="1" applyFont="1" applyBorder="1"/>
    <xf numFmtId="164" fontId="0" fillId="0" borderId="0" xfId="0" applyNumberFormat="1"/>
    <xf numFmtId="0" fontId="11" fillId="2" borderId="6" xfId="0" applyFont="1" applyFill="1" applyBorder="1" applyAlignment="1">
      <alignment horizontal="center"/>
    </xf>
    <xf numFmtId="44" fontId="8" fillId="0" borderId="3" xfId="0" applyNumberFormat="1" applyFont="1" applyBorder="1"/>
    <xf numFmtId="0" fontId="8" fillId="0" borderId="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7" xfId="0" applyFont="1" applyFill="1" applyBorder="1"/>
    <xf numFmtId="14" fontId="8" fillId="0" borderId="7" xfId="0" applyNumberFormat="1" applyFont="1" applyFill="1" applyBorder="1" applyAlignment="1">
      <alignment horizontal="center"/>
    </xf>
    <xf numFmtId="165" fontId="8" fillId="0" borderId="7" xfId="0" applyNumberFormat="1" applyFont="1" applyFill="1" applyBorder="1"/>
    <xf numFmtId="164" fontId="8" fillId="0" borderId="7" xfId="0" applyNumberFormat="1" applyFont="1" applyFill="1" applyBorder="1"/>
    <xf numFmtId="164" fontId="8" fillId="0" borderId="0" xfId="0" applyNumberFormat="1" applyFont="1" applyFill="1" applyBorder="1"/>
    <xf numFmtId="44" fontId="8" fillId="0" borderId="7" xfId="0" applyNumberFormat="1" applyFont="1" applyFill="1" applyBorder="1"/>
    <xf numFmtId="165" fontId="8" fillId="0" borderId="3" xfId="2" applyNumberFormat="1" applyFont="1" applyFill="1" applyBorder="1"/>
    <xf numFmtId="165" fontId="8" fillId="0" borderId="3" xfId="0" applyNumberFormat="1" applyFont="1" applyFill="1" applyBorder="1"/>
    <xf numFmtId="164" fontId="8" fillId="0" borderId="3" xfId="0" applyNumberFormat="1" applyFont="1" applyFill="1" applyBorder="1"/>
    <xf numFmtId="44" fontId="8" fillId="0" borderId="3" xfId="0" applyNumberFormat="1" applyFont="1" applyFill="1" applyBorder="1"/>
    <xf numFmtId="164" fontId="8" fillId="0" borderId="8" xfId="0" applyNumberFormat="1" applyFont="1" applyFill="1" applyBorder="1"/>
    <xf numFmtId="164" fontId="8" fillId="0" borderId="6" xfId="0" applyNumberFormat="1" applyFont="1" applyFill="1" applyBorder="1"/>
    <xf numFmtId="44" fontId="8" fillId="0" borderId="8" xfId="0" applyNumberFormat="1" applyFont="1" applyFill="1" applyBorder="1"/>
    <xf numFmtId="164" fontId="7" fillId="0" borderId="7" xfId="0" applyNumberFormat="1" applyFont="1" applyFill="1" applyBorder="1"/>
    <xf numFmtId="164" fontId="7" fillId="0" borderId="0" xfId="0" applyNumberFormat="1" applyFont="1" applyFill="1" applyBorder="1"/>
    <xf numFmtId="0" fontId="5" fillId="0" borderId="0" xfId="0" applyFont="1" applyBorder="1" applyAlignment="1">
      <alignment horizontal="left"/>
    </xf>
    <xf numFmtId="44" fontId="8" fillId="0" borderId="7" xfId="2" applyFont="1" applyFill="1" applyBorder="1"/>
    <xf numFmtId="165" fontId="8" fillId="0" borderId="8" xfId="2" applyNumberFormat="1" applyFont="1" applyFill="1" applyBorder="1"/>
    <xf numFmtId="165" fontId="8" fillId="0" borderId="8" xfId="2" applyNumberFormat="1" applyFont="1" applyBorder="1"/>
    <xf numFmtId="44" fontId="8" fillId="0" borderId="8" xfId="2" applyFont="1" applyFill="1" applyBorder="1" applyAlignment="1">
      <alignment horizontal="center"/>
    </xf>
    <xf numFmtId="167" fontId="8" fillId="0" borderId="8" xfId="2" applyNumberFormat="1" applyFont="1" applyFill="1" applyBorder="1" applyAlignment="1">
      <alignment horizontal="center"/>
    </xf>
    <xf numFmtId="43" fontId="0" fillId="0" borderId="3" xfId="0" applyNumberFormat="1" applyBorder="1"/>
    <xf numFmtId="0" fontId="7" fillId="0" borderId="7" xfId="0" applyFont="1" applyFill="1" applyBorder="1"/>
    <xf numFmtId="165" fontId="7" fillId="0" borderId="7" xfId="0" applyNumberFormat="1" applyFont="1" applyFill="1" applyBorder="1"/>
    <xf numFmtId="0" fontId="7" fillId="0" borderId="8" xfId="0" applyFont="1" applyFill="1" applyBorder="1"/>
    <xf numFmtId="165" fontId="7" fillId="0" borderId="8" xfId="0" applyNumberFormat="1" applyFont="1" applyFill="1" applyBorder="1"/>
    <xf numFmtId="164" fontId="7" fillId="0" borderId="8" xfId="0" applyNumberFormat="1" applyFont="1" applyFill="1" applyBorder="1"/>
    <xf numFmtId="164" fontId="7" fillId="0" borderId="9" xfId="0" applyNumberFormat="1" applyFont="1" applyFill="1" applyBorder="1"/>
    <xf numFmtId="164" fontId="7" fillId="0" borderId="6" xfId="0" applyNumberFormat="1" applyFont="1" applyFill="1" applyBorder="1"/>
    <xf numFmtId="0" fontId="8" fillId="0" borderId="8" xfId="0" applyFont="1" applyFill="1" applyBorder="1"/>
    <xf numFmtId="14" fontId="8" fillId="0" borderId="3" xfId="0" applyNumberFormat="1" applyFont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Continuous"/>
    </xf>
    <xf numFmtId="0" fontId="7" fillId="4" borderId="6" xfId="0" applyFont="1" applyFill="1" applyBorder="1" applyAlignment="1">
      <alignment horizontal="centerContinuous"/>
    </xf>
    <xf numFmtId="0" fontId="7" fillId="0" borderId="4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Continuous"/>
    </xf>
    <xf numFmtId="0" fontId="7" fillId="5" borderId="6" xfId="0" applyFont="1" applyFill="1" applyBorder="1" applyAlignment="1">
      <alignment horizontal="centerContinuous"/>
    </xf>
    <xf numFmtId="0" fontId="7" fillId="4" borderId="9" xfId="0" applyFont="1" applyFill="1" applyBorder="1" applyAlignment="1">
      <alignment horizontal="centerContinuous"/>
    </xf>
    <xf numFmtId="0" fontId="7" fillId="5" borderId="0" xfId="0" applyFont="1" applyFill="1" applyBorder="1" applyAlignment="1">
      <alignment horizontal="center"/>
    </xf>
    <xf numFmtId="164" fontId="7" fillId="4" borderId="6" xfId="1" applyNumberFormat="1" applyFont="1" applyFill="1" applyBorder="1" applyAlignment="1">
      <alignment horizontal="center"/>
    </xf>
    <xf numFmtId="0" fontId="7" fillId="5" borderId="6" xfId="0" quotePrefix="1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Continuous"/>
    </xf>
    <xf numFmtId="0" fontId="7" fillId="4" borderId="5" xfId="0" applyFont="1" applyFill="1" applyBorder="1" applyAlignment="1">
      <alignment horizontal="center"/>
    </xf>
    <xf numFmtId="44" fontId="9" fillId="0" borderId="17" xfId="0" applyNumberFormat="1" applyFont="1" applyBorder="1"/>
    <xf numFmtId="0" fontId="7" fillId="4" borderId="1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44" fontId="9" fillId="0" borderId="14" xfId="0" applyNumberFormat="1" applyFont="1" applyBorder="1"/>
    <xf numFmtId="0" fontId="7" fillId="4" borderId="1" xfId="0" applyFont="1" applyFill="1" applyBorder="1" applyAlignment="1">
      <alignment horizontal="centerContinuous"/>
    </xf>
    <xf numFmtId="0" fontId="7" fillId="4" borderId="16" xfId="0" applyFont="1" applyFill="1" applyBorder="1" applyAlignment="1">
      <alignment horizontal="centerContinuous"/>
    </xf>
    <xf numFmtId="0" fontId="7" fillId="4" borderId="4" xfId="0" applyFont="1" applyFill="1" applyBorder="1" applyAlignment="1">
      <alignment horizontal="centerContinuous"/>
    </xf>
    <xf numFmtId="0" fontId="5" fillId="0" borderId="0" xfId="0" applyFont="1" applyFill="1" applyBorder="1" applyAlignment="1">
      <alignment horizontal="left"/>
    </xf>
    <xf numFmtId="44" fontId="8" fillId="0" borderId="13" xfId="0" applyNumberFormat="1" applyFont="1" applyFill="1" applyBorder="1" applyAlignment="1"/>
    <xf numFmtId="44" fontId="8" fillId="0" borderId="7" xfId="0" applyNumberFormat="1" applyFont="1" applyFill="1" applyBorder="1" applyAlignment="1"/>
    <xf numFmtId="0" fontId="8" fillId="0" borderId="7" xfId="0" applyFont="1" applyFill="1" applyBorder="1" applyAlignment="1"/>
    <xf numFmtId="44" fontId="8" fillId="0" borderId="7" xfId="0" applyNumberFormat="1" applyFont="1" applyFill="1" applyBorder="1" applyAlignment="1">
      <alignment horizontal="center"/>
    </xf>
    <xf numFmtId="164" fontId="2" fillId="0" borderId="7" xfId="1" applyNumberFormat="1" applyFont="1" applyBorder="1"/>
    <xf numFmtId="164" fontId="2" fillId="0" borderId="8" xfId="1" applyNumberFormat="1" applyFont="1" applyBorder="1"/>
    <xf numFmtId="44" fontId="2" fillId="0" borderId="8" xfId="2" applyBorder="1"/>
    <xf numFmtId="44" fontId="2" fillId="0" borderId="4" xfId="2" applyBorder="1"/>
    <xf numFmtId="164" fontId="2" fillId="0" borderId="14" xfId="1" applyNumberFormat="1" applyBorder="1"/>
    <xf numFmtId="0" fontId="7" fillId="0" borderId="0" xfId="0" applyFont="1" applyBorder="1" applyAlignment="1">
      <alignment horizontal="center"/>
    </xf>
    <xf numFmtId="0" fontId="8" fillId="0" borderId="0" xfId="0" applyFont="1" applyBorder="1" applyAlignment="1"/>
    <xf numFmtId="0" fontId="8" fillId="0" borderId="8" xfId="0" applyFont="1" applyBorder="1" applyAlignment="1"/>
    <xf numFmtId="0" fontId="8" fillId="0" borderId="15" xfId="0" applyFont="1" applyBorder="1" applyAlignment="1"/>
    <xf numFmtId="0" fontId="7" fillId="0" borderId="0" xfId="0" applyFont="1" applyAlignment="1"/>
    <xf numFmtId="0" fontId="5" fillId="0" borderId="0" xfId="0" applyFont="1" applyAlignment="1"/>
    <xf numFmtId="0" fontId="8" fillId="0" borderId="6" xfId="0" applyFont="1" applyBorder="1" applyAlignment="1"/>
    <xf numFmtId="0" fontId="8" fillId="0" borderId="0" xfId="0" applyFont="1" applyAlignment="1"/>
    <xf numFmtId="0" fontId="8" fillId="0" borderId="3" xfId="0" applyFont="1" applyBorder="1" applyAlignment="1"/>
    <xf numFmtId="0" fontId="8" fillId="0" borderId="4" xfId="0" applyFont="1" applyBorder="1" applyAlignment="1"/>
    <xf numFmtId="0" fontId="8" fillId="0" borderId="7" xfId="0" applyFont="1" applyBorder="1" applyAlignment="1"/>
    <xf numFmtId="0" fontId="8" fillId="0" borderId="16" xfId="0" applyFont="1" applyBorder="1" applyAlignment="1"/>
    <xf numFmtId="0" fontId="8" fillId="0" borderId="1" xfId="0" applyFont="1" applyBorder="1" applyAlignment="1"/>
    <xf numFmtId="44" fontId="8" fillId="0" borderId="7" xfId="0" applyNumberFormat="1" applyFont="1" applyBorder="1" applyAlignment="1"/>
    <xf numFmtId="44" fontId="8" fillId="0" borderId="4" xfId="0" applyNumberFormat="1" applyFont="1" applyBorder="1" applyAlignment="1"/>
    <xf numFmtId="44" fontId="8" fillId="0" borderId="3" xfId="0" applyNumberFormat="1" applyFont="1" applyBorder="1" applyAlignment="1"/>
    <xf numFmtId="44" fontId="9" fillId="0" borderId="18" xfId="0" applyNumberFormat="1" applyFont="1" applyBorder="1" applyAlignment="1"/>
    <xf numFmtId="44" fontId="8" fillId="0" borderId="0" xfId="0" applyNumberFormat="1" applyFont="1" applyAlignment="1"/>
    <xf numFmtId="44" fontId="8" fillId="0" borderId="0" xfId="2" applyFont="1" applyAlignment="1"/>
    <xf numFmtId="44" fontId="8" fillId="0" borderId="6" xfId="0" applyNumberFormat="1" applyFont="1" applyBorder="1" applyAlignment="1"/>
    <xf numFmtId="44" fontId="8" fillId="0" borderId="0" xfId="2" applyFont="1" applyBorder="1" applyAlignment="1"/>
    <xf numFmtId="44" fontId="8" fillId="0" borderId="0" xfId="0" applyNumberFormat="1" applyFont="1" applyBorder="1" applyAlignment="1"/>
    <xf numFmtId="44" fontId="8" fillId="0" borderId="19" xfId="2" applyFont="1" applyBorder="1" applyAlignment="1"/>
    <xf numFmtId="0" fontId="8" fillId="0" borderId="13" xfId="0" applyFont="1" applyFill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Fill="1" applyAlignment="1">
      <alignment horizontal="center"/>
    </xf>
    <xf numFmtId="164" fontId="9" fillId="0" borderId="14" xfId="1" applyNumberFormat="1" applyFont="1" applyBorder="1"/>
    <xf numFmtId="44" fontId="9" fillId="0" borderId="14" xfId="2" applyFont="1" applyBorder="1" applyAlignment="1"/>
    <xf numFmtId="0" fontId="9" fillId="0" borderId="0" xfId="0" applyFont="1" applyAlignment="1"/>
    <xf numFmtId="44" fontId="9" fillId="0" borderId="10" xfId="0" applyNumberFormat="1" applyFont="1" applyBorder="1" applyAlignment="1"/>
    <xf numFmtId="44" fontId="9" fillId="0" borderId="7" xfId="0" applyNumberFormat="1" applyFont="1" applyFill="1" applyBorder="1"/>
    <xf numFmtId="164" fontId="9" fillId="0" borderId="7" xfId="1" applyNumberFormat="1" applyFont="1" applyBorder="1"/>
    <xf numFmtId="164" fontId="9" fillId="0" borderId="13" xfId="0" applyNumberFormat="1" applyFont="1" applyBorder="1"/>
    <xf numFmtId="44" fontId="9" fillId="0" borderId="13" xfId="2" applyFont="1" applyBorder="1"/>
    <xf numFmtId="43" fontId="8" fillId="0" borderId="0" xfId="1" applyNumberFormat="1" applyFont="1"/>
    <xf numFmtId="164" fontId="10" fillId="0" borderId="13" xfId="0" applyNumberFormat="1" applyFont="1" applyBorder="1"/>
    <xf numFmtId="0" fontId="6" fillId="0" borderId="7" xfId="0" applyFont="1" applyBorder="1"/>
    <xf numFmtId="44" fontId="10" fillId="0" borderId="13" xfId="2" applyFont="1" applyBorder="1"/>
    <xf numFmtId="0" fontId="10" fillId="2" borderId="2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Continuous"/>
    </xf>
    <xf numFmtId="0" fontId="10" fillId="3" borderId="11" xfId="0" applyFont="1" applyFill="1" applyBorder="1" applyAlignment="1">
      <alignment horizontal="centerContinuous"/>
    </xf>
    <xf numFmtId="0" fontId="10" fillId="3" borderId="12" xfId="0" applyFont="1" applyFill="1" applyBorder="1" applyAlignment="1">
      <alignment horizontal="centerContinuous"/>
    </xf>
    <xf numFmtId="0" fontId="10" fillId="2" borderId="0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6" fillId="2" borderId="6" xfId="0" applyFont="1" applyFill="1" applyBorder="1"/>
    <xf numFmtId="165" fontId="10" fillId="2" borderId="6" xfId="0" applyNumberFormat="1" applyFont="1" applyFill="1" applyBorder="1" applyAlignment="1">
      <alignment horizontal="center"/>
    </xf>
    <xf numFmtId="0" fontId="10" fillId="2" borderId="6" xfId="0" quotePrefix="1" applyFont="1" applyFill="1" applyBorder="1" applyAlignment="1">
      <alignment horizontal="center"/>
    </xf>
    <xf numFmtId="0" fontId="10" fillId="2" borderId="9" xfId="0" quotePrefix="1" applyFont="1" applyFill="1" applyBorder="1" applyAlignment="1">
      <alignment horizontal="center"/>
    </xf>
    <xf numFmtId="164" fontId="6" fillId="0" borderId="7" xfId="1" applyNumberFormat="1" applyFont="1" applyBorder="1"/>
    <xf numFmtId="165" fontId="6" fillId="0" borderId="7" xfId="2" applyNumberFormat="1" applyFont="1" applyBorder="1"/>
    <xf numFmtId="44" fontId="6" fillId="0" borderId="4" xfId="0" applyNumberFormat="1" applyFont="1" applyBorder="1"/>
    <xf numFmtId="0" fontId="6" fillId="0" borderId="4" xfId="0" applyFont="1" applyBorder="1"/>
    <xf numFmtId="164" fontId="10" fillId="0" borderId="7" xfId="0" applyNumberFormat="1" applyFont="1" applyBorder="1"/>
    <xf numFmtId="44" fontId="10" fillId="0" borderId="7" xfId="2" applyFont="1" applyBorder="1"/>
    <xf numFmtId="44" fontId="10" fillId="0" borderId="4" xfId="2" applyFont="1" applyBorder="1"/>
    <xf numFmtId="0" fontId="10" fillId="0" borderId="10" xfId="0" applyFont="1" applyBorder="1" applyAlignment="1">
      <alignment horizontal="center"/>
    </xf>
    <xf numFmtId="165" fontId="6" fillId="0" borderId="7" xfId="0" applyNumberFormat="1" applyFont="1" applyBorder="1"/>
    <xf numFmtId="0" fontId="10" fillId="0" borderId="7" xfId="0" applyFont="1" applyBorder="1" applyAlignment="1">
      <alignment horizontal="center"/>
    </xf>
    <xf numFmtId="165" fontId="6" fillId="0" borderId="7" xfId="2" applyNumberFormat="1" applyFont="1" applyFill="1" applyBorder="1"/>
    <xf numFmtId="44" fontId="10" fillId="0" borderId="13" xfId="0" applyNumberFormat="1" applyFont="1" applyBorder="1"/>
    <xf numFmtId="164" fontId="10" fillId="0" borderId="14" xfId="0" applyNumberFormat="1" applyFont="1" applyBorder="1"/>
    <xf numFmtId="44" fontId="10" fillId="0" borderId="14" xfId="0" applyNumberFormat="1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0" xfId="0" applyFont="1"/>
    <xf numFmtId="0" fontId="9" fillId="4" borderId="2" xfId="0" applyFont="1" applyFill="1" applyBorder="1" applyAlignment="1">
      <alignment horizontal="centerContinuous"/>
    </xf>
    <xf numFmtId="0" fontId="9" fillId="4" borderId="0" xfId="0" applyFont="1" applyFill="1" applyBorder="1" applyAlignment="1">
      <alignment horizontal="centerContinuous"/>
    </xf>
    <xf numFmtId="0" fontId="10" fillId="2" borderId="1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6" fillId="2" borderId="5" xfId="0" applyFont="1" applyFill="1" applyBorder="1"/>
    <xf numFmtId="164" fontId="9" fillId="0" borderId="7" xfId="0" applyNumberFormat="1" applyFont="1" applyBorder="1"/>
    <xf numFmtId="44" fontId="9" fillId="0" borderId="4" xfId="2" applyFont="1" applyBorder="1"/>
    <xf numFmtId="0" fontId="9" fillId="0" borderId="7" xfId="0" applyFont="1" applyBorder="1" applyAlignment="1">
      <alignment horizontal="center"/>
    </xf>
    <xf numFmtId="164" fontId="9" fillId="0" borderId="14" xfId="0" applyNumberFormat="1" applyFont="1" applyBorder="1"/>
    <xf numFmtId="17" fontId="6" fillId="0" borderId="7" xfId="0" applyNumberFormat="1" applyFont="1" applyBorder="1"/>
    <xf numFmtId="0" fontId="6" fillId="0" borderId="7" xfId="0" applyFont="1" applyBorder="1" applyAlignment="1">
      <alignment horizontal="center"/>
    </xf>
    <xf numFmtId="0" fontId="6" fillId="0" borderId="7" xfId="0" applyFont="1" applyBorder="1" applyAlignment="1"/>
    <xf numFmtId="44" fontId="6" fillId="0" borderId="8" xfId="2" applyFont="1" applyBorder="1"/>
    <xf numFmtId="44" fontId="6" fillId="0" borderId="8" xfId="0" applyNumberFormat="1" applyFont="1" applyBorder="1"/>
    <xf numFmtId="44" fontId="6" fillId="0" borderId="4" xfId="2" applyFont="1" applyBorder="1"/>
    <xf numFmtId="44" fontId="6" fillId="0" borderId="14" xfId="2" applyFont="1" applyBorder="1"/>
    <xf numFmtId="0" fontId="9" fillId="2" borderId="0" xfId="0" quotePrefix="1" applyFont="1" applyFill="1" applyBorder="1" applyAlignment="1">
      <alignment horizontal="center"/>
    </xf>
    <xf numFmtId="0" fontId="9" fillId="2" borderId="4" xfId="0" quotePrefix="1" applyFont="1" applyFill="1" applyBorder="1" applyAlignment="1">
      <alignment horizontal="center"/>
    </xf>
    <xf numFmtId="0" fontId="9" fillId="2" borderId="6" xfId="0" quotePrefix="1" applyFont="1" applyFill="1" applyBorder="1" applyAlignment="1">
      <alignment horizontal="center"/>
    </xf>
    <xf numFmtId="0" fontId="9" fillId="2" borderId="9" xfId="0" quotePrefix="1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179" fontId="9" fillId="4" borderId="5" xfId="0" applyNumberFormat="1" applyFont="1" applyFill="1" applyBorder="1" applyAlignment="1">
      <alignment horizontal="centerContinuous"/>
    </xf>
    <xf numFmtId="0" fontId="9" fillId="4" borderId="9" xfId="0" applyFont="1" applyFill="1" applyBorder="1" applyAlignment="1">
      <alignment horizontal="centerContinuous"/>
    </xf>
    <xf numFmtId="0" fontId="9" fillId="4" borderId="1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Continuous"/>
    </xf>
    <xf numFmtId="0" fontId="9" fillId="4" borderId="0" xfId="0" quotePrefix="1" applyFont="1" applyFill="1" applyBorder="1" applyAlignment="1">
      <alignment horizontal="center"/>
    </xf>
    <xf numFmtId="0" fontId="9" fillId="4" borderId="6" xfId="0" applyFont="1" applyFill="1" applyBorder="1" applyAlignment="1">
      <alignment horizontal="left"/>
    </xf>
    <xf numFmtId="0" fontId="9" fillId="4" borderId="6" xfId="0" applyFont="1" applyFill="1" applyBorder="1" applyAlignment="1">
      <alignment horizontal="center"/>
    </xf>
    <xf numFmtId="0" fontId="9" fillId="4" borderId="6" xfId="0" quotePrefix="1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3" fontId="8" fillId="0" borderId="0" xfId="1" applyFont="1"/>
    <xf numFmtId="164" fontId="8" fillId="0" borderId="0" xfId="1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43" fontId="0" fillId="0" borderId="0" xfId="1" applyFont="1"/>
    <xf numFmtId="0" fontId="10" fillId="0" borderId="0" xfId="0" applyFont="1"/>
    <xf numFmtId="43" fontId="0" fillId="0" borderId="7" xfId="1" applyFont="1" applyBorder="1"/>
    <xf numFmtId="43" fontId="0" fillId="0" borderId="4" xfId="1" applyFont="1" applyBorder="1"/>
    <xf numFmtId="43" fontId="0" fillId="0" borderId="9" xfId="1" applyFont="1" applyBorder="1"/>
    <xf numFmtId="0" fontId="10" fillId="2" borderId="0" xfId="0" quotePrefix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Continuous"/>
    </xf>
    <xf numFmtId="0" fontId="9" fillId="3" borderId="11" xfId="0" applyFont="1" applyFill="1" applyBorder="1" applyAlignment="1">
      <alignment horizontal="centerContinuous"/>
    </xf>
    <xf numFmtId="0" fontId="9" fillId="3" borderId="12" xfId="0" applyFont="1" applyFill="1" applyBorder="1" applyAlignment="1">
      <alignment horizontal="centerContinuous"/>
    </xf>
    <xf numFmtId="0" fontId="9" fillId="2" borderId="3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165" fontId="9" fillId="2" borderId="0" xfId="0" applyNumberFormat="1" applyFont="1" applyFill="1" applyBorder="1" applyAlignment="1">
      <alignment horizontal="center"/>
    </xf>
    <xf numFmtId="44" fontId="9" fillId="2" borderId="6" xfId="2" applyFont="1" applyFill="1" applyBorder="1" applyAlignment="1">
      <alignment horizontal="center"/>
    </xf>
    <xf numFmtId="165" fontId="9" fillId="2" borderId="6" xfId="0" applyNumberFormat="1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6" fillId="2" borderId="3" xfId="0" applyFont="1" applyFill="1" applyBorder="1"/>
    <xf numFmtId="0" fontId="6" fillId="2" borderId="0" xfId="0" applyFont="1" applyFill="1" applyBorder="1"/>
    <xf numFmtId="165" fontId="10" fillId="2" borderId="0" xfId="0" applyNumberFormat="1" applyFont="1" applyFill="1" applyBorder="1" applyAlignment="1">
      <alignment horizontal="center"/>
    </xf>
    <xf numFmtId="44" fontId="0" fillId="0" borderId="7" xfId="0" applyNumberFormat="1" applyFill="1" applyBorder="1"/>
    <xf numFmtId="8" fontId="10" fillId="2" borderId="6" xfId="0" applyNumberFormat="1" applyFont="1" applyFill="1" applyBorder="1" applyAlignment="1">
      <alignment horizontal="center"/>
    </xf>
    <xf numFmtId="43" fontId="6" fillId="0" borderId="7" xfId="1" applyFont="1" applyBorder="1"/>
    <xf numFmtId="0" fontId="10" fillId="0" borderId="7" xfId="0" applyFont="1" applyBorder="1"/>
    <xf numFmtId="43" fontId="0" fillId="0" borderId="8" xfId="1" applyFont="1" applyBorder="1"/>
    <xf numFmtId="44" fontId="0" fillId="0" borderId="7" xfId="0" applyNumberFormat="1" applyBorder="1"/>
    <xf numFmtId="0" fontId="10" fillId="0" borderId="4" xfId="0" applyFont="1" applyBorder="1"/>
    <xf numFmtId="0" fontId="10" fillId="2" borderId="4" xfId="0" quotePrefix="1" applyFont="1" applyFill="1" applyBorder="1" applyAlignment="1">
      <alignment horizontal="center"/>
    </xf>
    <xf numFmtId="0" fontId="10" fillId="0" borderId="13" xfId="0" applyFont="1" applyBorder="1"/>
    <xf numFmtId="43" fontId="10" fillId="0" borderId="7" xfId="1" applyFont="1" applyBorder="1"/>
    <xf numFmtId="165" fontId="6" fillId="0" borderId="0" xfId="0" applyNumberFormat="1" applyFont="1"/>
    <xf numFmtId="0" fontId="1" fillId="0" borderId="13" xfId="0" applyFont="1" applyBorder="1" applyAlignment="1">
      <alignment horizontal="center"/>
    </xf>
    <xf numFmtId="14" fontId="9" fillId="0" borderId="0" xfId="0" applyNumberFormat="1" applyFont="1"/>
    <xf numFmtId="180" fontId="6" fillId="0" borderId="0" xfId="0" applyNumberFormat="1" applyFont="1"/>
    <xf numFmtId="0" fontId="9" fillId="0" borderId="0" xfId="0" applyFont="1" applyBorder="1" applyAlignment="1">
      <alignment horizontal="center"/>
    </xf>
    <xf numFmtId="0" fontId="7" fillId="4" borderId="0" xfId="0" applyFont="1" applyFill="1" applyBorder="1" applyAlignment="1">
      <alignment horizontal="centerContinuous"/>
    </xf>
    <xf numFmtId="0" fontId="9" fillId="4" borderId="13" xfId="0" applyFont="1" applyFill="1" applyBorder="1" applyAlignment="1">
      <alignment horizontal="centerContinuous"/>
    </xf>
    <xf numFmtId="0" fontId="9" fillId="4" borderId="7" xfId="0" applyFont="1" applyFill="1" applyBorder="1" applyAlignment="1">
      <alignment horizontal="centerContinuous"/>
    </xf>
    <xf numFmtId="0" fontId="9" fillId="4" borderId="7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44" fontId="7" fillId="0" borderId="3" xfId="2" applyFont="1" applyBorder="1" applyAlignment="1"/>
    <xf numFmtId="44" fontId="7" fillId="0" borderId="3" xfId="0" applyNumberFormat="1" applyFont="1" applyBorder="1" applyAlignment="1"/>
    <xf numFmtId="44" fontId="7" fillId="0" borderId="0" xfId="0" applyNumberFormat="1" applyFont="1" applyBorder="1" applyAlignment="1"/>
    <xf numFmtId="44" fontId="8" fillId="0" borderId="8" xfId="0" applyNumberFormat="1" applyFont="1" applyBorder="1" applyAlignment="1"/>
    <xf numFmtId="44" fontId="9" fillId="0" borderId="7" xfId="0" applyNumberFormat="1" applyFont="1" applyBorder="1" applyAlignment="1"/>
    <xf numFmtId="44" fontId="8" fillId="0" borderId="9" xfId="0" applyNumberFormat="1" applyFont="1" applyBorder="1" applyAlignment="1"/>
    <xf numFmtId="44" fontId="7" fillId="0" borderId="7" xfId="0" applyNumberFormat="1" applyFont="1" applyBorder="1" applyAlignment="1"/>
    <xf numFmtId="44" fontId="8" fillId="0" borderId="8" xfId="0" applyNumberFormat="1" applyFont="1" applyFill="1" applyBorder="1" applyAlignment="1"/>
    <xf numFmtId="44" fontId="8" fillId="0" borderId="3" xfId="0" applyNumberFormat="1" applyFont="1" applyFill="1" applyBorder="1" applyAlignment="1"/>
    <xf numFmtId="44" fontId="9" fillId="0" borderId="7" xfId="0" applyNumberFormat="1" applyFont="1" applyFill="1" applyBorder="1" applyAlignment="1"/>
    <xf numFmtId="164" fontId="9" fillId="0" borderId="14" xfId="1" applyNumberFormat="1" applyFont="1" applyBorder="1" applyAlignment="1"/>
    <xf numFmtId="44" fontId="9" fillId="0" borderId="14" xfId="0" applyNumberFormat="1" applyFont="1" applyBorder="1" applyAlignment="1"/>
    <xf numFmtId="44" fontId="7" fillId="0" borderId="9" xfId="2" applyFont="1" applyBorder="1" applyAlignment="1"/>
    <xf numFmtId="43" fontId="8" fillId="0" borderId="0" xfId="1" applyFont="1" applyAlignment="1"/>
    <xf numFmtId="43" fontId="8" fillId="0" borderId="0" xfId="0" applyNumberFormat="1" applyFont="1" applyAlignment="1"/>
    <xf numFmtId="44" fontId="8" fillId="0" borderId="7" xfId="0" applyNumberFormat="1" applyFont="1" applyBorder="1" applyAlignment="1">
      <alignment horizontal="center"/>
    </xf>
    <xf numFmtId="44" fontId="0" fillId="0" borderId="0" xfId="0" applyNumberFormat="1"/>
    <xf numFmtId="0" fontId="9" fillId="0" borderId="0" xfId="0" applyFont="1" applyAlignment="1">
      <alignment horizontal="center"/>
    </xf>
    <xf numFmtId="44" fontId="2" fillId="0" borderId="7" xfId="2" applyNumberFormat="1" applyFont="1" applyFill="1" applyBorder="1"/>
    <xf numFmtId="44" fontId="2" fillId="0" borderId="7" xfId="1" applyNumberFormat="1" applyFill="1" applyBorder="1"/>
    <xf numFmtId="44" fontId="2" fillId="0" borderId="7" xfId="1" applyNumberFormat="1" applyBorder="1"/>
    <xf numFmtId="44" fontId="2" fillId="0" borderId="14" xfId="2" applyNumberFormat="1" applyBorder="1"/>
    <xf numFmtId="44" fontId="0" fillId="0" borderId="3" xfId="0" applyNumberFormat="1" applyBorder="1"/>
    <xf numFmtId="44" fontId="2" fillId="0" borderId="0" xfId="1" applyNumberFormat="1" applyBorder="1"/>
    <xf numFmtId="165" fontId="0" fillId="0" borderId="20" xfId="2" applyNumberFormat="1" applyFont="1" applyBorder="1"/>
    <xf numFmtId="0" fontId="13" fillId="0" borderId="7" xfId="0" applyFont="1" applyBorder="1" applyAlignment="1">
      <alignment horizontal="center" wrapText="1"/>
    </xf>
    <xf numFmtId="44" fontId="8" fillId="0" borderId="0" xfId="2" applyFont="1"/>
    <xf numFmtId="44" fontId="14" fillId="0" borderId="4" xfId="0" applyNumberFormat="1" applyFont="1" applyBorder="1" applyAlignment="1"/>
    <xf numFmtId="44" fontId="12" fillId="0" borderId="4" xfId="0" applyNumberFormat="1" applyFont="1" applyBorder="1" applyAlignment="1"/>
    <xf numFmtId="44" fontId="15" fillId="0" borderId="0" xfId="2" applyFont="1"/>
    <xf numFmtId="44" fontId="14" fillId="0" borderId="0" xfId="2" applyFont="1"/>
    <xf numFmtId="0" fontId="14" fillId="0" borderId="4" xfId="0" applyFont="1" applyBorder="1" applyAlignment="1"/>
    <xf numFmtId="44" fontId="13" fillId="0" borderId="0" xfId="2" applyFont="1"/>
    <xf numFmtId="44" fontId="13" fillId="0" borderId="4" xfId="0" applyNumberFormat="1" applyFont="1" applyBorder="1" applyAlignment="1"/>
    <xf numFmtId="0" fontId="13" fillId="0" borderId="4" xfId="0" applyFont="1" applyBorder="1" applyAlignment="1"/>
    <xf numFmtId="0" fontId="8" fillId="0" borderId="7" xfId="0" applyFont="1" applyFill="1" applyBorder="1" applyAlignment="1">
      <alignment horizontal="center" wrapText="1"/>
    </xf>
    <xf numFmtId="0" fontId="9" fillId="0" borderId="0" xfId="0" applyFont="1" applyAlignment="1">
      <alignment horizontal="right"/>
    </xf>
    <xf numFmtId="165" fontId="6" fillId="0" borderId="8" xfId="2" applyNumberFormat="1" applyFont="1" applyBorder="1"/>
    <xf numFmtId="43" fontId="8" fillId="0" borderId="7" xfId="1" applyFont="1" applyBorder="1"/>
    <xf numFmtId="165" fontId="2" fillId="0" borderId="13" xfId="2" applyNumberFormat="1" applyBorder="1"/>
    <xf numFmtId="165" fontId="2" fillId="0" borderId="8" xfId="2" applyNumberFormat="1" applyBorder="1"/>
    <xf numFmtId="15" fontId="0" fillId="0" borderId="7" xfId="0" applyNumberFormat="1" applyBorder="1"/>
    <xf numFmtId="164" fontId="8" fillId="0" borderId="7" xfId="1" applyNumberFormat="1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10" fillId="0" borderId="8" xfId="0" applyFont="1" applyBorder="1"/>
    <xf numFmtId="43" fontId="9" fillId="0" borderId="14" xfId="1" applyNumberFormat="1" applyFont="1" applyBorder="1" applyAlignment="1"/>
    <xf numFmtId="0" fontId="7" fillId="0" borderId="7" xfId="0" applyFont="1" applyFill="1" applyBorder="1" applyAlignment="1">
      <alignment horizontal="center"/>
    </xf>
    <xf numFmtId="165" fontId="8" fillId="0" borderId="7" xfId="2" applyNumberFormat="1" applyFont="1" applyFill="1" applyBorder="1" applyAlignment="1">
      <alignment horizontal="center"/>
    </xf>
    <xf numFmtId="165" fontId="8" fillId="0" borderId="5" xfId="2" applyNumberFormat="1" applyFont="1" applyBorder="1"/>
    <xf numFmtId="165" fontId="8" fillId="0" borderId="3" xfId="0" applyNumberFormat="1" applyFont="1" applyBorder="1"/>
    <xf numFmtId="44" fontId="8" fillId="0" borderId="5" xfId="0" applyNumberFormat="1" applyFont="1" applyBorder="1"/>
    <xf numFmtId="44" fontId="8" fillId="0" borderId="4" xfId="0" applyNumberFormat="1" applyFont="1" applyFill="1" applyBorder="1" applyAlignment="1"/>
    <xf numFmtId="0" fontId="8" fillId="6" borderId="0" xfId="0" applyFont="1" applyFill="1"/>
    <xf numFmtId="0" fontId="8" fillId="6" borderId="7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14" fontId="8" fillId="6" borderId="3" xfId="0" applyNumberFormat="1" applyFont="1" applyFill="1" applyBorder="1" applyAlignment="1">
      <alignment horizontal="center"/>
    </xf>
    <xf numFmtId="165" fontId="8" fillId="6" borderId="3" xfId="2" applyNumberFormat="1" applyFont="1" applyFill="1" applyBorder="1" applyAlignment="1">
      <alignment horizontal="center"/>
    </xf>
    <xf numFmtId="164" fontId="8" fillId="6" borderId="3" xfId="1" applyNumberFormat="1" applyFont="1" applyFill="1" applyBorder="1" applyAlignment="1">
      <alignment horizontal="center"/>
    </xf>
    <xf numFmtId="44" fontId="8" fillId="6" borderId="7" xfId="0" quotePrefix="1" applyNumberFormat="1" applyFont="1" applyFill="1" applyBorder="1" applyAlignment="1">
      <alignment horizontal="center"/>
    </xf>
    <xf numFmtId="44" fontId="8" fillId="6" borderId="7" xfId="0" applyNumberFormat="1" applyFont="1" applyFill="1" applyBorder="1" applyAlignment="1"/>
    <xf numFmtId="44" fontId="8" fillId="6" borderId="7" xfId="0" applyNumberFormat="1" applyFont="1" applyFill="1" applyBorder="1" applyAlignment="1">
      <alignment horizontal="center"/>
    </xf>
    <xf numFmtId="0" fontId="8" fillId="7" borderId="0" xfId="0" applyFont="1" applyFill="1"/>
    <xf numFmtId="0" fontId="8" fillId="7" borderId="7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14" fontId="8" fillId="7" borderId="3" xfId="0" applyNumberFormat="1" applyFont="1" applyFill="1" applyBorder="1" applyAlignment="1">
      <alignment horizontal="center"/>
    </xf>
    <xf numFmtId="165" fontId="8" fillId="7" borderId="3" xfId="2" applyNumberFormat="1" applyFont="1" applyFill="1" applyBorder="1" applyAlignment="1">
      <alignment horizontal="center"/>
    </xf>
    <xf numFmtId="164" fontId="8" fillId="7" borderId="3" xfId="1" applyNumberFormat="1" applyFont="1" applyFill="1" applyBorder="1" applyAlignment="1">
      <alignment horizontal="center"/>
    </xf>
    <xf numFmtId="44" fontId="8" fillId="7" borderId="7" xfId="0" quotePrefix="1" applyNumberFormat="1" applyFont="1" applyFill="1" applyBorder="1" applyAlignment="1">
      <alignment horizontal="center"/>
    </xf>
    <xf numFmtId="44" fontId="8" fillId="7" borderId="7" xfId="0" applyNumberFormat="1" applyFont="1" applyFill="1" applyBorder="1" applyAlignment="1"/>
    <xf numFmtId="44" fontId="8" fillId="7" borderId="7" xfId="0" applyNumberFormat="1" applyFont="1" applyFill="1" applyBorder="1" applyAlignment="1">
      <alignment horizontal="center"/>
    </xf>
    <xf numFmtId="0" fontId="8" fillId="8" borderId="0" xfId="0" applyFont="1" applyFill="1"/>
    <xf numFmtId="0" fontId="8" fillId="8" borderId="7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14" fontId="8" fillId="8" borderId="3" xfId="0" applyNumberFormat="1" applyFont="1" applyFill="1" applyBorder="1" applyAlignment="1">
      <alignment horizontal="center"/>
    </xf>
    <xf numFmtId="165" fontId="8" fillId="8" borderId="3" xfId="2" applyNumberFormat="1" applyFont="1" applyFill="1" applyBorder="1" applyAlignment="1">
      <alignment horizontal="center"/>
    </xf>
    <xf numFmtId="164" fontId="8" fillId="8" borderId="3" xfId="1" applyNumberFormat="1" applyFont="1" applyFill="1" applyBorder="1" applyAlignment="1">
      <alignment horizontal="center"/>
    </xf>
    <xf numFmtId="44" fontId="8" fillId="8" borderId="7" xfId="0" quotePrefix="1" applyNumberFormat="1" applyFont="1" applyFill="1" applyBorder="1" applyAlignment="1">
      <alignment horizontal="center"/>
    </xf>
    <xf numFmtId="44" fontId="8" fillId="8" borderId="7" xfId="0" applyNumberFormat="1" applyFont="1" applyFill="1" applyBorder="1" applyAlignment="1"/>
    <xf numFmtId="44" fontId="8" fillId="8" borderId="7" xfId="0" applyNumberFormat="1" applyFont="1" applyFill="1" applyBorder="1" applyAlignment="1">
      <alignment horizontal="center"/>
    </xf>
    <xf numFmtId="0" fontId="8" fillId="9" borderId="0" xfId="0" applyFont="1" applyFill="1"/>
    <xf numFmtId="0" fontId="8" fillId="9" borderId="7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14" fontId="8" fillId="9" borderId="3" xfId="0" applyNumberFormat="1" applyFont="1" applyFill="1" applyBorder="1" applyAlignment="1">
      <alignment horizontal="center"/>
    </xf>
    <xf numFmtId="165" fontId="8" fillId="9" borderId="3" xfId="2" applyNumberFormat="1" applyFont="1" applyFill="1" applyBorder="1" applyAlignment="1">
      <alignment horizontal="center"/>
    </xf>
    <xf numFmtId="164" fontId="8" fillId="9" borderId="3" xfId="1" applyNumberFormat="1" applyFont="1" applyFill="1" applyBorder="1" applyAlignment="1">
      <alignment horizontal="center"/>
    </xf>
    <xf numFmtId="44" fontId="8" fillId="9" borderId="7" xfId="0" quotePrefix="1" applyNumberFormat="1" applyFont="1" applyFill="1" applyBorder="1" applyAlignment="1">
      <alignment horizontal="center"/>
    </xf>
    <xf numFmtId="44" fontId="8" fillId="9" borderId="7" xfId="0" applyNumberFormat="1" applyFont="1" applyFill="1" applyBorder="1" applyAlignment="1"/>
    <xf numFmtId="44" fontId="8" fillId="9" borderId="7" xfId="0" applyNumberFormat="1" applyFont="1" applyFill="1" applyBorder="1" applyAlignment="1">
      <alignment horizontal="center"/>
    </xf>
    <xf numFmtId="0" fontId="7" fillId="0" borderId="0" xfId="0" applyFont="1" applyFill="1"/>
    <xf numFmtId="0" fontId="5" fillId="0" borderId="0" xfId="0" applyFont="1" applyFill="1"/>
    <xf numFmtId="0" fontId="8" fillId="0" borderId="0" xfId="0" applyFont="1" applyFill="1"/>
    <xf numFmtId="0" fontId="8" fillId="8" borderId="7" xfId="0" applyFont="1" applyFill="1" applyBorder="1" applyAlignment="1">
      <alignment horizontal="center" wrapText="1"/>
    </xf>
    <xf numFmtId="14" fontId="8" fillId="8" borderId="7" xfId="0" applyNumberFormat="1" applyFont="1" applyFill="1" applyBorder="1" applyAlignment="1">
      <alignment horizontal="center"/>
    </xf>
    <xf numFmtId="165" fontId="8" fillId="8" borderId="7" xfId="2" applyNumberFormat="1" applyFont="1" applyFill="1" applyBorder="1"/>
    <xf numFmtId="165" fontId="8" fillId="8" borderId="7" xfId="0" applyNumberFormat="1" applyFont="1" applyFill="1" applyBorder="1"/>
    <xf numFmtId="164" fontId="8" fillId="8" borderId="7" xfId="0" applyNumberFormat="1" applyFont="1" applyFill="1" applyBorder="1"/>
    <xf numFmtId="44" fontId="8" fillId="8" borderId="7" xfId="0" applyNumberFormat="1" applyFont="1" applyFill="1" applyBorder="1"/>
    <xf numFmtId="44" fontId="8" fillId="8" borderId="4" xfId="0" applyNumberFormat="1" applyFont="1" applyFill="1" applyBorder="1"/>
    <xf numFmtId="44" fontId="8" fillId="8" borderId="4" xfId="0" applyNumberFormat="1" applyFont="1" applyFill="1" applyBorder="1" applyAlignment="1"/>
    <xf numFmtId="165" fontId="8" fillId="8" borderId="8" xfId="2" applyNumberFormat="1" applyFont="1" applyFill="1" applyBorder="1"/>
    <xf numFmtId="165" fontId="8" fillId="8" borderId="8" xfId="0" applyNumberFormat="1" applyFont="1" applyFill="1" applyBorder="1"/>
    <xf numFmtId="164" fontId="8" fillId="8" borderId="8" xfId="0" applyNumberFormat="1" applyFont="1" applyFill="1" applyBorder="1"/>
    <xf numFmtId="44" fontId="8" fillId="8" borderId="8" xfId="0" applyNumberFormat="1" applyFont="1" applyFill="1" applyBorder="1"/>
    <xf numFmtId="44" fontId="8" fillId="8" borderId="9" xfId="0" applyNumberFormat="1" applyFont="1" applyFill="1" applyBorder="1"/>
    <xf numFmtId="0" fontId="8" fillId="8" borderId="7" xfId="0" applyFont="1" applyFill="1" applyBorder="1" applyAlignment="1"/>
    <xf numFmtId="0" fontId="8" fillId="8" borderId="4" xfId="0" applyFont="1" applyFill="1" applyBorder="1" applyAlignment="1"/>
    <xf numFmtId="44" fontId="9" fillId="8" borderId="7" xfId="0" applyNumberFormat="1" applyFont="1" applyFill="1" applyBorder="1"/>
    <xf numFmtId="0" fontId="8" fillId="8" borderId="7" xfId="0" applyFont="1" applyFill="1" applyBorder="1"/>
    <xf numFmtId="164" fontId="7" fillId="8" borderId="7" xfId="0" applyNumberFormat="1" applyFont="1" applyFill="1" applyBorder="1"/>
    <xf numFmtId="164" fontId="7" fillId="8" borderId="0" xfId="0" applyNumberFormat="1" applyFont="1" applyFill="1" applyBorder="1"/>
    <xf numFmtId="44" fontId="7" fillId="8" borderId="7" xfId="0" applyNumberFormat="1" applyFont="1" applyFill="1" applyBorder="1"/>
    <xf numFmtId="0" fontId="8" fillId="6" borderId="0" xfId="0" applyFont="1" applyFill="1" applyAlignment="1">
      <alignment horizontal="center"/>
    </xf>
    <xf numFmtId="0" fontId="8" fillId="6" borderId="7" xfId="0" applyFont="1" applyFill="1" applyBorder="1"/>
    <xf numFmtId="0" fontId="8" fillId="6" borderId="7" xfId="0" applyFont="1" applyFill="1" applyBorder="1" applyAlignment="1">
      <alignment horizontal="center" wrapText="1"/>
    </xf>
    <xf numFmtId="14" fontId="8" fillId="6" borderId="7" xfId="0" applyNumberFormat="1" applyFont="1" applyFill="1" applyBorder="1" applyAlignment="1">
      <alignment horizontal="center"/>
    </xf>
    <xf numFmtId="165" fontId="8" fillId="6" borderId="7" xfId="2" applyNumberFormat="1" applyFont="1" applyFill="1" applyBorder="1"/>
    <xf numFmtId="165" fontId="8" fillId="6" borderId="7" xfId="0" applyNumberFormat="1" applyFont="1" applyFill="1" applyBorder="1"/>
    <xf numFmtId="164" fontId="8" fillId="6" borderId="7" xfId="0" applyNumberFormat="1" applyFont="1" applyFill="1" applyBorder="1"/>
    <xf numFmtId="164" fontId="8" fillId="6" borderId="0" xfId="0" applyNumberFormat="1" applyFont="1" applyFill="1" applyBorder="1"/>
    <xf numFmtId="44" fontId="8" fillId="6" borderId="7" xfId="0" applyNumberFormat="1" applyFont="1" applyFill="1" applyBorder="1"/>
    <xf numFmtId="44" fontId="8" fillId="6" borderId="4" xfId="0" applyNumberFormat="1" applyFont="1" applyFill="1" applyBorder="1" applyAlignment="1"/>
    <xf numFmtId="0" fontId="8" fillId="6" borderId="7" xfId="0" applyFont="1" applyFill="1" applyBorder="1" applyAlignment="1"/>
    <xf numFmtId="165" fontId="8" fillId="6" borderId="8" xfId="2" applyNumberFormat="1" applyFont="1" applyFill="1" applyBorder="1"/>
    <xf numFmtId="164" fontId="8" fillId="6" borderId="8" xfId="0" applyNumberFormat="1" applyFont="1" applyFill="1" applyBorder="1"/>
    <xf numFmtId="44" fontId="8" fillId="6" borderId="8" xfId="0" applyNumberFormat="1" applyFont="1" applyFill="1" applyBorder="1"/>
    <xf numFmtId="44" fontId="8" fillId="6" borderId="9" xfId="0" applyNumberFormat="1" applyFont="1" applyFill="1" applyBorder="1"/>
    <xf numFmtId="164" fontId="7" fillId="6" borderId="7" xfId="0" applyNumberFormat="1" applyFont="1" applyFill="1" applyBorder="1"/>
    <xf numFmtId="44" fontId="9" fillId="6" borderId="7" xfId="0" applyNumberFormat="1" applyFont="1" applyFill="1" applyBorder="1"/>
    <xf numFmtId="164" fontId="7" fillId="6" borderId="0" xfId="0" applyNumberFormat="1" applyFont="1" applyFill="1" applyBorder="1"/>
    <xf numFmtId="0" fontId="8" fillId="6" borderId="4" xfId="0" applyFont="1" applyFill="1" applyBorder="1" applyAlignment="1"/>
    <xf numFmtId="165" fontId="8" fillId="6" borderId="3" xfId="2" applyNumberFormat="1" applyFont="1" applyFill="1" applyBorder="1"/>
    <xf numFmtId="44" fontId="8" fillId="6" borderId="3" xfId="0" applyNumberFormat="1" applyFont="1" applyFill="1" applyBorder="1"/>
    <xf numFmtId="0" fontId="8" fillId="6" borderId="8" xfId="0" applyFont="1" applyFill="1" applyBorder="1"/>
    <xf numFmtId="164" fontId="8" fillId="6" borderId="6" xfId="0" applyNumberFormat="1" applyFont="1" applyFill="1" applyBorder="1"/>
    <xf numFmtId="165" fontId="8" fillId="6" borderId="3" xfId="0" applyNumberFormat="1" applyFont="1" applyFill="1" applyBorder="1"/>
    <xf numFmtId="164" fontId="8" fillId="6" borderId="3" xfId="0" applyNumberFormat="1" applyFont="1" applyFill="1" applyBorder="1"/>
    <xf numFmtId="0" fontId="7" fillId="6" borderId="8" xfId="0" applyFont="1" applyFill="1" applyBorder="1"/>
    <xf numFmtId="165" fontId="7" fillId="6" borderId="8" xfId="0" applyNumberFormat="1" applyFont="1" applyFill="1" applyBorder="1"/>
    <xf numFmtId="164" fontId="7" fillId="6" borderId="8" xfId="0" applyNumberFormat="1" applyFont="1" applyFill="1" applyBorder="1"/>
    <xf numFmtId="164" fontId="7" fillId="6" borderId="9" xfId="0" applyNumberFormat="1" applyFont="1" applyFill="1" applyBorder="1"/>
    <xf numFmtId="0" fontId="7" fillId="6" borderId="7" xfId="0" applyFont="1" applyFill="1" applyBorder="1"/>
    <xf numFmtId="165" fontId="7" fillId="6" borderId="7" xfId="0" applyNumberFormat="1" applyFont="1" applyFill="1" applyBorder="1"/>
    <xf numFmtId="164" fontId="7" fillId="6" borderId="6" xfId="0" applyNumberFormat="1" applyFont="1" applyFill="1" applyBorder="1"/>
    <xf numFmtId="0" fontId="13" fillId="6" borderId="7" xfId="0" applyFont="1" applyFill="1" applyBorder="1" applyAlignment="1">
      <alignment horizontal="center" wrapText="1"/>
    </xf>
    <xf numFmtId="0" fontId="7" fillId="0" borderId="0" xfId="0" applyFont="1" applyFill="1" applyAlignment="1"/>
    <xf numFmtId="0" fontId="5" fillId="0" borderId="0" xfId="0" applyFont="1" applyFill="1" applyAlignment="1"/>
    <xf numFmtId="0" fontId="8" fillId="0" borderId="0" xfId="0" applyFont="1" applyFill="1" applyAlignment="1"/>
    <xf numFmtId="0" fontId="7" fillId="0" borderId="1" xfId="0" applyFont="1" applyFill="1" applyBorder="1" applyAlignment="1">
      <alignment horizontal="centerContinuous"/>
    </xf>
    <xf numFmtId="0" fontId="9" fillId="0" borderId="13" xfId="0" applyFont="1" applyFill="1" applyBorder="1" applyAlignment="1">
      <alignment horizontal="centerContinuous"/>
    </xf>
    <xf numFmtId="0" fontId="7" fillId="0" borderId="3" xfId="0" applyFont="1" applyFill="1" applyBorder="1" applyAlignment="1">
      <alignment horizontal="centerContinuous"/>
    </xf>
    <xf numFmtId="0" fontId="9" fillId="0" borderId="7" xfId="0" applyFont="1" applyFill="1" applyBorder="1" applyAlignment="1">
      <alignment horizontal="centerContinuous"/>
    </xf>
    <xf numFmtId="0" fontId="9" fillId="0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179" fontId="9" fillId="0" borderId="3" xfId="0" applyNumberFormat="1" applyFont="1" applyFill="1" applyBorder="1" applyAlignment="1">
      <alignment horizontal="center"/>
    </xf>
    <xf numFmtId="179" fontId="9" fillId="0" borderId="0" xfId="0" applyNumberFormat="1" applyFont="1" applyFill="1" applyBorder="1" applyAlignment="1">
      <alignment horizontal="center"/>
    </xf>
    <xf numFmtId="179" fontId="9" fillId="0" borderId="5" xfId="0" applyNumberFormat="1" applyFont="1" applyFill="1" applyBorder="1" applyAlignment="1">
      <alignment horizontal="centerContinuous"/>
    </xf>
    <xf numFmtId="0" fontId="9" fillId="0" borderId="8" xfId="0" applyFont="1" applyFill="1" applyBorder="1" applyAlignment="1">
      <alignment horizontal="center"/>
    </xf>
    <xf numFmtId="44" fontId="8" fillId="0" borderId="0" xfId="0" applyNumberFormat="1" applyFont="1" applyFill="1" applyBorder="1" applyAlignment="1"/>
    <xf numFmtId="44" fontId="7" fillId="0" borderId="3" xfId="2" applyFont="1" applyFill="1" applyBorder="1" applyAlignment="1"/>
    <xf numFmtId="44" fontId="7" fillId="0" borderId="3" xfId="0" applyNumberFormat="1" applyFont="1" applyFill="1" applyBorder="1" applyAlignment="1"/>
    <xf numFmtId="0" fontId="8" fillId="0" borderId="0" xfId="0" applyFont="1" applyFill="1" applyBorder="1" applyAlignment="1"/>
    <xf numFmtId="44" fontId="7" fillId="0" borderId="0" xfId="0" applyNumberFormat="1" applyFont="1" applyFill="1" applyBorder="1" applyAlignment="1"/>
    <xf numFmtId="0" fontId="8" fillId="0" borderId="1" xfId="0" applyFont="1" applyFill="1" applyBorder="1" applyAlignment="1"/>
    <xf numFmtId="0" fontId="8" fillId="0" borderId="3" xfId="0" applyFont="1" applyFill="1" applyBorder="1" applyAlignment="1"/>
    <xf numFmtId="43" fontId="8" fillId="0" borderId="0" xfId="1" applyNumberFormat="1" applyFont="1" applyFill="1"/>
    <xf numFmtId="44" fontId="15" fillId="0" borderId="0" xfId="2" applyFont="1" applyFill="1"/>
    <xf numFmtId="44" fontId="8" fillId="0" borderId="9" xfId="0" applyNumberFormat="1" applyFont="1" applyFill="1" applyBorder="1" applyAlignment="1"/>
    <xf numFmtId="44" fontId="8" fillId="0" borderId="0" xfId="2" applyFont="1" applyFill="1"/>
    <xf numFmtId="44" fontId="7" fillId="0" borderId="7" xfId="0" applyNumberFormat="1" applyFont="1" applyFill="1" applyBorder="1" applyAlignment="1"/>
    <xf numFmtId="44" fontId="12" fillId="0" borderId="0" xfId="2" applyFont="1" applyFill="1"/>
    <xf numFmtId="44" fontId="14" fillId="0" borderId="0" xfId="2" applyFont="1" applyFill="1"/>
    <xf numFmtId="44" fontId="13" fillId="0" borderId="0" xfId="2" applyFont="1" applyFill="1"/>
    <xf numFmtId="44" fontId="16" fillId="0" borderId="0" xfId="2" applyFont="1" applyFill="1"/>
    <xf numFmtId="44" fontId="9" fillId="0" borderId="14" xfId="2" applyFont="1" applyFill="1" applyBorder="1" applyAlignment="1"/>
    <xf numFmtId="43" fontId="9" fillId="0" borderId="14" xfId="1" applyNumberFormat="1" applyFont="1" applyFill="1" applyBorder="1" applyAlignment="1"/>
    <xf numFmtId="0" fontId="8" fillId="0" borderId="8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Continuous"/>
    </xf>
    <xf numFmtId="0" fontId="7" fillId="0" borderId="0" xfId="0" applyFont="1" applyFill="1" applyBorder="1" applyAlignment="1">
      <alignment horizontal="centerContinuous"/>
    </xf>
    <xf numFmtId="44" fontId="8" fillId="0" borderId="0" xfId="0" applyNumberFormat="1" applyFont="1" applyFill="1" applyAlignment="1">
      <alignment horizontal="center"/>
    </xf>
    <xf numFmtId="44" fontId="0" fillId="0" borderId="0" xfId="0" applyNumberFormat="1" applyFill="1"/>
    <xf numFmtId="44" fontId="9" fillId="0" borderId="14" xfId="0" applyNumberFormat="1" applyFont="1" applyFill="1" applyBorder="1" applyAlignment="1"/>
    <xf numFmtId="44" fontId="7" fillId="0" borderId="9" xfId="2" applyFont="1" applyFill="1" applyBorder="1" applyAlignment="1"/>
    <xf numFmtId="44" fontId="8" fillId="0" borderId="0" xfId="0" applyNumberFormat="1" applyFont="1" applyFill="1" applyAlignment="1"/>
    <xf numFmtId="43" fontId="8" fillId="0" borderId="0" xfId="1" applyFont="1" applyFill="1" applyAlignment="1"/>
    <xf numFmtId="43" fontId="8" fillId="0" borderId="0" xfId="0" applyNumberFormat="1" applyFont="1" applyFill="1" applyAlignment="1"/>
    <xf numFmtId="179" fontId="9" fillId="4" borderId="3" xfId="0" applyNumberFormat="1" applyFont="1" applyFill="1" applyBorder="1" applyAlignment="1">
      <alignment horizontal="center"/>
    </xf>
    <xf numFmtId="179" fontId="9" fillId="4" borderId="0" xfId="0" applyNumberFormat="1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4.xml"/><Relationship Id="rId40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Gas%20Accounting/TW/TW%20FUEL%20HEDGE/Fixed3_050701-expired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WFIN/Gas%20Accounting/TW/TW%20FUEL%20HEDGE/Fixed3_033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ck%20end%20deal%200531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futures_0531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T&amp;Scurves(b)0531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T&amp;Scurves(i)0531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Fixed3_053101-vns%20np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MTC_2-expired"/>
      <sheetName val="ENA #QA4309.1-Expired"/>
      <sheetName val="ENA #QA5217.1-Expired"/>
      <sheetName val="ElPaso #1009351-Expired"/>
      <sheetName val="ENA_19-Expired"/>
      <sheetName val="El Paso_18-Expired"/>
      <sheetName val="ENA_#QO886.1-Expired"/>
      <sheetName val="ENA O6763.1-Expired"/>
      <sheetName val="ENA_10-Expired"/>
      <sheetName val="Sempra_1_Expired"/>
      <sheetName val="MEC_8_Expired"/>
      <sheetName val="Avista_1_Expired"/>
      <sheetName val="Avista_2_Expired"/>
      <sheetName val="Sempra_2_Expired"/>
      <sheetName val="Sempra_2.1_Expired"/>
      <sheetName val="EOL QQ9020.1 expired"/>
      <sheetName val="EOL QQ9023.1 expired"/>
      <sheetName val="TC #HJN1001"/>
      <sheetName val="TC #HJN1002"/>
      <sheetName val="ENA #QH8057.1"/>
      <sheetName val="ENA #QF8229.1"/>
      <sheetName val="ENA #QF0992.1"/>
      <sheetName val="ENA #QF1003.1"/>
      <sheetName val="HJN1003"/>
      <sheetName val="HJN1004"/>
      <sheetName val="ENA #QN5116.1"/>
      <sheetName val="HJN1005"/>
      <sheetName val="EOL QV9321.1"/>
      <sheetName val="EOL QV9306.1"/>
      <sheetName val="QZ4095.1"/>
      <sheetName val="QZ4097.1"/>
    </sheetNames>
    <sheetDataSet>
      <sheetData sheetId="0"/>
      <sheetData sheetId="1">
        <row r="9">
          <cell r="G9">
            <v>2.19</v>
          </cell>
        </row>
        <row r="10">
          <cell r="G10">
            <v>2.41</v>
          </cell>
        </row>
        <row r="11">
          <cell r="G11">
            <v>2.41</v>
          </cell>
        </row>
        <row r="12">
          <cell r="G12">
            <v>2.79</v>
          </cell>
        </row>
        <row r="13">
          <cell r="G13">
            <v>2.87</v>
          </cell>
        </row>
        <row r="14">
          <cell r="G14">
            <v>4.0999999999999996</v>
          </cell>
        </row>
        <row r="15">
          <cell r="G15">
            <v>4.3499999999999996</v>
          </cell>
        </row>
        <row r="16">
          <cell r="G16">
            <v>3.77</v>
          </cell>
        </row>
        <row r="17">
          <cell r="G17">
            <v>4.5</v>
          </cell>
        </row>
        <row r="18">
          <cell r="G18">
            <v>5.15</v>
          </cell>
        </row>
        <row r="19">
          <cell r="G19">
            <v>4.5199999999999996</v>
          </cell>
        </row>
        <row r="20">
          <cell r="G20">
            <v>6.27</v>
          </cell>
        </row>
        <row r="22">
          <cell r="F22">
            <v>-5490000</v>
          </cell>
          <cell r="I22">
            <v>7783649.9999999991</v>
          </cell>
          <cell r="J22">
            <v>7783649.9999999991</v>
          </cell>
          <cell r="K22">
            <v>0</v>
          </cell>
        </row>
        <row r="26">
          <cell r="G26">
            <v>2.19</v>
          </cell>
        </row>
        <row r="27">
          <cell r="G27">
            <v>2.41</v>
          </cell>
        </row>
        <row r="28">
          <cell r="G28">
            <v>2.41</v>
          </cell>
        </row>
        <row r="29">
          <cell r="G29">
            <v>2.79</v>
          </cell>
        </row>
        <row r="30">
          <cell r="G30">
            <v>2.87</v>
          </cell>
        </row>
        <row r="31">
          <cell r="G31">
            <v>4.0999999999999996</v>
          </cell>
        </row>
        <row r="32">
          <cell r="G32">
            <v>4.3499999999999996</v>
          </cell>
        </row>
        <row r="33">
          <cell r="G33">
            <v>3.77</v>
          </cell>
        </row>
        <row r="34">
          <cell r="G34">
            <v>4.5</v>
          </cell>
        </row>
        <row r="35">
          <cell r="G35">
            <v>5.15</v>
          </cell>
        </row>
        <row r="36">
          <cell r="G36">
            <v>4.5199999999999996</v>
          </cell>
        </row>
        <row r="37">
          <cell r="G37">
            <v>6.27</v>
          </cell>
        </row>
        <row r="39">
          <cell r="F39">
            <v>5490000</v>
          </cell>
          <cell r="I39">
            <v>-7783649.9999999991</v>
          </cell>
          <cell r="J39">
            <v>-7783649.9999999991</v>
          </cell>
          <cell r="K3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9">
          <cell r="G9">
            <v>1.96</v>
          </cell>
        </row>
        <row r="10">
          <cell r="G10">
            <v>2.0499999999999998</v>
          </cell>
        </row>
        <row r="11">
          <cell r="G11">
            <v>2.2599999999999998</v>
          </cell>
        </row>
        <row r="12">
          <cell r="G12">
            <v>2.63</v>
          </cell>
        </row>
        <row r="13">
          <cell r="G13">
            <v>2.37</v>
          </cell>
        </row>
        <row r="14">
          <cell r="G14">
            <v>2.84</v>
          </cell>
        </row>
        <row r="15">
          <cell r="G15">
            <v>2.08</v>
          </cell>
        </row>
        <row r="16">
          <cell r="G16">
            <v>2.1800000000000002</v>
          </cell>
        </row>
        <row r="17">
          <cell r="G17">
            <v>2.36</v>
          </cell>
        </row>
        <row r="18">
          <cell r="G18">
            <v>2.37</v>
          </cell>
        </row>
        <row r="19">
          <cell r="G19">
            <v>2.75</v>
          </cell>
        </row>
        <row r="20">
          <cell r="G20">
            <v>2.78</v>
          </cell>
        </row>
        <row r="21">
          <cell r="F21">
            <v>91500</v>
          </cell>
          <cell r="I21">
            <v>-40189.999999999993</v>
          </cell>
          <cell r="J21">
            <v>-40189.999999999993</v>
          </cell>
          <cell r="K21">
            <v>0</v>
          </cell>
        </row>
        <row r="25">
          <cell r="G25">
            <v>2.0699999999999998</v>
          </cell>
        </row>
        <row r="26">
          <cell r="G26">
            <v>2.11</v>
          </cell>
        </row>
        <row r="27">
          <cell r="G27">
            <v>2.5099999999999998</v>
          </cell>
        </row>
        <row r="28">
          <cell r="G28">
            <v>2.36</v>
          </cell>
        </row>
        <row r="29">
          <cell r="G29">
            <v>2.62</v>
          </cell>
        </row>
        <row r="30">
          <cell r="G30">
            <v>2.17</v>
          </cell>
        </row>
        <row r="31">
          <cell r="G31">
            <v>2.2400000000000002</v>
          </cell>
        </row>
        <row r="32">
          <cell r="G32">
            <v>2.2599999999999998</v>
          </cell>
        </row>
        <row r="33">
          <cell r="G33">
            <v>2.4300000000000002</v>
          </cell>
        </row>
        <row r="34">
          <cell r="G34">
            <v>2.64</v>
          </cell>
        </row>
        <row r="35">
          <cell r="G35">
            <v>2.79</v>
          </cell>
        </row>
        <row r="36">
          <cell r="G36">
            <v>3.31</v>
          </cell>
        </row>
        <row r="37">
          <cell r="F37">
            <v>-91500</v>
          </cell>
          <cell r="I37">
            <v>47172.499999999985</v>
          </cell>
          <cell r="J37">
            <v>47172.499999999985</v>
          </cell>
          <cell r="K37">
            <v>0</v>
          </cell>
        </row>
      </sheetData>
      <sheetData sheetId="11">
        <row r="15">
          <cell r="F15">
            <v>230000</v>
          </cell>
          <cell r="I15">
            <v>588400</v>
          </cell>
          <cell r="J15">
            <v>588400</v>
          </cell>
          <cell r="K15">
            <v>0</v>
          </cell>
        </row>
        <row r="26">
          <cell r="F26">
            <v>-230000</v>
          </cell>
          <cell r="I26">
            <v>-607140</v>
          </cell>
          <cell r="J26">
            <v>-607140</v>
          </cell>
          <cell r="K26">
            <v>0</v>
          </cell>
        </row>
      </sheetData>
      <sheetData sheetId="12">
        <row r="10">
          <cell r="D10">
            <v>2.2200000000000002</v>
          </cell>
          <cell r="G10">
            <v>1.82</v>
          </cell>
        </row>
        <row r="11">
          <cell r="G11">
            <v>1.86</v>
          </cell>
        </row>
        <row r="12">
          <cell r="G12">
            <v>1.81</v>
          </cell>
        </row>
        <row r="13">
          <cell r="G13">
            <v>1.55</v>
          </cell>
        </row>
        <row r="14">
          <cell r="G14">
            <v>1.67</v>
          </cell>
        </row>
        <row r="15">
          <cell r="G15">
            <v>1.88</v>
          </cell>
        </row>
        <row r="16">
          <cell r="G16">
            <v>1.96</v>
          </cell>
        </row>
        <row r="17">
          <cell r="G17">
            <v>1.72</v>
          </cell>
        </row>
        <row r="18">
          <cell r="G18">
            <v>1.63</v>
          </cell>
        </row>
        <row r="19">
          <cell r="G19">
            <v>1.51</v>
          </cell>
        </row>
        <row r="20">
          <cell r="G20">
            <v>1.59</v>
          </cell>
        </row>
        <row r="21">
          <cell r="G21">
            <v>2.0299999999999998</v>
          </cell>
        </row>
        <row r="22">
          <cell r="F22">
            <v>91250</v>
          </cell>
          <cell r="I22">
            <v>42525.000000000015</v>
          </cell>
          <cell r="J22">
            <v>42525.000000000015</v>
          </cell>
          <cell r="K22">
            <v>0</v>
          </cell>
        </row>
        <row r="26">
          <cell r="D26">
            <v>2.2200000000000002</v>
          </cell>
          <cell r="G26">
            <v>1.84</v>
          </cell>
        </row>
        <row r="27">
          <cell r="G27">
            <v>2.02</v>
          </cell>
        </row>
        <row r="28">
          <cell r="G28">
            <v>1.75</v>
          </cell>
        </row>
        <row r="29">
          <cell r="G29">
            <v>1.76</v>
          </cell>
        </row>
        <row r="30">
          <cell r="G30">
            <v>1.78</v>
          </cell>
        </row>
        <row r="31">
          <cell r="G31">
            <v>1.99</v>
          </cell>
        </row>
        <row r="32">
          <cell r="G32">
            <v>1.74</v>
          </cell>
        </row>
        <row r="33">
          <cell r="G33">
            <v>1.73</v>
          </cell>
        </row>
        <row r="34">
          <cell r="G34">
            <v>1.63</v>
          </cell>
        </row>
        <row r="35">
          <cell r="G35">
            <v>1.59</v>
          </cell>
        </row>
        <row r="36">
          <cell r="G36">
            <v>1.94</v>
          </cell>
        </row>
        <row r="37">
          <cell r="G37">
            <v>2.06</v>
          </cell>
        </row>
        <row r="38">
          <cell r="F38">
            <v>-91250</v>
          </cell>
          <cell r="I38">
            <v>-33647.500000000007</v>
          </cell>
          <cell r="J38">
            <v>-33647.500000000007</v>
          </cell>
          <cell r="K38">
            <v>0</v>
          </cell>
        </row>
      </sheetData>
      <sheetData sheetId="13">
        <row r="9">
          <cell r="G9">
            <v>1.82</v>
          </cell>
        </row>
        <row r="10">
          <cell r="G10">
            <v>1.92</v>
          </cell>
        </row>
        <row r="11">
          <cell r="G11">
            <v>1.99</v>
          </cell>
        </row>
        <row r="12">
          <cell r="G12">
            <v>1.73</v>
          </cell>
        </row>
        <row r="13">
          <cell r="G13">
            <v>1.66</v>
          </cell>
        </row>
        <row r="14">
          <cell r="G14">
            <v>1.54</v>
          </cell>
        </row>
        <row r="15">
          <cell r="G15">
            <v>1.66</v>
          </cell>
        </row>
        <row r="16">
          <cell r="G16">
            <v>2.16</v>
          </cell>
        </row>
        <row r="17">
          <cell r="G17">
            <v>2.08</v>
          </cell>
        </row>
        <row r="18">
          <cell r="G18">
            <v>2.17</v>
          </cell>
        </row>
        <row r="19">
          <cell r="G19">
            <v>2.46</v>
          </cell>
        </row>
        <row r="20">
          <cell r="G20">
            <v>2.78</v>
          </cell>
        </row>
        <row r="21">
          <cell r="G21">
            <v>2.42</v>
          </cell>
        </row>
        <row r="22">
          <cell r="G22">
            <v>2.87</v>
          </cell>
        </row>
        <row r="23">
          <cell r="G23">
            <v>2.08</v>
          </cell>
        </row>
        <row r="24">
          <cell r="F24">
            <v>-1142500</v>
          </cell>
          <cell r="I24">
            <v>97412.500000000102</v>
          </cell>
          <cell r="J24">
            <v>97412.500000000102</v>
          </cell>
          <cell r="K24">
            <v>0</v>
          </cell>
        </row>
        <row r="28">
          <cell r="G28">
            <v>1.78</v>
          </cell>
        </row>
        <row r="29">
          <cell r="G29">
            <v>1.99</v>
          </cell>
        </row>
        <row r="30">
          <cell r="G30">
            <v>1.74</v>
          </cell>
        </row>
        <row r="31">
          <cell r="G31">
            <v>1.73</v>
          </cell>
        </row>
        <row r="32">
          <cell r="G32">
            <v>1.63</v>
          </cell>
        </row>
        <row r="33">
          <cell r="G33">
            <v>1.59</v>
          </cell>
        </row>
        <row r="34">
          <cell r="G34">
            <v>1.94</v>
          </cell>
        </row>
        <row r="35">
          <cell r="G35">
            <v>2.06</v>
          </cell>
        </row>
        <row r="36">
          <cell r="G36">
            <v>2.0699999999999998</v>
          </cell>
        </row>
        <row r="37">
          <cell r="G37">
            <v>2.11</v>
          </cell>
        </row>
        <row r="38">
          <cell r="G38">
            <v>2.5099999999999998</v>
          </cell>
        </row>
        <row r="39">
          <cell r="G39">
            <v>2.36</v>
          </cell>
        </row>
        <row r="40">
          <cell r="G40">
            <v>2.62</v>
          </cell>
        </row>
        <row r="41">
          <cell r="G41">
            <v>2.17</v>
          </cell>
        </row>
        <row r="42">
          <cell r="G42">
            <v>2.2400000000000002</v>
          </cell>
        </row>
        <row r="43">
          <cell r="F43">
            <v>1142500</v>
          </cell>
          <cell r="I43">
            <v>-37587.500000000102</v>
          </cell>
          <cell r="J43">
            <v>-37587.500000000102</v>
          </cell>
          <cell r="K43">
            <v>0</v>
          </cell>
        </row>
      </sheetData>
      <sheetData sheetId="14">
        <row r="9">
          <cell r="D9">
            <v>2.1</v>
          </cell>
          <cell r="G9">
            <v>1.82</v>
          </cell>
        </row>
        <row r="10">
          <cell r="G10">
            <v>1.92</v>
          </cell>
        </row>
        <row r="11">
          <cell r="G11">
            <v>1.99</v>
          </cell>
        </row>
        <row r="12">
          <cell r="G12">
            <v>1.73</v>
          </cell>
        </row>
        <row r="13">
          <cell r="G13">
            <v>1.66</v>
          </cell>
        </row>
        <row r="14">
          <cell r="G14">
            <v>1.54</v>
          </cell>
        </row>
        <row r="15">
          <cell r="G15">
            <v>1.66</v>
          </cell>
        </row>
        <row r="16">
          <cell r="G16">
            <v>2.16</v>
          </cell>
        </row>
        <row r="17">
          <cell r="G17">
            <v>2.08</v>
          </cell>
        </row>
        <row r="18">
          <cell r="G18">
            <v>2.17</v>
          </cell>
        </row>
        <row r="19">
          <cell r="G19">
            <v>2.46</v>
          </cell>
        </row>
        <row r="20">
          <cell r="G20">
            <v>2.78</v>
          </cell>
        </row>
        <row r="21">
          <cell r="G21">
            <v>2.42</v>
          </cell>
        </row>
        <row r="22">
          <cell r="G22">
            <v>2.87</v>
          </cell>
        </row>
        <row r="23">
          <cell r="G23">
            <v>2.08</v>
          </cell>
        </row>
        <row r="24">
          <cell r="F24">
            <v>-1142500</v>
          </cell>
          <cell r="I24">
            <v>-11125.000000000104</v>
          </cell>
          <cell r="J24">
            <v>-11125.000000000104</v>
          </cell>
          <cell r="K24">
            <v>0</v>
          </cell>
        </row>
        <row r="28">
          <cell r="D28">
            <v>2.1</v>
          </cell>
          <cell r="G28">
            <v>1.78</v>
          </cell>
        </row>
        <row r="29">
          <cell r="G29">
            <v>1.99</v>
          </cell>
        </row>
        <row r="30">
          <cell r="G30">
            <v>1.74</v>
          </cell>
        </row>
        <row r="31">
          <cell r="G31">
            <v>1.73</v>
          </cell>
        </row>
        <row r="32">
          <cell r="G32">
            <v>1.63</v>
          </cell>
        </row>
        <row r="33">
          <cell r="G33">
            <v>1.59</v>
          </cell>
        </row>
        <row r="34">
          <cell r="G34">
            <v>1.94</v>
          </cell>
        </row>
        <row r="35">
          <cell r="G35">
            <v>2.06</v>
          </cell>
        </row>
        <row r="36">
          <cell r="G36">
            <v>2.0699999999999998</v>
          </cell>
        </row>
        <row r="37">
          <cell r="G37">
            <v>2.11</v>
          </cell>
        </row>
        <row r="38">
          <cell r="G38">
            <v>2.5099999999999998</v>
          </cell>
        </row>
        <row r="39">
          <cell r="G39">
            <v>2.36</v>
          </cell>
        </row>
        <row r="40">
          <cell r="G40">
            <v>2.62</v>
          </cell>
        </row>
        <row r="41">
          <cell r="G41">
            <v>2.17</v>
          </cell>
        </row>
        <row r="42">
          <cell r="G42">
            <v>2.2400000000000002</v>
          </cell>
        </row>
        <row r="43">
          <cell r="F43">
            <v>1142500</v>
          </cell>
          <cell r="I43">
            <v>70950.00000000016</v>
          </cell>
          <cell r="J43">
            <v>70950.00000000016</v>
          </cell>
          <cell r="K43">
            <v>0</v>
          </cell>
        </row>
      </sheetData>
      <sheetData sheetId="15">
        <row r="9">
          <cell r="G9">
            <v>2.16</v>
          </cell>
        </row>
        <row r="10">
          <cell r="G10">
            <v>2.08</v>
          </cell>
        </row>
        <row r="11">
          <cell r="G11">
            <v>2.17</v>
          </cell>
        </row>
        <row r="12">
          <cell r="G12">
            <v>2.46</v>
          </cell>
        </row>
        <row r="13">
          <cell r="G13">
            <v>2.78</v>
          </cell>
        </row>
        <row r="14">
          <cell r="G14">
            <v>2.42</v>
          </cell>
        </row>
        <row r="15">
          <cell r="G15">
            <v>2.87</v>
          </cell>
        </row>
        <row r="16">
          <cell r="G16">
            <v>2.08</v>
          </cell>
        </row>
        <row r="17">
          <cell r="F17">
            <v>-2450000</v>
          </cell>
          <cell r="I17">
            <v>894400.00000000058</v>
          </cell>
          <cell r="J17">
            <v>894400.00000000058</v>
          </cell>
          <cell r="K17">
            <v>0</v>
          </cell>
        </row>
        <row r="21">
          <cell r="G21">
            <v>2.06</v>
          </cell>
        </row>
        <row r="22">
          <cell r="G22">
            <v>2.0699999999999998</v>
          </cell>
        </row>
        <row r="23">
          <cell r="G23">
            <v>2.11</v>
          </cell>
        </row>
        <row r="24">
          <cell r="G24">
            <v>2.5099999999999998</v>
          </cell>
        </row>
        <row r="25">
          <cell r="G25">
            <v>2.36</v>
          </cell>
        </row>
        <row r="26">
          <cell r="G26">
            <v>2.62</v>
          </cell>
        </row>
        <row r="27">
          <cell r="G27">
            <v>2.17</v>
          </cell>
        </row>
        <row r="28">
          <cell r="G28">
            <v>2.2400000000000002</v>
          </cell>
        </row>
        <row r="29">
          <cell r="F29">
            <v>2450000</v>
          </cell>
          <cell r="I29">
            <v>-632900.00000000035</v>
          </cell>
          <cell r="J29">
            <v>-632900.00000000035</v>
          </cell>
          <cell r="K29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ENA_9"/>
      <sheetName val="ENA_11"/>
      <sheetName val="ENA_12"/>
      <sheetName val="ENA_13"/>
      <sheetName val="TC #HJN1001"/>
      <sheetName val="TC #HJN1002"/>
      <sheetName val="ENA #QH8057.1"/>
      <sheetName val="ENA #QF8229.1"/>
      <sheetName val="ENA #QF0992.1"/>
      <sheetName val="ENA #QF1003.1"/>
      <sheetName val="HJN1003"/>
      <sheetName val="HJN1004"/>
      <sheetName val="QL5363.1"/>
      <sheetName val="QL5365.1"/>
      <sheetName val="QL2915.1"/>
      <sheetName val="QL2918.1"/>
      <sheetName val="QL5424.1"/>
      <sheetName val="QL5444.1"/>
      <sheetName val="QL5357.1"/>
      <sheetName val="QL5358.1"/>
      <sheetName val="QL9270.1"/>
      <sheetName val="QL9273.1"/>
      <sheetName val="ENA #QN5116.1"/>
      <sheetName val="HJN1005"/>
      <sheetName val="HJN1006"/>
      <sheetName val="HJN1007"/>
      <sheetName val="QV8401.1"/>
      <sheetName val="Elpaso_6"/>
      <sheetName val="SW17"/>
      <sheetName val="SW18"/>
      <sheetName val="M337849"/>
      <sheetName val="12007624"/>
      <sheetName val="QK7503.1"/>
      <sheetName val="ENA #QF4410.1"/>
      <sheetName val="ENA #QF4447.1"/>
      <sheetName val="ENA #QF0967.1"/>
      <sheetName val="ENA #QF5953.1"/>
      <sheetName val="EOL QV9321.1"/>
      <sheetName val="EOL QV9306.1"/>
      <sheetName val="QZ4095.1"/>
      <sheetName val="QZ4097.1"/>
    </sheetNames>
    <sheetDataSet>
      <sheetData sheetId="0">
        <row r="43">
          <cell r="Q43">
            <v>2836735</v>
          </cell>
        </row>
        <row r="47">
          <cell r="Q47">
            <v>2135485</v>
          </cell>
        </row>
        <row r="51">
          <cell r="Q51">
            <v>2286735</v>
          </cell>
        </row>
        <row r="55">
          <cell r="Q55">
            <v>2348610</v>
          </cell>
        </row>
        <row r="59">
          <cell r="Q59">
            <v>-503014.99999999977</v>
          </cell>
        </row>
        <row r="73">
          <cell r="Q73">
            <v>-22180.499999999975</v>
          </cell>
        </row>
        <row r="74">
          <cell r="Q74">
            <v>2538202.5</v>
          </cell>
        </row>
        <row r="78">
          <cell r="Q78">
            <v>-1498969.9999999979</v>
          </cell>
        </row>
        <row r="79">
          <cell r="Q79">
            <v>21839262.5</v>
          </cell>
        </row>
        <row r="83">
          <cell r="Q83">
            <v>1311500</v>
          </cell>
        </row>
        <row r="84">
          <cell r="Q84">
            <v>-36722.000000000611</v>
          </cell>
        </row>
        <row r="88">
          <cell r="Q88">
            <v>2744999.9999999963</v>
          </cell>
        </row>
        <row r="89">
          <cell r="Q89">
            <v>-181612.49999999965</v>
          </cell>
        </row>
        <row r="93">
          <cell r="Q93">
            <v>296124.99999999901</v>
          </cell>
        </row>
        <row r="94">
          <cell r="Q94">
            <v>-13719.499999999392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>
        <row r="36">
          <cell r="F36">
            <v>62401635.288479991</v>
          </cell>
          <cell r="I36">
            <v>-1535955.7144932181</v>
          </cell>
          <cell r="J36">
            <v>-449118.88581530692</v>
          </cell>
          <cell r="K36">
            <v>-1086836.8286779115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paso SJ &amp; Prm"/>
      <sheetName val="Elpaso"/>
      <sheetName val="PEPL Tx, Ok"/>
      <sheetName val="Demarc"/>
      <sheetName val="NYMEX"/>
      <sheetName val="Henry Hub"/>
      <sheetName val="NGI Socal"/>
      <sheetName val="Aeco"/>
      <sheetName val="Empress"/>
      <sheetName val="Iroquois"/>
      <sheetName val="Dawn"/>
      <sheetName val="Niagara"/>
      <sheetName val="Emerson"/>
      <sheetName val="MEC-EXPIRED"/>
    </sheetNames>
    <sheetDataSet>
      <sheetData sheetId="0">
        <row r="15">
          <cell r="F15">
            <v>4.133</v>
          </cell>
        </row>
        <row r="16">
          <cell r="F16">
            <v>4.2009999999999996</v>
          </cell>
          <cell r="G16">
            <v>4.2084999999999999</v>
          </cell>
        </row>
        <row r="17">
          <cell r="F17">
            <v>4.0839999999999996</v>
          </cell>
          <cell r="G17">
            <v>4.0914999999999999</v>
          </cell>
        </row>
        <row r="18">
          <cell r="F18">
            <v>3.915</v>
          </cell>
          <cell r="G18">
            <v>3.9224999999999999</v>
          </cell>
        </row>
        <row r="19">
          <cell r="F19">
            <v>3.43</v>
          </cell>
          <cell r="G19">
            <v>3.4350000000000001</v>
          </cell>
        </row>
        <row r="20">
          <cell r="F20">
            <v>3.355</v>
          </cell>
          <cell r="G20">
            <v>3.36</v>
          </cell>
        </row>
        <row r="21">
          <cell r="F21">
            <v>3.4</v>
          </cell>
          <cell r="G21">
            <v>3.4049999999999998</v>
          </cell>
        </row>
        <row r="22">
          <cell r="F22">
            <v>3.4350000000000001</v>
          </cell>
          <cell r="G22">
            <v>3.44</v>
          </cell>
        </row>
        <row r="23">
          <cell r="F23">
            <v>3.4550000000000001</v>
          </cell>
          <cell r="G23">
            <v>3.46</v>
          </cell>
        </row>
        <row r="24">
          <cell r="F24">
            <v>3.472</v>
          </cell>
          <cell r="G24">
            <v>3.4769999999999999</v>
          </cell>
        </row>
        <row r="25">
          <cell r="F25">
            <v>3.4890000000000003</v>
          </cell>
          <cell r="G25">
            <v>3.4940000000000002</v>
          </cell>
        </row>
        <row r="26">
          <cell r="F26">
            <v>3.794</v>
          </cell>
          <cell r="G26">
            <v>3.8014999999999999</v>
          </cell>
        </row>
        <row r="27">
          <cell r="F27">
            <v>3.9239999999999999</v>
          </cell>
          <cell r="G27">
            <v>3.9314999999999998</v>
          </cell>
        </row>
        <row r="28">
          <cell r="F28">
            <v>3.9840000000000004</v>
          </cell>
        </row>
        <row r="29">
          <cell r="F29">
            <v>3.8640000000000003</v>
          </cell>
        </row>
        <row r="30">
          <cell r="F30">
            <v>3.7170000000000001</v>
          </cell>
        </row>
        <row r="31">
          <cell r="F31">
            <v>3.4890000000000003</v>
          </cell>
        </row>
        <row r="32">
          <cell r="F32">
            <v>3.4740000000000002</v>
          </cell>
        </row>
        <row r="33">
          <cell r="F33">
            <v>3.5140000000000002</v>
          </cell>
        </row>
        <row r="34">
          <cell r="F34">
            <v>3.5690000000000004</v>
          </cell>
        </row>
        <row r="35">
          <cell r="F35">
            <v>3.5990000000000002</v>
          </cell>
        </row>
        <row r="36">
          <cell r="F36">
            <v>3.6110000000000002</v>
          </cell>
        </row>
        <row r="37">
          <cell r="F37">
            <v>3.6340000000000003</v>
          </cell>
        </row>
        <row r="38">
          <cell r="F38">
            <v>3.8039999999999998</v>
          </cell>
        </row>
        <row r="39">
          <cell r="F39">
            <v>3.944</v>
          </cell>
        </row>
        <row r="48">
          <cell r="G48">
            <v>3.7774999999999999</v>
          </cell>
        </row>
        <row r="49">
          <cell r="F49">
            <v>3.8740000000000001</v>
          </cell>
          <cell r="G49">
            <v>3.8815</v>
          </cell>
        </row>
        <row r="50">
          <cell r="F50">
            <v>3.9850000000000003</v>
          </cell>
          <cell r="G50">
            <v>3.9925000000000002</v>
          </cell>
        </row>
        <row r="51">
          <cell r="F51">
            <v>4.0120000000000005</v>
          </cell>
          <cell r="G51">
            <v>4.0195000000000007</v>
          </cell>
        </row>
        <row r="52">
          <cell r="F52">
            <v>4.0129999999999999</v>
          </cell>
          <cell r="G52">
            <v>4.0205000000000002</v>
          </cell>
        </row>
        <row r="53">
          <cell r="F53">
            <v>4.1974999999999998</v>
          </cell>
          <cell r="G53">
            <v>4.2124999999999995</v>
          </cell>
        </row>
        <row r="54">
          <cell r="F54">
            <v>4.3605</v>
          </cell>
          <cell r="G54">
            <v>4.3754999999999997</v>
          </cell>
        </row>
        <row r="55">
          <cell r="F55">
            <v>4.4284999999999997</v>
          </cell>
          <cell r="G55">
            <v>4.4434999999999993</v>
          </cell>
        </row>
        <row r="56">
          <cell r="F56">
            <v>4.3114999999999997</v>
          </cell>
          <cell r="G56">
            <v>4.3264999999999993</v>
          </cell>
        </row>
        <row r="57">
          <cell r="F57">
            <v>4.1425000000000001</v>
          </cell>
          <cell r="G57">
            <v>4.1574999999999998</v>
          </cell>
        </row>
        <row r="58">
          <cell r="F58">
            <v>3.8000000000000003</v>
          </cell>
          <cell r="G58">
            <v>3.81</v>
          </cell>
        </row>
        <row r="59">
          <cell r="F59">
            <v>3.7250000000000001</v>
          </cell>
          <cell r="G59">
            <v>3.7349999999999999</v>
          </cell>
        </row>
        <row r="60">
          <cell r="F60">
            <v>3.77</v>
          </cell>
          <cell r="G60">
            <v>3.78</v>
          </cell>
        </row>
        <row r="61">
          <cell r="F61">
            <v>3.8050000000000002</v>
          </cell>
          <cell r="G61">
            <v>3.8149999999999999</v>
          </cell>
        </row>
        <row r="62">
          <cell r="F62">
            <v>3.8250000000000002</v>
          </cell>
          <cell r="G62">
            <v>3.835</v>
          </cell>
        </row>
        <row r="63">
          <cell r="F63">
            <v>3.8420000000000001</v>
          </cell>
          <cell r="G63">
            <v>3.8519999999999999</v>
          </cell>
        </row>
        <row r="64">
          <cell r="F64">
            <v>3.8590000000000004</v>
          </cell>
          <cell r="G64">
            <v>3.8690000000000002</v>
          </cell>
        </row>
        <row r="65">
          <cell r="F65">
            <v>3.9939999999999998</v>
          </cell>
          <cell r="G65">
            <v>4.0089999999999995</v>
          </cell>
        </row>
        <row r="66">
          <cell r="F66">
            <v>4.1239999999999997</v>
          </cell>
          <cell r="G66">
            <v>4.1389999999999993</v>
          </cell>
        </row>
      </sheetData>
      <sheetData sheetId="1">
        <row r="9">
          <cell r="F9">
            <v>3.71</v>
          </cell>
        </row>
        <row r="10">
          <cell r="F10">
            <v>3.7450000000000001</v>
          </cell>
        </row>
        <row r="11">
          <cell r="F11">
            <v>3.7650000000000001</v>
          </cell>
        </row>
        <row r="12">
          <cell r="F12">
            <v>3.782</v>
          </cell>
        </row>
        <row r="13">
          <cell r="F13">
            <v>3.7990000000000004</v>
          </cell>
        </row>
      </sheetData>
      <sheetData sheetId="2">
        <row r="13">
          <cell r="E13">
            <v>3.794</v>
          </cell>
        </row>
        <row r="14">
          <cell r="E14">
            <v>3.87</v>
          </cell>
        </row>
        <row r="15">
          <cell r="E15">
            <v>3.9020000000000001</v>
          </cell>
        </row>
        <row r="16">
          <cell r="E16">
            <v>3.9279999999999999</v>
          </cell>
        </row>
      </sheetData>
      <sheetData sheetId="3">
        <row r="13">
          <cell r="E13">
            <v>3.8290000000000002</v>
          </cell>
        </row>
        <row r="14">
          <cell r="E14">
            <v>3.9050000000000002</v>
          </cell>
        </row>
        <row r="15">
          <cell r="E15">
            <v>3.9370000000000003</v>
          </cell>
        </row>
        <row r="16">
          <cell r="E16">
            <v>3.9630000000000001</v>
          </cell>
        </row>
        <row r="22">
          <cell r="E22">
            <v>3.74</v>
          </cell>
        </row>
      </sheetData>
      <sheetData sheetId="4">
        <row r="9">
          <cell r="C9">
            <v>3.9140000000000001</v>
          </cell>
        </row>
        <row r="10">
          <cell r="C10">
            <v>3.99</v>
          </cell>
        </row>
        <row r="11">
          <cell r="C11">
            <v>4.0220000000000002</v>
          </cell>
        </row>
        <row r="12">
          <cell r="C12">
            <v>4.048</v>
          </cell>
        </row>
        <row r="13">
          <cell r="C13">
            <v>4.21</v>
          </cell>
        </row>
        <row r="14">
          <cell r="C14">
            <v>4.3730000000000002</v>
          </cell>
        </row>
        <row r="15">
          <cell r="C15">
            <v>4.4409999999999998</v>
          </cell>
        </row>
        <row r="16">
          <cell r="C16">
            <v>4.3239999999999998</v>
          </cell>
        </row>
        <row r="17">
          <cell r="C17">
            <v>4.1550000000000002</v>
          </cell>
        </row>
        <row r="18">
          <cell r="C18">
            <v>3.81</v>
          </cell>
        </row>
        <row r="19">
          <cell r="C19">
            <v>3.7349999999999999</v>
          </cell>
        </row>
        <row r="20">
          <cell r="C20">
            <v>3.78</v>
          </cell>
        </row>
        <row r="21">
          <cell r="C21">
            <v>3.8149999999999999</v>
          </cell>
        </row>
        <row r="22">
          <cell r="C22">
            <v>3.835</v>
          </cell>
        </row>
        <row r="23">
          <cell r="C23">
            <v>3.8519999999999999</v>
          </cell>
        </row>
        <row r="24">
          <cell r="C24">
            <v>3.8690000000000002</v>
          </cell>
        </row>
        <row r="25">
          <cell r="C25">
            <v>3.984</v>
          </cell>
        </row>
        <row r="26">
          <cell r="C26">
            <v>4.1139999999999999</v>
          </cell>
        </row>
      </sheetData>
      <sheetData sheetId="5">
        <row r="14">
          <cell r="E14">
            <v>3.81</v>
          </cell>
        </row>
        <row r="16">
          <cell r="E16">
            <v>4.1740000000000004</v>
          </cell>
        </row>
        <row r="17">
          <cell r="E17">
            <v>4.0540000000000003</v>
          </cell>
        </row>
        <row r="18">
          <cell r="E18">
            <v>3.907</v>
          </cell>
        </row>
        <row r="19">
          <cell r="E19">
            <v>3.6440000000000001</v>
          </cell>
        </row>
        <row r="20">
          <cell r="E20">
            <v>3.629</v>
          </cell>
        </row>
        <row r="21">
          <cell r="E21">
            <v>3.669</v>
          </cell>
        </row>
        <row r="22">
          <cell r="E22">
            <v>3.7240000000000002</v>
          </cell>
        </row>
        <row r="23">
          <cell r="E23">
            <v>3.754</v>
          </cell>
        </row>
        <row r="24">
          <cell r="E24">
            <v>3.766</v>
          </cell>
        </row>
        <row r="25">
          <cell r="E25">
            <v>3.7890000000000001</v>
          </cell>
        </row>
        <row r="26">
          <cell r="E26">
            <v>3.9239999999999999</v>
          </cell>
        </row>
        <row r="27">
          <cell r="E27">
            <v>4.0640000000000001</v>
          </cell>
        </row>
      </sheetData>
      <sheetData sheetId="6">
        <row r="9">
          <cell r="E9">
            <v>7.923</v>
          </cell>
        </row>
        <row r="10">
          <cell r="E10">
            <v>7.6909999999999998</v>
          </cell>
          <cell r="F10">
            <v>7.9909999999999997</v>
          </cell>
        </row>
        <row r="11">
          <cell r="E11">
            <v>7.2039999999999997</v>
          </cell>
          <cell r="F11">
            <v>7.5039999999999996</v>
          </cell>
        </row>
        <row r="12">
          <cell r="E12">
            <v>5.3849999999999998</v>
          </cell>
          <cell r="F12">
            <v>5.6849999999999996</v>
          </cell>
        </row>
        <row r="13">
          <cell r="E13">
            <v>5.1050000000000004</v>
          </cell>
          <cell r="F13">
            <v>5.2650000000000006</v>
          </cell>
        </row>
        <row r="14">
          <cell r="E14">
            <v>4.43</v>
          </cell>
          <cell r="F14">
            <v>4.59</v>
          </cell>
        </row>
        <row r="15">
          <cell r="E15">
            <v>4.5750000000000002</v>
          </cell>
          <cell r="F15">
            <v>4.7350000000000003</v>
          </cell>
        </row>
        <row r="16">
          <cell r="E16">
            <v>5.08</v>
          </cell>
          <cell r="F16">
            <v>5.24</v>
          </cell>
        </row>
        <row r="17">
          <cell r="E17">
            <v>5.0999999999999996</v>
          </cell>
          <cell r="F17">
            <v>5.26</v>
          </cell>
        </row>
        <row r="18">
          <cell r="E18">
            <v>5.117</v>
          </cell>
          <cell r="F18">
            <v>5.2770000000000001</v>
          </cell>
        </row>
        <row r="19">
          <cell r="E19">
            <v>4.2839999999999998</v>
          </cell>
          <cell r="F19">
            <v>4.444</v>
          </cell>
        </row>
        <row r="20">
          <cell r="E20">
            <v>4.9640000000000004</v>
          </cell>
          <cell r="F20">
            <v>5.0640000000000001</v>
          </cell>
        </row>
        <row r="21">
          <cell r="E21">
            <v>5.0939999999999994</v>
          </cell>
          <cell r="F21">
            <v>5.1939999999999991</v>
          </cell>
        </row>
        <row r="22">
          <cell r="E22">
            <v>4.9540000000000006</v>
          </cell>
        </row>
        <row r="23">
          <cell r="E23">
            <v>4.8340000000000005</v>
          </cell>
        </row>
        <row r="24">
          <cell r="E24">
            <v>4.6870000000000003</v>
          </cell>
        </row>
        <row r="25">
          <cell r="E25">
            <v>4.0640000000000001</v>
          </cell>
        </row>
        <row r="26">
          <cell r="E26">
            <v>4.0490000000000004</v>
          </cell>
        </row>
        <row r="27">
          <cell r="E27">
            <v>4.0890000000000004</v>
          </cell>
        </row>
        <row r="28">
          <cell r="E28">
            <v>4.1440000000000001</v>
          </cell>
        </row>
        <row r="29">
          <cell r="E29">
            <v>4.1740000000000004</v>
          </cell>
        </row>
        <row r="30">
          <cell r="E30">
            <v>4.1859999999999999</v>
          </cell>
        </row>
        <row r="31">
          <cell r="E31">
            <v>4.2090000000000005</v>
          </cell>
        </row>
        <row r="32">
          <cell r="E32">
            <v>4.274</v>
          </cell>
        </row>
        <row r="33">
          <cell r="E33">
            <v>4.4139999999999997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definedNames>
      <definedName name="CurveData" refersTo="='Curves'!$C$5"/>
    </definedNames>
    <sheetDataSet>
      <sheetData sheetId="0">
        <row r="5">
          <cell r="C5">
            <v>37042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>
        <row r="11">
          <cell r="W11">
            <v>1.5372213728569277</v>
          </cell>
        </row>
        <row r="12">
          <cell r="W12">
            <v>1.5377403297570293</v>
          </cell>
        </row>
        <row r="13">
          <cell r="W13">
            <v>1.53830330358694</v>
          </cell>
        </row>
        <row r="14">
          <cell r="W14">
            <v>1.5389428917477903</v>
          </cell>
        </row>
        <row r="15">
          <cell r="W15">
            <v>1.5398665300119407</v>
          </cell>
        </row>
        <row r="16">
          <cell r="W16">
            <v>1.5405216449560071</v>
          </cell>
        </row>
        <row r="17">
          <cell r="W17">
            <v>1.5411491147130527</v>
          </cell>
        </row>
        <row r="18">
          <cell r="W18">
            <v>1.5417527167012017</v>
          </cell>
        </row>
        <row r="19">
          <cell r="W19">
            <v>1.5422321368532264</v>
          </cell>
        </row>
        <row r="20">
          <cell r="W20">
            <v>1.5426267304494166</v>
          </cell>
        </row>
        <row r="21">
          <cell r="W21">
            <v>1.5430807883136701</v>
          </cell>
        </row>
        <row r="22">
          <cell r="W22">
            <v>1.5435744848240804</v>
          </cell>
        </row>
        <row r="23">
          <cell r="W23">
            <v>1.544068656476812</v>
          </cell>
        </row>
        <row r="24">
          <cell r="W24">
            <v>1.54455481403947</v>
          </cell>
        </row>
        <row r="25">
          <cell r="W25">
            <v>1.5450565181545024</v>
          </cell>
        </row>
        <row r="26">
          <cell r="W26">
            <v>1.5455474508895164</v>
          </cell>
        </row>
        <row r="27">
          <cell r="W27">
            <v>1.5459946952979768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ENA_9"/>
      <sheetName val="ENA_11"/>
      <sheetName val="ENA_12"/>
      <sheetName val="ENA_13"/>
      <sheetName val="QV8401.1"/>
      <sheetName val="QL5363.1"/>
      <sheetName val="QL5365.1"/>
      <sheetName val="QL2915.1"/>
      <sheetName val="QL2918.1"/>
      <sheetName val="QL5424.1"/>
      <sheetName val="QL5444.1"/>
      <sheetName val="QL5357.1"/>
      <sheetName val="QL5358.1"/>
      <sheetName val="QL9270.1"/>
      <sheetName val="QL9273.1"/>
      <sheetName val="Elpaso_6"/>
      <sheetName val="SW17"/>
      <sheetName val="SW18"/>
      <sheetName val="M337849"/>
      <sheetName val="12007624"/>
      <sheetName val="QK7503.1"/>
      <sheetName val="ENA #QF4410.1"/>
      <sheetName val="ENA #QF4447.1"/>
      <sheetName val="ENA #QF0967.1"/>
      <sheetName val="ENA #QF5953.1"/>
      <sheetName val="HJN1006"/>
      <sheetName val="HJN1007"/>
      <sheetName val="HJN1008"/>
      <sheetName val="HJN1009"/>
      <sheetName val="HJN1010"/>
      <sheetName val="HJN1011"/>
    </sheetNames>
    <sheetDataSet>
      <sheetData sheetId="0">
        <row r="3">
          <cell r="C3">
            <v>37042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61"/>
  <sheetViews>
    <sheetView tabSelected="1" topLeftCell="F106" zoomScale="75" zoomScaleNormal="75" workbookViewId="0">
      <selection activeCell="P136" sqref="P136"/>
    </sheetView>
  </sheetViews>
  <sheetFormatPr defaultColWidth="9.5703125" defaultRowHeight="11.25" x14ac:dyDescent="0.2"/>
  <cols>
    <col min="1" max="1" width="8.28515625" style="45" bestFit="1" customWidth="1"/>
    <col min="2" max="2" width="10.85546875" style="45" bestFit="1" customWidth="1"/>
    <col min="3" max="3" width="11.5703125" style="45" bestFit="1" customWidth="1"/>
    <col min="4" max="4" width="8.42578125" style="83" bestFit="1" customWidth="1"/>
    <col min="5" max="5" width="11.7109375" style="45" bestFit="1" customWidth="1"/>
    <col min="6" max="6" width="15.5703125" style="45" bestFit="1" customWidth="1"/>
    <col min="7" max="7" width="9.42578125" style="45" customWidth="1"/>
    <col min="8" max="8" width="9.42578125" style="45" bestFit="1" customWidth="1"/>
    <col min="9" max="9" width="9.7109375" style="45" bestFit="1" customWidth="1"/>
    <col min="10" max="10" width="9.5703125" style="45" customWidth="1"/>
    <col min="11" max="11" width="14.7109375" style="45" bestFit="1" customWidth="1"/>
    <col min="12" max="12" width="11.42578125" style="45" bestFit="1" customWidth="1"/>
    <col min="13" max="13" width="17.28515625" style="45" customWidth="1"/>
    <col min="14" max="14" width="17.140625" style="45" bestFit="1" customWidth="1"/>
    <col min="15" max="15" width="17.42578125" style="45" customWidth="1"/>
    <col min="16" max="16" width="19" style="259" bestFit="1" customWidth="1"/>
    <col min="17" max="17" width="17.42578125" style="259" bestFit="1" customWidth="1"/>
    <col min="18" max="18" width="20.28515625" style="259" hidden="1" customWidth="1"/>
    <col min="19" max="19" width="16.85546875" style="259" hidden="1" customWidth="1"/>
    <col min="20" max="20" width="13.140625" style="45" hidden="1" customWidth="1"/>
    <col min="21" max="21" width="16.5703125" style="45" hidden="1" customWidth="1"/>
    <col min="22" max="22" width="18.5703125" style="259" hidden="1" customWidth="1"/>
    <col min="23" max="23" width="16.140625" style="45" hidden="1" customWidth="1"/>
    <col min="24" max="24" width="16.5703125" style="45" hidden="1" customWidth="1"/>
    <col min="25" max="25" width="9.5703125" style="45" hidden="1" customWidth="1"/>
    <col min="26" max="26" width="16.140625" style="45" hidden="1" customWidth="1"/>
    <col min="27" max="28" width="9.5703125" style="45" hidden="1" customWidth="1"/>
    <col min="29" max="29" width="3.28515625" style="45" customWidth="1"/>
    <col min="30" max="30" width="12.85546875" style="45" hidden="1" customWidth="1"/>
    <col min="31" max="16384" width="9.5703125" style="45"/>
  </cols>
  <sheetData>
    <row r="1" spans="2:24" s="44" customFormat="1" x14ac:dyDescent="0.2">
      <c r="B1" s="588" t="s">
        <v>146</v>
      </c>
      <c r="C1" s="588"/>
      <c r="D1" s="588"/>
      <c r="E1" s="588"/>
      <c r="F1" s="588"/>
      <c r="G1" s="588"/>
      <c r="H1" s="588"/>
      <c r="I1" s="588"/>
      <c r="J1" s="588"/>
      <c r="K1" s="588"/>
      <c r="L1" s="588"/>
      <c r="M1" s="588"/>
      <c r="N1" s="588"/>
      <c r="O1" s="588"/>
      <c r="P1" s="588"/>
      <c r="Q1" s="588"/>
      <c r="R1" s="256"/>
      <c r="S1" s="256"/>
      <c r="V1" s="46"/>
    </row>
    <row r="2" spans="2:24" s="44" customFormat="1" x14ac:dyDescent="0.2">
      <c r="B2" s="588" t="s">
        <v>217</v>
      </c>
      <c r="C2" s="588"/>
      <c r="D2" s="588"/>
      <c r="E2" s="588"/>
      <c r="F2" s="588"/>
      <c r="G2" s="588"/>
      <c r="H2" s="588"/>
      <c r="I2" s="588"/>
      <c r="J2" s="588"/>
      <c r="K2" s="588"/>
      <c r="L2" s="588"/>
      <c r="M2" s="588"/>
      <c r="N2" s="588"/>
      <c r="O2" s="588"/>
      <c r="P2" s="588"/>
      <c r="Q2" s="588"/>
      <c r="R2" s="256"/>
      <c r="S2" s="256"/>
      <c r="V2" s="46"/>
    </row>
    <row r="3" spans="2:24" s="22" customFormat="1" x14ac:dyDescent="0.2">
      <c r="C3" s="413"/>
      <c r="D3" s="413"/>
      <c r="E3" s="413"/>
      <c r="F3" s="413"/>
      <c r="G3" s="413"/>
      <c r="H3" s="413"/>
      <c r="I3" s="413"/>
      <c r="J3" s="432" t="s">
        <v>208</v>
      </c>
      <c r="K3" s="388">
        <f>[5]!CurveData</f>
        <v>37042</v>
      </c>
      <c r="L3" s="413"/>
      <c r="M3" s="413"/>
      <c r="N3" s="413"/>
      <c r="O3" s="413"/>
      <c r="P3" s="413"/>
      <c r="Q3" s="413"/>
      <c r="R3" s="257"/>
      <c r="S3" s="257"/>
      <c r="V3" s="46"/>
    </row>
    <row r="4" spans="2:24" s="22" customFormat="1" ht="6.95" customHeight="1" x14ac:dyDescent="0.2">
      <c r="B4" s="46"/>
      <c r="P4" s="257"/>
      <c r="Q4" s="257"/>
      <c r="R4" s="257"/>
      <c r="S4" s="257"/>
      <c r="V4" s="257"/>
    </row>
    <row r="5" spans="2:24" s="22" customFormat="1" x14ac:dyDescent="0.2">
      <c r="B5" s="256" t="s">
        <v>139</v>
      </c>
      <c r="C5" s="256"/>
      <c r="D5" s="256"/>
      <c r="E5" s="256"/>
      <c r="F5" s="256"/>
      <c r="G5" s="256"/>
      <c r="H5" s="256"/>
      <c r="I5" s="256"/>
      <c r="J5" s="256"/>
      <c r="L5" s="256"/>
      <c r="M5" s="256"/>
      <c r="N5" s="256"/>
      <c r="O5" s="256"/>
      <c r="P5" s="256"/>
      <c r="Q5" s="256"/>
      <c r="R5" s="257"/>
      <c r="S5" s="257"/>
      <c r="V5" s="256"/>
    </row>
    <row r="6" spans="2:24" ht="6.95" customHeight="1" x14ac:dyDescent="0.2">
      <c r="L6" s="120"/>
      <c r="P6" s="258"/>
      <c r="Q6" s="258"/>
    </row>
    <row r="7" spans="2:24" s="46" customFormat="1" x14ac:dyDescent="0.2">
      <c r="B7" s="341" t="s">
        <v>2</v>
      </c>
      <c r="C7" s="342" t="s">
        <v>3</v>
      </c>
      <c r="D7" s="342" t="s">
        <v>3</v>
      </c>
      <c r="E7" s="342" t="s">
        <v>3</v>
      </c>
      <c r="F7" s="342" t="s">
        <v>4</v>
      </c>
      <c r="G7" s="342" t="s">
        <v>74</v>
      </c>
      <c r="H7" s="342" t="s">
        <v>3</v>
      </c>
      <c r="I7" s="342" t="s">
        <v>5</v>
      </c>
      <c r="J7" s="342" t="s">
        <v>6</v>
      </c>
      <c r="K7" s="342" t="s">
        <v>3</v>
      </c>
      <c r="L7" s="343" t="s">
        <v>15</v>
      </c>
      <c r="M7" s="317"/>
      <c r="N7" s="317"/>
      <c r="O7" s="317"/>
      <c r="P7" s="318"/>
      <c r="Q7" s="344"/>
      <c r="R7" s="239"/>
      <c r="S7" s="240"/>
      <c r="V7" s="392"/>
    </row>
    <row r="8" spans="2:24" s="46" customFormat="1" x14ac:dyDescent="0.2">
      <c r="B8" s="345" t="s">
        <v>8</v>
      </c>
      <c r="C8" s="343" t="s">
        <v>8</v>
      </c>
      <c r="D8" s="343" t="s">
        <v>9</v>
      </c>
      <c r="E8" s="343" t="s">
        <v>10</v>
      </c>
      <c r="F8" s="343" t="s">
        <v>11</v>
      </c>
      <c r="G8" s="343" t="s">
        <v>43</v>
      </c>
      <c r="H8" s="343" t="s">
        <v>12</v>
      </c>
      <c r="I8" s="343" t="s">
        <v>13</v>
      </c>
      <c r="J8" s="343"/>
      <c r="K8" s="343" t="s">
        <v>14</v>
      </c>
      <c r="L8" s="343"/>
      <c r="M8" s="346" t="s">
        <v>16</v>
      </c>
      <c r="N8" s="346"/>
      <c r="O8" s="346"/>
      <c r="P8" s="318"/>
      <c r="Q8" s="344"/>
      <c r="R8" s="233"/>
      <c r="S8" s="241"/>
      <c r="V8" s="393"/>
      <c r="W8" s="589" t="s">
        <v>183</v>
      </c>
      <c r="X8" s="590"/>
    </row>
    <row r="9" spans="2:24" s="46" customFormat="1" x14ac:dyDescent="0.2">
      <c r="B9" s="345"/>
      <c r="C9" s="343"/>
      <c r="D9" s="343"/>
      <c r="E9" s="347"/>
      <c r="F9" s="343"/>
      <c r="G9" s="343"/>
      <c r="H9" s="343"/>
      <c r="I9" s="343" t="s">
        <v>17</v>
      </c>
      <c r="J9" s="343"/>
      <c r="K9" s="343" t="s">
        <v>18</v>
      </c>
      <c r="L9" s="343"/>
      <c r="M9" s="343" t="s">
        <v>19</v>
      </c>
      <c r="N9" s="343" t="s">
        <v>20</v>
      </c>
      <c r="O9" s="343" t="s">
        <v>21</v>
      </c>
      <c r="P9" s="348" t="s">
        <v>183</v>
      </c>
      <c r="Q9" s="338"/>
      <c r="R9" s="337" t="s">
        <v>183</v>
      </c>
      <c r="S9" s="338"/>
      <c r="V9" s="394" t="s">
        <v>21</v>
      </c>
      <c r="W9" s="584" t="s">
        <v>211</v>
      </c>
      <c r="X9" s="585"/>
    </row>
    <row r="10" spans="2:24" s="46" customFormat="1" x14ac:dyDescent="0.2">
      <c r="B10" s="337"/>
      <c r="C10" s="349"/>
      <c r="D10" s="349"/>
      <c r="E10" s="349"/>
      <c r="F10" s="349"/>
      <c r="G10" s="349"/>
      <c r="H10" s="349"/>
      <c r="I10" s="349" t="s">
        <v>22</v>
      </c>
      <c r="J10" s="349"/>
      <c r="K10" s="349" t="s">
        <v>23</v>
      </c>
      <c r="L10" s="349"/>
      <c r="M10" s="350" t="s">
        <v>68</v>
      </c>
      <c r="N10" s="350" t="s">
        <v>68</v>
      </c>
      <c r="O10" s="350" t="s">
        <v>68</v>
      </c>
      <c r="P10" s="346" t="s">
        <v>32</v>
      </c>
      <c r="Q10" s="351" t="s">
        <v>25</v>
      </c>
      <c r="R10" s="339">
        <v>36981</v>
      </c>
      <c r="S10" s="340" t="s">
        <v>89</v>
      </c>
      <c r="T10" s="46" t="s">
        <v>32</v>
      </c>
      <c r="U10" s="46" t="s">
        <v>25</v>
      </c>
      <c r="V10" s="395" t="s">
        <v>210</v>
      </c>
      <c r="W10" s="46" t="s">
        <v>32</v>
      </c>
      <c r="X10" s="46" t="s">
        <v>25</v>
      </c>
    </row>
    <row r="11" spans="2:24" hidden="1" x14ac:dyDescent="0.2">
      <c r="B11" s="49" t="s">
        <v>25</v>
      </c>
      <c r="C11" s="49" t="s">
        <v>26</v>
      </c>
      <c r="D11" s="49"/>
      <c r="E11" s="49" t="s">
        <v>27</v>
      </c>
      <c r="F11" s="51" t="s">
        <v>50</v>
      </c>
      <c r="G11" s="50"/>
      <c r="H11" s="52">
        <f>+[1]Avista_1_Expired!D10</f>
        <v>2.2200000000000002</v>
      </c>
      <c r="I11" s="53">
        <f>(SUM([1]Avista_1_Expired!G10:G21)+SUM([1]Avista_1_Expired!H26:H37))/12</f>
        <v>1.7525000000000004</v>
      </c>
      <c r="J11" s="52">
        <f>-M11/K11</f>
        <v>-0.46602739726027415</v>
      </c>
      <c r="K11" s="54">
        <f>-[1]Avista_1_Expired!F22</f>
        <v>-91250</v>
      </c>
      <c r="L11" s="54">
        <f>+K11/365</f>
        <v>-250</v>
      </c>
      <c r="M11" s="55">
        <f>-[1]Avista_1_Expired!I22</f>
        <v>-42525.000000000015</v>
      </c>
      <c r="N11" s="56">
        <f>-[1]Avista_1_Expired!J22</f>
        <v>-42525.000000000015</v>
      </c>
      <c r="O11" s="56">
        <f>-[1]Avista_1_Expired!K22</f>
        <v>0</v>
      </c>
      <c r="P11" s="260"/>
      <c r="Q11" s="261"/>
      <c r="V11" s="273"/>
    </row>
    <row r="12" spans="2:24" hidden="1" x14ac:dyDescent="0.2">
      <c r="B12" s="57" t="s">
        <v>25</v>
      </c>
      <c r="C12" s="57" t="s">
        <v>28</v>
      </c>
      <c r="D12" s="57">
        <v>26125</v>
      </c>
      <c r="E12" s="57" t="s">
        <v>29</v>
      </c>
      <c r="F12" s="51" t="s">
        <v>50</v>
      </c>
      <c r="G12" s="58"/>
      <c r="H12" s="60">
        <f>+[1]Avista_1_Expired!D26</f>
        <v>2.2200000000000002</v>
      </c>
      <c r="I12" s="61">
        <f>(SUM([1]Avista_1_Expired!G26:G37)+SUM([1]Avista_1_Expired!H26:H37))/12</f>
        <v>1.8191666666666668</v>
      </c>
      <c r="J12" s="62">
        <f>+M12/K12</f>
        <v>0.36873972602739735</v>
      </c>
      <c r="K12" s="63">
        <f>-[1]Avista_1_Expired!F38</f>
        <v>91250</v>
      </c>
      <c r="L12" s="64">
        <f>+K12/365</f>
        <v>250</v>
      </c>
      <c r="M12" s="65">
        <f>-[1]Avista_1_Expired!I38</f>
        <v>33647.500000000007</v>
      </c>
      <c r="N12" s="56">
        <f>-[1]Avista_1_Expired!J38</f>
        <v>33647.500000000007</v>
      </c>
      <c r="O12" s="56">
        <f>-[1]Avista_1_Expired!K38</f>
        <v>0</v>
      </c>
      <c r="P12" s="260"/>
      <c r="Q12" s="261"/>
      <c r="V12" s="273"/>
    </row>
    <row r="13" spans="2:24" hidden="1" x14ac:dyDescent="0.2">
      <c r="B13" s="57"/>
      <c r="C13" s="57"/>
      <c r="D13" s="57"/>
      <c r="E13" s="57"/>
      <c r="F13" s="58"/>
      <c r="G13" s="58"/>
      <c r="H13" s="60">
        <f>+'[4]ELpaso SJ &amp; Prm'!$G48</f>
        <v>3.7774999999999999</v>
      </c>
      <c r="I13" s="53"/>
      <c r="J13" s="60">
        <f>+J11+J12</f>
        <v>-9.7287671232876793E-2</v>
      </c>
      <c r="K13" s="66">
        <f>SUM(K11:K12)</f>
        <v>0</v>
      </c>
      <c r="L13" s="66">
        <f>SUM(L11:L12)</f>
        <v>0</v>
      </c>
      <c r="M13" s="67">
        <f>SUM(M11:M12)</f>
        <v>-8877.5000000000073</v>
      </c>
      <c r="N13" s="67">
        <f>SUM(N11:N12)</f>
        <v>-8877.5000000000073</v>
      </c>
      <c r="O13" s="67">
        <f>SUM(O11:O12)</f>
        <v>0</v>
      </c>
      <c r="P13" s="260"/>
      <c r="Q13" s="261"/>
      <c r="V13" s="396"/>
    </row>
    <row r="14" spans="2:24" ht="9.9499999999999993" hidden="1" customHeight="1" x14ac:dyDescent="0.2">
      <c r="B14" s="57"/>
      <c r="C14" s="57"/>
      <c r="D14" s="57"/>
      <c r="E14" s="57"/>
      <c r="F14" s="58"/>
      <c r="G14" s="58"/>
      <c r="H14" s="60">
        <f>+'[4]ELpaso SJ &amp; Prm'!$G49</f>
        <v>3.8815</v>
      </c>
      <c r="I14" s="53"/>
      <c r="J14" s="60"/>
      <c r="K14" s="64"/>
      <c r="L14" s="64"/>
      <c r="M14" s="65"/>
      <c r="N14" s="56"/>
      <c r="O14" s="56"/>
      <c r="P14" s="260"/>
      <c r="Q14" s="261"/>
      <c r="V14" s="273"/>
    </row>
    <row r="15" spans="2:24" hidden="1" x14ac:dyDescent="0.2">
      <c r="B15" s="57" t="s">
        <v>25</v>
      </c>
      <c r="C15" s="57" t="s">
        <v>30</v>
      </c>
      <c r="D15" s="57"/>
      <c r="E15" s="57" t="s">
        <v>27</v>
      </c>
      <c r="F15" s="51" t="s">
        <v>56</v>
      </c>
      <c r="G15" s="58"/>
      <c r="H15" s="60">
        <f>+'[4]ELpaso SJ &amp; Prm'!$G50</f>
        <v>3.9925000000000002</v>
      </c>
      <c r="I15" s="61">
        <f>(SUM([1]Sempra_1_Expired!G9:H20)/12)</f>
        <v>2.3858333333333333</v>
      </c>
      <c r="J15" s="60">
        <f>-M15/K15</f>
        <v>0.43923497267759554</v>
      </c>
      <c r="K15" s="63">
        <f>-[1]Sempra_1_Expired!F21</f>
        <v>-91500</v>
      </c>
      <c r="L15" s="64">
        <f>+K15/366</f>
        <v>-250</v>
      </c>
      <c r="M15" s="65">
        <f>-[1]Sempra_1_Expired!I21</f>
        <v>40189.999999999993</v>
      </c>
      <c r="N15" s="56">
        <f>-[1]Sempra_1_Expired!J21</f>
        <v>40189.999999999993</v>
      </c>
      <c r="O15" s="56">
        <f>-[1]Sempra_1_Expired!K21</f>
        <v>0</v>
      </c>
      <c r="P15" s="260"/>
      <c r="Q15" s="261"/>
      <c r="V15" s="273"/>
    </row>
    <row r="16" spans="2:24" hidden="1" x14ac:dyDescent="0.2">
      <c r="B16" s="57" t="s">
        <v>25</v>
      </c>
      <c r="C16" s="57" t="s">
        <v>28</v>
      </c>
      <c r="D16" s="57">
        <v>26125</v>
      </c>
      <c r="E16" s="57" t="s">
        <v>29</v>
      </c>
      <c r="F16" s="51" t="s">
        <v>56</v>
      </c>
      <c r="G16" s="58"/>
      <c r="H16" s="60">
        <f>+'[4]ELpaso SJ &amp; Prm'!$G51</f>
        <v>4.0195000000000007</v>
      </c>
      <c r="I16" s="53">
        <f>(SUM([1]Sempra_1_Expired!G25:H36)/12)</f>
        <v>2.4591666666666661</v>
      </c>
      <c r="J16" s="62">
        <f>+M16/K16</f>
        <v>-0.51554644808743155</v>
      </c>
      <c r="K16" s="64">
        <f>-[1]Sempra_1_Expired!F37</f>
        <v>91500</v>
      </c>
      <c r="L16" s="64">
        <f>+K16/366</f>
        <v>250</v>
      </c>
      <c r="M16" s="65">
        <f>-[1]Sempra_1_Expired!I37</f>
        <v>-47172.499999999985</v>
      </c>
      <c r="N16" s="56">
        <f>-[1]Sempra_1_Expired!J37</f>
        <v>-47172.499999999985</v>
      </c>
      <c r="O16" s="56">
        <f>-[1]Sempra_1_Expired!K37</f>
        <v>0</v>
      </c>
      <c r="P16" s="260"/>
      <c r="Q16" s="261"/>
      <c r="V16" s="273"/>
    </row>
    <row r="17" spans="2:22" hidden="1" x14ac:dyDescent="0.2">
      <c r="B17" s="57"/>
      <c r="C17" s="57"/>
      <c r="D17" s="57"/>
      <c r="E17" s="58"/>
      <c r="F17" s="58"/>
      <c r="G17" s="58"/>
      <c r="H17" s="60">
        <f>+'[4]ELpaso SJ &amp; Prm'!$G52</f>
        <v>4.0205000000000002</v>
      </c>
      <c r="I17" s="68"/>
      <c r="J17" s="60">
        <f>+J15+J16</f>
        <v>-7.6311475409836016E-2</v>
      </c>
      <c r="K17" s="69">
        <f>+K11+K12</f>
        <v>0</v>
      </c>
      <c r="L17" s="69">
        <f>+L11+L12</f>
        <v>0</v>
      </c>
      <c r="M17" s="70">
        <f>+M15+M16</f>
        <v>-6982.4999999999927</v>
      </c>
      <c r="N17" s="70">
        <f>+N15+N16</f>
        <v>-6982.4999999999927</v>
      </c>
      <c r="O17" s="70">
        <f>+O15+O16</f>
        <v>0</v>
      </c>
      <c r="P17" s="260"/>
      <c r="Q17" s="261"/>
      <c r="V17" s="397"/>
    </row>
    <row r="18" spans="2:22" ht="9.9499999999999993" hidden="1" customHeight="1" x14ac:dyDescent="0.2">
      <c r="B18" s="57"/>
      <c r="C18" s="58"/>
      <c r="D18" s="57"/>
      <c r="E18" s="58"/>
      <c r="F18" s="58"/>
      <c r="G18" s="58"/>
      <c r="H18" s="60">
        <f>+'[4]ELpaso SJ &amp; Prm'!$G53</f>
        <v>4.2124999999999995</v>
      </c>
      <c r="I18" s="58"/>
      <c r="J18" s="58"/>
      <c r="K18" s="58"/>
      <c r="L18" s="58"/>
      <c r="M18" s="58"/>
      <c r="N18" s="59"/>
      <c r="O18" s="59"/>
      <c r="P18" s="260"/>
      <c r="Q18" s="261"/>
      <c r="V18" s="253"/>
    </row>
    <row r="19" spans="2:22" hidden="1" x14ac:dyDescent="0.2">
      <c r="B19" s="57" t="s">
        <v>25</v>
      </c>
      <c r="C19" s="57" t="s">
        <v>26</v>
      </c>
      <c r="D19" s="57"/>
      <c r="E19" s="57" t="s">
        <v>27</v>
      </c>
      <c r="F19" s="51" t="s">
        <v>51</v>
      </c>
      <c r="G19" s="58"/>
      <c r="H19" s="60">
        <f>+'[4]ELpaso SJ &amp; Prm'!$G54</f>
        <v>4.3754999999999997</v>
      </c>
      <c r="I19" s="53">
        <f>(SUM([1]Avista_2_Expired!G9:G23)+SUM([1]Avista_2_Expired!H9:H23))/15</f>
        <v>2.0893333333333342</v>
      </c>
      <c r="J19" s="60">
        <f>-M19/K19</f>
        <v>8.5262582056892869E-2</v>
      </c>
      <c r="K19" s="64">
        <f>-[1]Avista_2_Expired!F24</f>
        <v>1142500</v>
      </c>
      <c r="L19" s="64">
        <f>+K19/457</f>
        <v>2500</v>
      </c>
      <c r="M19" s="65">
        <f>-[1]Avista_2_Expired!I24</f>
        <v>-97412.500000000102</v>
      </c>
      <c r="N19" s="56">
        <f>-[1]Avista_2_Expired!J24</f>
        <v>-97412.500000000102</v>
      </c>
      <c r="O19" s="56">
        <f>-[1]Avista_2_Expired!K24</f>
        <v>0</v>
      </c>
      <c r="P19" s="260"/>
      <c r="Q19" s="261"/>
      <c r="V19" s="273"/>
    </row>
    <row r="20" spans="2:22" hidden="1" x14ac:dyDescent="0.2">
      <c r="B20" s="57" t="s">
        <v>25</v>
      </c>
      <c r="C20" s="57" t="s">
        <v>55</v>
      </c>
      <c r="D20" s="57"/>
      <c r="E20" s="57" t="s">
        <v>29</v>
      </c>
      <c r="F20" s="51" t="s">
        <v>51</v>
      </c>
      <c r="G20" s="58"/>
      <c r="H20" s="60">
        <f>+'[4]ELpaso SJ &amp; Prm'!$G55</f>
        <v>4.4434999999999993</v>
      </c>
      <c r="I20" s="53">
        <f>(SUM([1]Avista_2_Expired!G28:G42)+SUM([1]Avista_2_Expired!H28:H42))/15</f>
        <v>2.036</v>
      </c>
      <c r="J20" s="62">
        <f>+M20/K20</f>
        <v>-3.2899343544857858E-2</v>
      </c>
      <c r="K20" s="64">
        <f>-[1]Avista_2_Expired!F43</f>
        <v>-1142500</v>
      </c>
      <c r="L20" s="64">
        <f>+K20/457</f>
        <v>-2500</v>
      </c>
      <c r="M20" s="65">
        <f>-[1]Avista_2_Expired!I43</f>
        <v>37587.500000000102</v>
      </c>
      <c r="N20" s="56">
        <f>-[1]Avista_2_Expired!J43</f>
        <v>37587.500000000102</v>
      </c>
      <c r="O20" s="56">
        <f>-[1]Avista_2_Expired!K43</f>
        <v>0</v>
      </c>
      <c r="P20" s="260"/>
      <c r="Q20" s="261"/>
      <c r="V20" s="273"/>
    </row>
    <row r="21" spans="2:22" hidden="1" x14ac:dyDescent="0.2">
      <c r="B21" s="57"/>
      <c r="C21" s="58"/>
      <c r="D21" s="57"/>
      <c r="E21" s="58"/>
      <c r="F21" s="58"/>
      <c r="G21" s="58"/>
      <c r="H21" s="58"/>
      <c r="I21" s="58"/>
      <c r="J21" s="60">
        <f>+J19+J20</f>
        <v>5.2363238512035011E-2</v>
      </c>
      <c r="K21" s="69">
        <f>+K20+K19</f>
        <v>0</v>
      </c>
      <c r="L21" s="69">
        <f>+L20+L19</f>
        <v>0</v>
      </c>
      <c r="M21" s="70">
        <f>+M20+M19</f>
        <v>-59825</v>
      </c>
      <c r="N21" s="70">
        <f>+N20+N19</f>
        <v>-59825</v>
      </c>
      <c r="O21" s="70">
        <f>+O20+O19</f>
        <v>0</v>
      </c>
      <c r="P21" s="260"/>
      <c r="Q21" s="261"/>
      <c r="V21" s="397"/>
    </row>
    <row r="22" spans="2:22" ht="9.9499999999999993" hidden="1" customHeight="1" x14ac:dyDescent="0.2">
      <c r="B22" s="57"/>
      <c r="C22" s="58"/>
      <c r="D22" s="57"/>
      <c r="E22" s="58"/>
      <c r="F22" s="58"/>
      <c r="G22" s="58"/>
      <c r="H22" s="58"/>
      <c r="I22" s="58"/>
      <c r="J22" s="58"/>
      <c r="K22" s="58"/>
      <c r="L22" s="58"/>
      <c r="M22" s="58"/>
      <c r="N22" s="59"/>
      <c r="O22" s="59"/>
      <c r="P22" s="260"/>
      <c r="Q22" s="261"/>
      <c r="V22" s="253"/>
    </row>
    <row r="23" spans="2:22" hidden="1" x14ac:dyDescent="0.2">
      <c r="B23" s="57" t="s">
        <v>25</v>
      </c>
      <c r="C23" s="57" t="s">
        <v>30</v>
      </c>
      <c r="D23" s="57"/>
      <c r="E23" s="57" t="s">
        <v>27</v>
      </c>
      <c r="F23" s="51" t="s">
        <v>51</v>
      </c>
      <c r="G23" s="58"/>
      <c r="H23" s="53">
        <f>+[1]Sempra_2_Expired!D9</f>
        <v>2.1</v>
      </c>
      <c r="I23" s="53">
        <f>(SUM([1]Sempra_2_Expired!G9:G23)+SUM([1]Sempra_2_Expired!H9:H23))/15</f>
        <v>2.0893333333333342</v>
      </c>
      <c r="J23" s="60">
        <f>-M23/K23</f>
        <v>-9.7374179431073109E-3</v>
      </c>
      <c r="K23" s="64">
        <f>-[1]Sempra_2_Expired!F24</f>
        <v>1142500</v>
      </c>
      <c r="L23" s="64">
        <f>+K23/457</f>
        <v>2500</v>
      </c>
      <c r="M23" s="65">
        <f>-[1]Sempra_2_Expired!I24</f>
        <v>11125.000000000104</v>
      </c>
      <c r="N23" s="56">
        <f>-[1]Sempra_2_Expired!J24</f>
        <v>11125.000000000104</v>
      </c>
      <c r="O23" s="56">
        <f>-[1]Sempra_2_Expired!K24</f>
        <v>0</v>
      </c>
      <c r="P23" s="260"/>
      <c r="Q23" s="261"/>
      <c r="V23" s="273"/>
    </row>
    <row r="24" spans="2:22" hidden="1" x14ac:dyDescent="0.2">
      <c r="B24" s="57" t="s">
        <v>25</v>
      </c>
      <c r="C24" s="57" t="s">
        <v>55</v>
      </c>
      <c r="D24" s="57"/>
      <c r="E24" s="57" t="s">
        <v>29</v>
      </c>
      <c r="F24" s="51" t="s">
        <v>51</v>
      </c>
      <c r="G24" s="58"/>
      <c r="H24" s="53">
        <f>+[1]Sempra_2_Expired!D28</f>
        <v>2.1</v>
      </c>
      <c r="I24" s="53">
        <f>(SUM([1]Sempra_2_Expired!G28:G42)+SUM([1]Sempra_2_Expired!H28:H42))/15</f>
        <v>2.036</v>
      </c>
      <c r="J24" s="62">
        <f>+M24/K24</f>
        <v>6.2100656455142372E-2</v>
      </c>
      <c r="K24" s="71">
        <f>-[1]Sempra_2_Expired!F43</f>
        <v>-1142500</v>
      </c>
      <c r="L24" s="71">
        <f>+K24/457</f>
        <v>-2500</v>
      </c>
      <c r="M24" s="72">
        <f>-[1]Sempra_2_Expired!I43</f>
        <v>-70950.00000000016</v>
      </c>
      <c r="N24" s="73">
        <f>-[1]Sempra_2_Expired!J43</f>
        <v>-70950.00000000016</v>
      </c>
      <c r="O24" s="73">
        <f>-[1]Sempra_2_Expired!K43</f>
        <v>0</v>
      </c>
      <c r="P24" s="260"/>
      <c r="Q24" s="261"/>
      <c r="V24" s="273"/>
    </row>
    <row r="25" spans="2:22" hidden="1" x14ac:dyDescent="0.2">
      <c r="B25" s="57"/>
      <c r="C25" s="57"/>
      <c r="D25" s="57"/>
      <c r="E25" s="57"/>
      <c r="F25" s="58"/>
      <c r="G25" s="58"/>
      <c r="H25" s="53"/>
      <c r="I25" s="53"/>
      <c r="J25" s="60">
        <f>+J23+J24</f>
        <v>5.236323851203506E-2</v>
      </c>
      <c r="K25" s="64">
        <f>+K24+K23</f>
        <v>0</v>
      </c>
      <c r="L25" s="64">
        <f>+L24+L23</f>
        <v>0</v>
      </c>
      <c r="M25" s="74">
        <f>+M24+M23</f>
        <v>-59825.000000000058</v>
      </c>
      <c r="N25" s="74">
        <f>+N24+N23</f>
        <v>-59825.000000000058</v>
      </c>
      <c r="O25" s="74">
        <f>+O24+O23</f>
        <v>0</v>
      </c>
      <c r="P25" s="260"/>
      <c r="Q25" s="261"/>
      <c r="V25" s="397"/>
    </row>
    <row r="26" spans="2:22" ht="9.9499999999999993" hidden="1" customHeight="1" x14ac:dyDescent="0.2">
      <c r="B26" s="57"/>
      <c r="C26" s="57"/>
      <c r="D26" s="57"/>
      <c r="E26" s="57"/>
      <c r="F26" s="58"/>
      <c r="G26" s="58"/>
      <c r="H26" s="53"/>
      <c r="I26" s="53"/>
      <c r="J26" s="53"/>
      <c r="K26" s="64"/>
      <c r="L26" s="64"/>
      <c r="M26" s="65"/>
      <c r="N26" s="56"/>
      <c r="O26" s="56"/>
      <c r="P26" s="260"/>
      <c r="Q26" s="261"/>
      <c r="V26" s="273"/>
    </row>
    <row r="27" spans="2:22" hidden="1" x14ac:dyDescent="0.2">
      <c r="B27" s="57" t="s">
        <v>25</v>
      </c>
      <c r="C27" s="57" t="s">
        <v>30</v>
      </c>
      <c r="D27" s="57"/>
      <c r="E27" s="57" t="s">
        <v>27</v>
      </c>
      <c r="F27" s="51" t="s">
        <v>52</v>
      </c>
      <c r="G27" s="58"/>
      <c r="H27" s="53">
        <v>2.0099999999999998</v>
      </c>
      <c r="I27" s="53">
        <f>(SUM([1]Sempra_2.1_Expired!G9:G16)+SUM([1]Sempra_2.1_Expired!H9:H19))/8</f>
        <v>2.3775000000000004</v>
      </c>
      <c r="J27" s="60">
        <f>-M27/K27</f>
        <v>0.36506122448979617</v>
      </c>
      <c r="K27" s="64">
        <f>-[1]Sempra_2.1_Expired!F17</f>
        <v>2450000</v>
      </c>
      <c r="L27" s="64">
        <f>+K27/245</f>
        <v>10000</v>
      </c>
      <c r="M27" s="65">
        <f>-[1]Sempra_2.1_Expired!I17</f>
        <v>-894400.00000000058</v>
      </c>
      <c r="N27" s="56">
        <f>-[1]Sempra_2.1_Expired!J17</f>
        <v>-894400.00000000058</v>
      </c>
      <c r="O27" s="56">
        <f>-[1]Sempra_2.1_Expired!K17</f>
        <v>0</v>
      </c>
      <c r="P27" s="260"/>
      <c r="Q27" s="261"/>
      <c r="V27" s="273"/>
    </row>
    <row r="28" spans="2:22" hidden="1" x14ac:dyDescent="0.2">
      <c r="B28" s="57" t="s">
        <v>25</v>
      </c>
      <c r="C28" s="57" t="s">
        <v>55</v>
      </c>
      <c r="D28" s="57"/>
      <c r="E28" s="57" t="s">
        <v>29</v>
      </c>
      <c r="F28" s="51" t="s">
        <v>52</v>
      </c>
      <c r="G28" s="58"/>
      <c r="H28" s="53">
        <v>2.0099999999999998</v>
      </c>
      <c r="I28" s="53">
        <f>(SUM([1]Sempra_2.1_Expired!G21:G28)+SUM([1]Sempra_2.1_Expired!H21:H28))/8</f>
        <v>2.2675000000000001</v>
      </c>
      <c r="J28" s="62">
        <f>+M28/K28</f>
        <v>-0.25832653061224503</v>
      </c>
      <c r="K28" s="64">
        <f>-[1]Sempra_2.1_Expired!F29</f>
        <v>-2450000</v>
      </c>
      <c r="L28" s="64">
        <f>+K28/245</f>
        <v>-10000</v>
      </c>
      <c r="M28" s="65">
        <f>-[1]Sempra_2.1_Expired!I29</f>
        <v>632900.00000000035</v>
      </c>
      <c r="N28" s="56">
        <f>-[1]Sempra_2.1_Expired!J29</f>
        <v>632900.00000000035</v>
      </c>
      <c r="O28" s="56">
        <f>-[1]Sempra_2.1_Expired!K29</f>
        <v>0</v>
      </c>
      <c r="P28" s="260"/>
      <c r="Q28" s="261"/>
      <c r="V28" s="273"/>
    </row>
    <row r="29" spans="2:22" hidden="1" x14ac:dyDescent="0.2">
      <c r="B29" s="57"/>
      <c r="C29" s="58"/>
      <c r="D29" s="57"/>
      <c r="E29" s="58"/>
      <c r="F29" s="58"/>
      <c r="G29" s="58"/>
      <c r="H29" s="58"/>
      <c r="I29" s="58"/>
      <c r="J29" s="60">
        <f t="shared" ref="J29:O29" si="0">+J27+J28</f>
        <v>0.10673469387755113</v>
      </c>
      <c r="K29" s="69">
        <f t="shared" si="0"/>
        <v>0</v>
      </c>
      <c r="L29" s="69">
        <f t="shared" si="0"/>
        <v>0</v>
      </c>
      <c r="M29" s="70">
        <f t="shared" si="0"/>
        <v>-261500.00000000023</v>
      </c>
      <c r="N29" s="70">
        <f t="shared" si="0"/>
        <v>-261500.00000000023</v>
      </c>
      <c r="O29" s="70">
        <f t="shared" si="0"/>
        <v>0</v>
      </c>
      <c r="P29" s="260"/>
      <c r="Q29" s="261"/>
      <c r="V29" s="397"/>
    </row>
    <row r="30" spans="2:22" ht="9.9499999999999993" hidden="1" customHeight="1" x14ac:dyDescent="0.2">
      <c r="B30" s="57"/>
      <c r="C30" s="58"/>
      <c r="D30" s="57"/>
      <c r="E30" s="58"/>
      <c r="F30" s="58"/>
      <c r="G30" s="58"/>
      <c r="H30" s="58">
        <f>+'[4]ELpaso SJ &amp; Prm'!$G48</f>
        <v>3.7774999999999999</v>
      </c>
      <c r="I30" s="58"/>
      <c r="J30" s="58"/>
      <c r="K30" s="68"/>
      <c r="L30" s="68"/>
      <c r="M30" s="74"/>
      <c r="N30" s="75"/>
      <c r="O30" s="75"/>
      <c r="P30" s="260"/>
      <c r="Q30" s="261"/>
      <c r="V30" s="398"/>
    </row>
    <row r="31" spans="2:22" hidden="1" x14ac:dyDescent="0.2">
      <c r="B31" s="57" t="s">
        <v>25</v>
      </c>
      <c r="C31" s="57" t="s">
        <v>31</v>
      </c>
      <c r="D31" s="57"/>
      <c r="E31" s="57" t="s">
        <v>64</v>
      </c>
      <c r="F31" s="51" t="s">
        <v>71</v>
      </c>
      <c r="G31" s="57"/>
      <c r="H31" s="58">
        <f>+'[4]ELpaso SJ &amp; Prm'!$G49</f>
        <v>3.8815</v>
      </c>
      <c r="I31" s="53">
        <f>(SUM('[1]RMTC_2-expired'!G9:G20)+SUM('[1]RMTC_2-expired'!H9:H20))/12</f>
        <v>3.7774999999999999</v>
      </c>
      <c r="J31" s="60">
        <f>-M31/K31</f>
        <v>1.4177868852459015</v>
      </c>
      <c r="K31" s="76">
        <f>-'[1]RMTC_2-expired'!F22</f>
        <v>5490000</v>
      </c>
      <c r="L31" s="76">
        <f>+K31/366</f>
        <v>15000</v>
      </c>
      <c r="M31" s="65">
        <f>-'[1]RMTC_2-expired'!I22</f>
        <v>-7783649.9999999991</v>
      </c>
      <c r="N31" s="56">
        <f>-'[1]RMTC_2-expired'!J22</f>
        <v>-7783649.9999999991</v>
      </c>
      <c r="O31" s="56">
        <f>-'[1]RMTC_2-expired'!K22</f>
        <v>0</v>
      </c>
      <c r="P31" s="260"/>
      <c r="Q31" s="261"/>
      <c r="V31" s="273"/>
    </row>
    <row r="32" spans="2:22" hidden="1" x14ac:dyDescent="0.2">
      <c r="B32" s="57" t="s">
        <v>25</v>
      </c>
      <c r="C32" s="57" t="s">
        <v>55</v>
      </c>
      <c r="D32" s="57"/>
      <c r="E32" s="57" t="s">
        <v>65</v>
      </c>
      <c r="F32" s="51" t="s">
        <v>71</v>
      </c>
      <c r="G32" s="57"/>
      <c r="H32" s="58">
        <f>+'[4]ELpaso SJ &amp; Prm'!$G50</f>
        <v>3.9925000000000002</v>
      </c>
      <c r="I32" s="53">
        <f>(SUM('[1]RMTC_2-expired'!G26:G37)+SUM('[1]RMTC_2-expired'!H26:H37))/12</f>
        <v>3.7774999999999999</v>
      </c>
      <c r="J32" s="62">
        <f>+M32/K32</f>
        <v>-1.4177868852459015</v>
      </c>
      <c r="K32" s="77">
        <f>-'[1]RMTC_2-expired'!F39</f>
        <v>-5490000</v>
      </c>
      <c r="L32" s="77">
        <f>+K32/366</f>
        <v>-15000</v>
      </c>
      <c r="M32" s="72">
        <f>-'[1]RMTC_2-expired'!I39</f>
        <v>7783649.9999999991</v>
      </c>
      <c r="N32" s="73">
        <f>-'[1]RMTC_2-expired'!J39</f>
        <v>7783649.9999999991</v>
      </c>
      <c r="O32" s="73">
        <f>-'[1]RMTC_2-expired'!K39</f>
        <v>0</v>
      </c>
      <c r="P32" s="260"/>
      <c r="Q32" s="261"/>
      <c r="V32" s="273"/>
    </row>
    <row r="33" spans="2:27" hidden="1" x14ac:dyDescent="0.2">
      <c r="B33" s="57"/>
      <c r="C33" s="58"/>
      <c r="D33" s="57"/>
      <c r="E33" s="58"/>
      <c r="F33" s="58"/>
      <c r="G33" s="57"/>
      <c r="H33" s="58">
        <f>+'[4]ELpaso SJ &amp; Prm'!$G51</f>
        <v>4.0195000000000007</v>
      </c>
      <c r="I33" s="58"/>
      <c r="J33" s="145">
        <f t="shared" ref="J33:O33" si="1">+J31+J32</f>
        <v>0</v>
      </c>
      <c r="K33" s="68">
        <f t="shared" si="1"/>
        <v>0</v>
      </c>
      <c r="L33" s="68">
        <f t="shared" si="1"/>
        <v>0</v>
      </c>
      <c r="M33" s="74">
        <f t="shared" si="1"/>
        <v>0</v>
      </c>
      <c r="N33" s="74">
        <f t="shared" si="1"/>
        <v>0</v>
      </c>
      <c r="O33" s="74">
        <f t="shared" si="1"/>
        <v>0</v>
      </c>
      <c r="P33" s="260"/>
      <c r="Q33" s="261"/>
      <c r="V33" s="397"/>
    </row>
    <row r="34" spans="2:27" ht="9.9499999999999993" customHeight="1" x14ac:dyDescent="0.2">
      <c r="B34" s="57"/>
      <c r="C34" s="58"/>
      <c r="D34" s="57"/>
      <c r="E34" s="58"/>
      <c r="F34" s="58"/>
      <c r="G34" s="57"/>
      <c r="H34" s="58"/>
      <c r="I34" s="58"/>
      <c r="J34" s="58"/>
      <c r="K34" s="58"/>
      <c r="L34" s="58"/>
      <c r="M34" s="58"/>
      <c r="N34" s="58"/>
      <c r="O34" s="58"/>
      <c r="P34" s="262"/>
      <c r="Q34" s="263"/>
      <c r="R34" s="264"/>
      <c r="S34" s="263"/>
      <c r="V34" s="262"/>
      <c r="Y34" s="57"/>
    </row>
    <row r="35" spans="2:27" hidden="1" x14ac:dyDescent="0.2">
      <c r="B35" s="57" t="s">
        <v>32</v>
      </c>
      <c r="C35" s="57" t="s">
        <v>33</v>
      </c>
      <c r="D35" s="57">
        <v>25834</v>
      </c>
      <c r="E35" s="57" t="s">
        <v>29</v>
      </c>
      <c r="F35" s="51" t="s">
        <v>54</v>
      </c>
      <c r="G35" s="57"/>
      <c r="H35" s="58">
        <f>+'[4]ELpaso SJ &amp; Prm'!$G53</f>
        <v>4.2124999999999995</v>
      </c>
      <c r="I35" s="53">
        <f>SUM(Elpaso_6!G9:H13)/5</f>
        <v>3.7602000000000002</v>
      </c>
      <c r="J35" s="60">
        <f>M35/K35</f>
        <v>-0.46613333333333373</v>
      </c>
      <c r="K35" s="64">
        <f>-Elpaso_6!F15</f>
        <v>15000000</v>
      </c>
      <c r="L35" s="78">
        <f>+K35/153</f>
        <v>98039.215686274503</v>
      </c>
      <c r="M35" s="65">
        <f>-Elpaso_6!I15</f>
        <v>-6992000.0000000056</v>
      </c>
      <c r="N35" s="79">
        <f>-Elpaso_6!J15</f>
        <v>0</v>
      </c>
      <c r="O35" s="65">
        <f>-Elpaso_6!K15</f>
        <v>-6992000.0000000056</v>
      </c>
      <c r="P35" s="262"/>
      <c r="Q35" s="261"/>
      <c r="R35" s="260"/>
      <c r="S35" s="261"/>
      <c r="V35" s="265"/>
      <c r="Y35" s="57" t="s">
        <v>32</v>
      </c>
    </row>
    <row r="36" spans="2:27" hidden="1" x14ac:dyDescent="0.2">
      <c r="B36" s="57" t="s">
        <v>32</v>
      </c>
      <c r="C36" s="57" t="s">
        <v>33</v>
      </c>
      <c r="D36" s="57"/>
      <c r="E36" s="57" t="s">
        <v>27</v>
      </c>
      <c r="F36" s="51" t="s">
        <v>54</v>
      </c>
      <c r="G36" s="57"/>
      <c r="H36" s="58">
        <f>+'[4]ELpaso SJ &amp; Prm'!$G54</f>
        <v>4.3754999999999997</v>
      </c>
      <c r="I36" s="53">
        <f>SUM(Elpaso_6!G9:H13)/5</f>
        <v>3.7602000000000002</v>
      </c>
      <c r="J36" s="84">
        <f>M36/K36</f>
        <v>0.46613333333333373</v>
      </c>
      <c r="K36" s="71">
        <f>-Elpaso_6!F23</f>
        <v>15000000</v>
      </c>
      <c r="L36" s="85">
        <f>+K36/153</f>
        <v>98039.215686274503</v>
      </c>
      <c r="M36" s="72">
        <f>Elpaso_6!I15</f>
        <v>6992000.0000000056</v>
      </c>
      <c r="N36" s="86">
        <f>-Elpaso_6!J26</f>
        <v>0</v>
      </c>
      <c r="O36" s="72">
        <f>Elpaso_6!K15</f>
        <v>6992000.0000000056</v>
      </c>
      <c r="P36" s="262"/>
      <c r="Q36" s="261"/>
      <c r="R36" s="260"/>
      <c r="S36" s="261"/>
      <c r="V36" s="399"/>
      <c r="Y36" s="57" t="s">
        <v>32</v>
      </c>
    </row>
    <row r="37" spans="2:27" hidden="1" x14ac:dyDescent="0.2">
      <c r="B37" s="57"/>
      <c r="C37" s="57"/>
      <c r="D37" s="57"/>
      <c r="E37" s="57"/>
      <c r="F37" s="51"/>
      <c r="G37" s="57"/>
      <c r="H37" s="58">
        <f>+'[4]ELpaso SJ &amp; Prm'!$G55</f>
        <v>4.4434999999999993</v>
      </c>
      <c r="I37" s="53"/>
      <c r="J37" s="60">
        <f>+J35-J36</f>
        <v>-0.93226666666666747</v>
      </c>
      <c r="K37" s="64">
        <f>+K36+K35</f>
        <v>30000000</v>
      </c>
      <c r="L37" s="64">
        <f>+L36+L35</f>
        <v>196078.43137254901</v>
      </c>
      <c r="M37" s="87">
        <f>+M36+M35</f>
        <v>0</v>
      </c>
      <c r="N37" s="88">
        <f>+N36+N35</f>
        <v>0</v>
      </c>
      <c r="O37" s="87">
        <f>+O36+O35</f>
        <v>0</v>
      </c>
      <c r="P37" s="262"/>
      <c r="Q37" s="261"/>
      <c r="R37" s="260"/>
      <c r="S37" s="261"/>
      <c r="V37" s="400"/>
      <c r="Y37" s="57"/>
    </row>
    <row r="38" spans="2:27" hidden="1" x14ac:dyDescent="0.2">
      <c r="B38" s="57"/>
      <c r="C38" s="57"/>
      <c r="D38" s="57"/>
      <c r="E38" s="57"/>
      <c r="F38" s="51"/>
      <c r="G38" s="57"/>
      <c r="H38" s="53"/>
      <c r="I38" s="53"/>
      <c r="J38" s="60"/>
      <c r="K38" s="64"/>
      <c r="L38" s="91"/>
      <c r="M38" s="87"/>
      <c r="N38" s="88"/>
      <c r="O38" s="87"/>
      <c r="P38" s="262"/>
      <c r="Q38" s="261"/>
      <c r="R38" s="260"/>
      <c r="S38" s="261"/>
      <c r="V38" s="400"/>
      <c r="Y38" s="57"/>
    </row>
    <row r="39" spans="2:27" hidden="1" x14ac:dyDescent="0.2">
      <c r="B39" s="57" t="s">
        <v>32</v>
      </c>
      <c r="C39" s="57" t="s">
        <v>57</v>
      </c>
      <c r="D39" s="57">
        <v>105706</v>
      </c>
      <c r="E39" s="57" t="s">
        <v>29</v>
      </c>
      <c r="F39" s="51" t="s">
        <v>58</v>
      </c>
      <c r="G39" s="51"/>
      <c r="H39" s="53"/>
      <c r="I39" s="60">
        <f>SUM([1]MEC_8_Expired!H9:H14)/6</f>
        <v>0</v>
      </c>
      <c r="J39" s="60">
        <f>M39/K39</f>
        <v>2.5582608695652174</v>
      </c>
      <c r="K39" s="64">
        <f>-[1]MEC_8_Expired!F15</f>
        <v>-230000</v>
      </c>
      <c r="L39" s="91">
        <f>+K39/182</f>
        <v>-1263.7362637362637</v>
      </c>
      <c r="M39" s="65">
        <f>-[1]MEC_8_Expired!I15</f>
        <v>-588400</v>
      </c>
      <c r="N39" s="79">
        <f>-[1]MEC_8_Expired!J15</f>
        <v>-588400</v>
      </c>
      <c r="O39" s="65">
        <f>-[1]MEC_8_Expired!K15</f>
        <v>0</v>
      </c>
      <c r="P39" s="262"/>
      <c r="Q39" s="261"/>
      <c r="R39" s="260"/>
      <c r="S39" s="261"/>
      <c r="V39" s="265"/>
      <c r="Y39" s="57" t="s">
        <v>32</v>
      </c>
    </row>
    <row r="40" spans="2:27" hidden="1" x14ac:dyDescent="0.2">
      <c r="B40" s="57" t="s">
        <v>32</v>
      </c>
      <c r="C40" s="57" t="s">
        <v>57</v>
      </c>
      <c r="D40" s="57">
        <v>105706</v>
      </c>
      <c r="E40" s="57" t="s">
        <v>29</v>
      </c>
      <c r="F40" s="51" t="s">
        <v>58</v>
      </c>
      <c r="G40" s="51"/>
      <c r="H40" s="53"/>
      <c r="I40" s="53">
        <f>SUM([1]MEC_8_Expired!H20:H25)/6</f>
        <v>0</v>
      </c>
      <c r="J40" s="84">
        <f>M40/K40</f>
        <v>2.6397391304347826</v>
      </c>
      <c r="K40" s="71">
        <f>-[1]MEC_8_Expired!F26</f>
        <v>230000</v>
      </c>
      <c r="L40" s="71">
        <f>+K40/182</f>
        <v>1263.7362637362637</v>
      </c>
      <c r="M40" s="72">
        <f>-[1]MEC_8_Expired!I26</f>
        <v>607140</v>
      </c>
      <c r="N40" s="86">
        <f>-[1]MEC_8_Expired!J26</f>
        <v>607140</v>
      </c>
      <c r="O40" s="72">
        <f>-[1]MEC_8_Expired!K26</f>
        <v>0</v>
      </c>
      <c r="P40" s="262"/>
      <c r="Q40" s="261"/>
      <c r="R40" s="260"/>
      <c r="S40" s="261"/>
      <c r="V40" s="399"/>
      <c r="Y40" s="57" t="s">
        <v>32</v>
      </c>
    </row>
    <row r="41" spans="2:27" hidden="1" x14ac:dyDescent="0.2">
      <c r="B41" s="57"/>
      <c r="C41" s="57"/>
      <c r="D41" s="57"/>
      <c r="E41" s="57"/>
      <c r="F41" s="51"/>
      <c r="G41" s="51"/>
      <c r="H41" s="53"/>
      <c r="I41" s="53"/>
      <c r="J41" s="60">
        <f>+J39-J40</f>
        <v>-8.1478260869565222E-2</v>
      </c>
      <c r="K41" s="64">
        <f>+K40+K39</f>
        <v>0</v>
      </c>
      <c r="L41" s="64">
        <f>+L40+L39</f>
        <v>0</v>
      </c>
      <c r="M41" s="65">
        <f>+M40+M39</f>
        <v>18740</v>
      </c>
      <c r="N41" s="79">
        <f>+N40+N39</f>
        <v>18740</v>
      </c>
      <c r="O41" s="65">
        <f>+O40+O39</f>
        <v>0</v>
      </c>
      <c r="P41" s="262"/>
      <c r="Q41" s="261"/>
      <c r="R41" s="260"/>
      <c r="S41" s="261"/>
      <c r="V41" s="265"/>
      <c r="Y41" s="57"/>
    </row>
    <row r="42" spans="2:27" hidden="1" x14ac:dyDescent="0.2">
      <c r="B42" s="57"/>
      <c r="C42" s="57"/>
      <c r="D42" s="57"/>
      <c r="E42" s="57"/>
      <c r="F42" s="51"/>
      <c r="G42" s="51"/>
      <c r="H42" s="53"/>
      <c r="I42" s="53"/>
      <c r="J42" s="60"/>
      <c r="K42" s="64"/>
      <c r="L42" s="91"/>
      <c r="M42" s="65"/>
      <c r="N42" s="79"/>
      <c r="O42" s="65"/>
      <c r="P42" s="262"/>
      <c r="Q42" s="261"/>
      <c r="R42" s="260"/>
      <c r="S42" s="261"/>
      <c r="V42" s="265"/>
      <c r="Y42" s="57"/>
    </row>
    <row r="43" spans="2:27" ht="12.75" x14ac:dyDescent="0.2">
      <c r="B43" s="57" t="s">
        <v>25</v>
      </c>
      <c r="C43" s="57" t="s">
        <v>61</v>
      </c>
      <c r="D43" s="57" t="s">
        <v>90</v>
      </c>
      <c r="E43" s="57" t="s">
        <v>64</v>
      </c>
      <c r="F43" s="431" t="s">
        <v>53</v>
      </c>
      <c r="G43" s="122">
        <v>36664</v>
      </c>
      <c r="H43" s="53">
        <v>3.23</v>
      </c>
      <c r="I43" s="53">
        <f>(SUM(ENA_9!G9:G20)+SUM(ENA_9!H9:H20))/12</f>
        <v>5.0051666666666668</v>
      </c>
      <c r="J43" s="60">
        <f>-M43/K43</f>
        <v>1.7689931506849315</v>
      </c>
      <c r="K43" s="76">
        <f>-ENA_9!F22</f>
        <v>1825000</v>
      </c>
      <c r="L43" s="76">
        <f>+K43/365</f>
        <v>5000</v>
      </c>
      <c r="M43" s="65">
        <f>-ENA_9!I22</f>
        <v>-3228412.5</v>
      </c>
      <c r="N43" s="56">
        <f>-ENA_9!J22</f>
        <v>-2364050</v>
      </c>
      <c r="O43" s="56">
        <f>-ENA_9!K22</f>
        <v>-864362.50000000012</v>
      </c>
      <c r="P43" s="265"/>
      <c r="Q43" s="266">
        <f>-O43</f>
        <v>864362.50000000012</v>
      </c>
      <c r="R43" s="267">
        <f>+[2]Summary!$Q43</f>
        <v>2836735</v>
      </c>
      <c r="S43" s="266">
        <f>+Q43-R43</f>
        <v>-1972372.5</v>
      </c>
      <c r="T43" s="286" t="str">
        <f>IF(Y43="NNG",+S43,"")</f>
        <v/>
      </c>
      <c r="U43" s="286">
        <f>IF(Y43="TW",+S43,"")</f>
        <v>-1972372.5</v>
      </c>
      <c r="V43" s="266">
        <f>-ENA_9!L22</f>
        <v>-864362.50000000012</v>
      </c>
      <c r="W43" s="286" t="str">
        <f>IF($Y43="NNG",-V43,"")</f>
        <v/>
      </c>
      <c r="X43" s="286">
        <f>IF(Y43="TW",-V43,"")</f>
        <v>864362.50000000012</v>
      </c>
      <c r="Y43" s="57" t="s">
        <v>25</v>
      </c>
      <c r="Z43" s="425">
        <f>+Q43+Q47+Q51+Q55+Q63+Q64</f>
        <v>3225480</v>
      </c>
      <c r="AA43" s="424"/>
    </row>
    <row r="44" spans="2:27" x14ac:dyDescent="0.2">
      <c r="B44" s="57" t="s">
        <v>25</v>
      </c>
      <c r="C44" s="57" t="s">
        <v>30</v>
      </c>
      <c r="D44" s="57"/>
      <c r="E44" s="57" t="s">
        <v>137</v>
      </c>
      <c r="F44" s="431" t="s">
        <v>53</v>
      </c>
      <c r="G44" s="57"/>
      <c r="H44" s="205">
        <v>3.23</v>
      </c>
      <c r="I44" s="205">
        <f>(SUM(ENA_9!G26:G37)+SUM(ENA_9!H26:H37))/12</f>
        <v>5.0101666666666667</v>
      </c>
      <c r="J44" s="62">
        <f>+M44/K44</f>
        <v>-1.774027397260274</v>
      </c>
      <c r="K44" s="77">
        <f>-ENA_9!F39</f>
        <v>-1825000</v>
      </c>
      <c r="L44" s="77">
        <f>+K44/365</f>
        <v>-5000</v>
      </c>
      <c r="M44" s="72">
        <f>-ENA_9!I39</f>
        <v>3237600</v>
      </c>
      <c r="N44" s="73">
        <f>-ENA_9!J39</f>
        <v>2364050</v>
      </c>
      <c r="O44" s="73">
        <f>-ENA_9!K39</f>
        <v>873550</v>
      </c>
      <c r="P44" s="262"/>
      <c r="Q44" s="261"/>
      <c r="R44" s="260"/>
      <c r="S44" s="261"/>
      <c r="T44" s="286"/>
      <c r="U44" s="286"/>
      <c r="V44" s="401"/>
      <c r="W44" s="286"/>
      <c r="X44" s="286"/>
      <c r="Y44" s="57" t="s">
        <v>25</v>
      </c>
      <c r="Z44" s="422"/>
      <c r="AA44" s="261"/>
    </row>
    <row r="45" spans="2:27" ht="12.75" x14ac:dyDescent="0.2">
      <c r="B45" s="57"/>
      <c r="C45" s="57"/>
      <c r="D45" s="57"/>
      <c r="E45" s="57"/>
      <c r="F45" s="431"/>
      <c r="G45" s="122"/>
      <c r="H45" s="53"/>
      <c r="I45" s="53"/>
      <c r="J45" s="60">
        <f>+J43+J44</f>
        <v>-5.0342465753425714E-3</v>
      </c>
      <c r="K45" s="76"/>
      <c r="L45" s="76"/>
      <c r="M45" s="87"/>
      <c r="N45" s="87"/>
      <c r="O45" s="87">
        <f>+O43+O44</f>
        <v>9187.4999999998836</v>
      </c>
      <c r="P45" s="265"/>
      <c r="Q45" s="266"/>
      <c r="R45" s="267"/>
      <c r="S45" s="266"/>
      <c r="T45" s="286"/>
      <c r="U45" s="286"/>
      <c r="V45" s="400">
        <f>+V43+V44</f>
        <v>-864362.50000000012</v>
      </c>
      <c r="W45" s="286"/>
      <c r="X45" s="286"/>
      <c r="Y45" s="57"/>
      <c r="Z45" s="425">
        <f>+Z43</f>
        <v>3225480</v>
      </c>
      <c r="AA45" s="266"/>
    </row>
    <row r="46" spans="2:27" ht="8.1" customHeight="1" x14ac:dyDescent="0.2">
      <c r="B46" s="57"/>
      <c r="C46" s="58"/>
      <c r="D46" s="57"/>
      <c r="E46" s="58"/>
      <c r="F46" s="187"/>
      <c r="G46" s="57"/>
      <c r="H46" s="58"/>
      <c r="I46" s="58"/>
      <c r="J46" s="60"/>
      <c r="K46" s="68"/>
      <c r="L46" s="106"/>
      <c r="M46" s="74"/>
      <c r="N46" s="74"/>
      <c r="O46" s="74"/>
      <c r="P46" s="262"/>
      <c r="Q46" s="261"/>
      <c r="R46" s="260"/>
      <c r="S46" s="261"/>
      <c r="T46" s="286"/>
      <c r="U46" s="286"/>
      <c r="V46" s="402"/>
      <c r="W46" s="286"/>
      <c r="X46" s="286"/>
      <c r="Y46" s="57"/>
      <c r="Z46" s="422"/>
      <c r="AA46" s="261"/>
    </row>
    <row r="47" spans="2:27" x14ac:dyDescent="0.2">
      <c r="B47" s="57" t="s">
        <v>25</v>
      </c>
      <c r="C47" s="57" t="s">
        <v>61</v>
      </c>
      <c r="D47" s="57" t="s">
        <v>91</v>
      </c>
      <c r="E47" s="57" t="s">
        <v>64</v>
      </c>
      <c r="F47" s="431" t="s">
        <v>53</v>
      </c>
      <c r="G47" s="122">
        <v>36676</v>
      </c>
      <c r="H47" s="53">
        <v>3.74</v>
      </c>
      <c r="I47" s="53">
        <f>(SUM(ENA_11!G9:G20)+SUM(ENA_11!H9:H20))/12</f>
        <v>5.0051666666666668</v>
      </c>
      <c r="J47" s="60">
        <v>0.1</v>
      </c>
      <c r="K47" s="76">
        <f>-ENA_11!F22</f>
        <v>1825000</v>
      </c>
      <c r="L47" s="76">
        <f>+K47/365</f>
        <v>5000</v>
      </c>
      <c r="M47" s="65">
        <f>-ENA_11!I22</f>
        <v>-2297662.5</v>
      </c>
      <c r="N47" s="56">
        <f>-ENA_11!J22</f>
        <v>-1979000</v>
      </c>
      <c r="O47" s="56">
        <f>-ENA_11!K22</f>
        <v>-318662.49999999983</v>
      </c>
      <c r="P47" s="265"/>
      <c r="Q47" s="266">
        <f>-O47</f>
        <v>318662.49999999983</v>
      </c>
      <c r="R47" s="267">
        <f>+[2]Summary!$Q47</f>
        <v>2135485</v>
      </c>
      <c r="S47" s="266">
        <f>+Q47-R47</f>
        <v>-1816822.5000000002</v>
      </c>
      <c r="T47" s="286" t="str">
        <f t="shared" ref="T47:T88" si="2">IF(Y47="NNG",+S47,"")</f>
        <v/>
      </c>
      <c r="U47" s="286">
        <f t="shared" ref="U47:U88" si="3">IF(Y47="TW",+S47,"")</f>
        <v>-1816822.5000000002</v>
      </c>
      <c r="V47" s="266">
        <f>-ENA_11!L22</f>
        <v>-318662.49999999983</v>
      </c>
      <c r="W47" s="286" t="str">
        <f t="shared" ref="W47:W88" si="4">IF($Y47="NNG",-V47,"")</f>
        <v/>
      </c>
      <c r="X47" s="286">
        <f t="shared" ref="X47:X88" si="5">IF(Y47="TW",-V47,"")</f>
        <v>318662.49999999983</v>
      </c>
      <c r="Y47" s="57" t="s">
        <v>25</v>
      </c>
      <c r="Z47" s="422"/>
      <c r="AA47" s="424"/>
    </row>
    <row r="48" spans="2:27" x14ac:dyDescent="0.2">
      <c r="B48" s="57" t="s">
        <v>25</v>
      </c>
      <c r="C48" s="57" t="s">
        <v>179</v>
      </c>
      <c r="D48" s="57"/>
      <c r="E48" s="57" t="s">
        <v>137</v>
      </c>
      <c r="F48" s="431" t="s">
        <v>53</v>
      </c>
      <c r="G48" s="57"/>
      <c r="H48" s="205">
        <v>3.74</v>
      </c>
      <c r="I48" s="205">
        <f>(SUM(ENA_11!G26:G37)+SUM(ENA_11!H26:H37))/12</f>
        <v>5.0101666666666667</v>
      </c>
      <c r="J48" s="62">
        <f>+M48/K48</f>
        <v>-1.264027397260274</v>
      </c>
      <c r="K48" s="77">
        <f>-ENA_11!F39</f>
        <v>-1825000</v>
      </c>
      <c r="L48" s="77">
        <f>+K48/365</f>
        <v>-5000</v>
      </c>
      <c r="M48" s="72">
        <f>-ENA_11!I39</f>
        <v>2306850</v>
      </c>
      <c r="N48" s="73">
        <f>-ENA_11!J39</f>
        <v>1979000</v>
      </c>
      <c r="O48" s="73">
        <f>-ENA_11!K39</f>
        <v>327849.99999999977</v>
      </c>
      <c r="P48" s="262"/>
      <c r="Q48" s="261"/>
      <c r="R48" s="260"/>
      <c r="S48" s="261"/>
      <c r="T48" s="286" t="str">
        <f t="shared" si="2"/>
        <v/>
      </c>
      <c r="U48" s="286">
        <f t="shared" si="3"/>
        <v>0</v>
      </c>
      <c r="V48" s="401"/>
      <c r="W48" s="286" t="str">
        <f t="shared" si="4"/>
        <v/>
      </c>
      <c r="X48" s="286">
        <f t="shared" si="5"/>
        <v>0</v>
      </c>
      <c r="Y48" s="57" t="s">
        <v>25</v>
      </c>
      <c r="Z48" s="422"/>
      <c r="AA48" s="261"/>
    </row>
    <row r="49" spans="1:30" x14ac:dyDescent="0.2">
      <c r="B49" s="57"/>
      <c r="C49" s="58"/>
      <c r="D49" s="57"/>
      <c r="E49" s="58"/>
      <c r="F49" s="187"/>
      <c r="G49" s="57"/>
      <c r="H49" s="58"/>
      <c r="I49" s="58"/>
      <c r="J49" s="60">
        <f t="shared" ref="J49:O49" si="6">+J47+J48</f>
        <v>-1.1640273972602739</v>
      </c>
      <c r="K49" s="68">
        <f t="shared" si="6"/>
        <v>0</v>
      </c>
      <c r="L49" s="68">
        <f t="shared" si="6"/>
        <v>0</v>
      </c>
      <c r="M49" s="87">
        <f t="shared" si="6"/>
        <v>9187.5</v>
      </c>
      <c r="N49" s="87">
        <f t="shared" si="6"/>
        <v>0</v>
      </c>
      <c r="O49" s="87">
        <f t="shared" si="6"/>
        <v>9187.4999999999418</v>
      </c>
      <c r="P49" s="262"/>
      <c r="Q49" s="261"/>
      <c r="R49" s="260"/>
      <c r="S49" s="261"/>
      <c r="T49" s="286" t="str">
        <f t="shared" si="2"/>
        <v/>
      </c>
      <c r="U49" s="286" t="str">
        <f t="shared" si="3"/>
        <v/>
      </c>
      <c r="V49" s="400">
        <f>+V47+V48</f>
        <v>-318662.49999999983</v>
      </c>
      <c r="W49" s="286" t="str">
        <f t="shared" si="4"/>
        <v/>
      </c>
      <c r="X49" s="286" t="str">
        <f t="shared" si="5"/>
        <v/>
      </c>
      <c r="Y49" s="57"/>
      <c r="Z49" s="422"/>
      <c r="AA49" s="261"/>
    </row>
    <row r="50" spans="1:30" ht="8.1" customHeight="1" x14ac:dyDescent="0.2">
      <c r="B50" s="57"/>
      <c r="C50" s="58"/>
      <c r="D50" s="57"/>
      <c r="E50" s="58"/>
      <c r="F50" s="187"/>
      <c r="G50" s="57"/>
      <c r="H50" s="58"/>
      <c r="I50" s="58"/>
      <c r="J50" s="60"/>
      <c r="K50" s="68"/>
      <c r="L50" s="106"/>
      <c r="M50" s="87"/>
      <c r="N50" s="87"/>
      <c r="O50" s="87"/>
      <c r="P50" s="262"/>
      <c r="Q50" s="261"/>
      <c r="R50" s="260"/>
      <c r="S50" s="261"/>
      <c r="T50" s="286" t="str">
        <f t="shared" si="2"/>
        <v/>
      </c>
      <c r="U50" s="286" t="str">
        <f t="shared" si="3"/>
        <v/>
      </c>
      <c r="V50" s="400"/>
      <c r="W50" s="286" t="str">
        <f t="shared" si="4"/>
        <v/>
      </c>
      <c r="X50" s="286" t="str">
        <f t="shared" si="5"/>
        <v/>
      </c>
      <c r="Y50" s="57"/>
      <c r="Z50" s="422"/>
      <c r="AA50" s="261"/>
    </row>
    <row r="51" spans="1:30" x14ac:dyDescent="0.2">
      <c r="B51" s="57" t="s">
        <v>25</v>
      </c>
      <c r="C51" s="57" t="s">
        <v>61</v>
      </c>
      <c r="D51" s="57" t="s">
        <v>73</v>
      </c>
      <c r="E51" s="57" t="s">
        <v>64</v>
      </c>
      <c r="F51" s="431" t="s">
        <v>53</v>
      </c>
      <c r="G51" s="122">
        <v>36740</v>
      </c>
      <c r="H51" s="53">
        <v>3.63</v>
      </c>
      <c r="I51" s="53">
        <f>(SUM(ENA_12!G26:G37)+SUM(ENA_12!H26:H37))/12</f>
        <v>5.0101666666666667</v>
      </c>
      <c r="J51" s="60">
        <v>0.1</v>
      </c>
      <c r="K51" s="76">
        <f>-ENA_12!F22</f>
        <v>1825000</v>
      </c>
      <c r="L51" s="76">
        <f>+K51/365</f>
        <v>5000</v>
      </c>
      <c r="M51" s="65">
        <f>-ENA_12!I22</f>
        <v>-2498412.5000000005</v>
      </c>
      <c r="N51" s="56">
        <f>-ENA_12!J22</f>
        <v>-2062050.0000000002</v>
      </c>
      <c r="O51" s="56">
        <f>-ENA_12!K22</f>
        <v>-436362.50000000023</v>
      </c>
      <c r="P51" s="265"/>
      <c r="Q51" s="266">
        <f>-O51</f>
        <v>436362.50000000023</v>
      </c>
      <c r="R51" s="267">
        <f>+[2]Summary!$Q51</f>
        <v>2286735</v>
      </c>
      <c r="S51" s="266">
        <f>+Q51-R51</f>
        <v>-1850372.4999999998</v>
      </c>
      <c r="T51" s="286" t="str">
        <f t="shared" si="2"/>
        <v/>
      </c>
      <c r="U51" s="286">
        <f t="shared" si="3"/>
        <v>-1850372.4999999998</v>
      </c>
      <c r="V51" s="266">
        <f>-ENA_12!L22</f>
        <v>-436362.50000000023</v>
      </c>
      <c r="W51" s="286" t="str">
        <f t="shared" si="4"/>
        <v/>
      </c>
      <c r="X51" s="286">
        <f t="shared" si="5"/>
        <v>436362.50000000023</v>
      </c>
      <c r="Y51" s="57" t="s">
        <v>25</v>
      </c>
      <c r="Z51" s="422"/>
      <c r="AA51" s="424"/>
    </row>
    <row r="52" spans="1:30" x14ac:dyDescent="0.2">
      <c r="B52" s="57" t="s">
        <v>25</v>
      </c>
      <c r="C52" s="57" t="s">
        <v>179</v>
      </c>
      <c r="D52" s="57"/>
      <c r="E52" s="57" t="s">
        <v>137</v>
      </c>
      <c r="F52" s="431" t="s">
        <v>53</v>
      </c>
      <c r="G52" s="57"/>
      <c r="H52" s="205">
        <v>3.63</v>
      </c>
      <c r="I52" s="205">
        <f>(SUM(ENA_12!G26:G37)+SUM(ENA_12!H26:H37))/12</f>
        <v>5.0101666666666667</v>
      </c>
      <c r="J52" s="62">
        <f>+M52/K52</f>
        <v>-1.3740273972602741</v>
      </c>
      <c r="K52" s="77">
        <f>-ENA_12!F39</f>
        <v>-1825000</v>
      </c>
      <c r="L52" s="77">
        <f>+K52/365</f>
        <v>-5000</v>
      </c>
      <c r="M52" s="72">
        <f>-ENA_12!I39</f>
        <v>2507600.0000000005</v>
      </c>
      <c r="N52" s="73">
        <f>-ENA_12!J39</f>
        <v>2062050.0000000002</v>
      </c>
      <c r="O52" s="73">
        <f>-ENA_12!K39</f>
        <v>445550.00000000012</v>
      </c>
      <c r="P52" s="262"/>
      <c r="Q52" s="261"/>
      <c r="R52" s="260"/>
      <c r="S52" s="261"/>
      <c r="T52" s="286" t="str">
        <f t="shared" si="2"/>
        <v/>
      </c>
      <c r="U52" s="286">
        <f t="shared" si="3"/>
        <v>0</v>
      </c>
      <c r="V52" s="401"/>
      <c r="W52" s="286" t="str">
        <f t="shared" si="4"/>
        <v/>
      </c>
      <c r="X52" s="286">
        <f t="shared" si="5"/>
        <v>0</v>
      </c>
      <c r="Y52" s="57" t="s">
        <v>25</v>
      </c>
      <c r="Z52" s="422"/>
      <c r="AA52" s="261"/>
    </row>
    <row r="53" spans="1:30" x14ac:dyDescent="0.2">
      <c r="B53" s="57"/>
      <c r="C53" s="58"/>
      <c r="D53" s="57"/>
      <c r="E53" s="58"/>
      <c r="F53" s="187"/>
      <c r="G53" s="57"/>
      <c r="H53" s="58"/>
      <c r="I53" s="58"/>
      <c r="J53" s="60">
        <f t="shared" ref="J53:O53" si="7">+J51+J52</f>
        <v>-1.274027397260274</v>
      </c>
      <c r="K53" s="68">
        <f t="shared" si="7"/>
        <v>0</v>
      </c>
      <c r="L53" s="68">
        <f t="shared" si="7"/>
        <v>0</v>
      </c>
      <c r="M53" s="87">
        <f t="shared" si="7"/>
        <v>9187.5</v>
      </c>
      <c r="N53" s="87">
        <f t="shared" si="7"/>
        <v>0</v>
      </c>
      <c r="O53" s="87">
        <f t="shared" si="7"/>
        <v>9187.4999999998836</v>
      </c>
      <c r="P53" s="262"/>
      <c r="Q53" s="261"/>
      <c r="R53" s="260"/>
      <c r="S53" s="261"/>
      <c r="T53" s="286" t="str">
        <f t="shared" si="2"/>
        <v/>
      </c>
      <c r="U53" s="286" t="str">
        <f t="shared" si="3"/>
        <v/>
      </c>
      <c r="V53" s="400">
        <f>+V51+V52</f>
        <v>-436362.50000000023</v>
      </c>
      <c r="W53" s="286" t="str">
        <f t="shared" si="4"/>
        <v/>
      </c>
      <c r="X53" s="286" t="str">
        <f t="shared" si="5"/>
        <v/>
      </c>
      <c r="Y53" s="57"/>
      <c r="Z53" s="422"/>
      <c r="AA53" s="261"/>
    </row>
    <row r="54" spans="1:30" ht="8.1" customHeight="1" x14ac:dyDescent="0.2">
      <c r="B54" s="57"/>
      <c r="C54" s="58"/>
      <c r="D54" s="57"/>
      <c r="E54" s="58"/>
      <c r="F54" s="187"/>
      <c r="G54" s="57"/>
      <c r="H54" s="58"/>
      <c r="I54" s="58"/>
      <c r="J54" s="60"/>
      <c r="K54" s="68"/>
      <c r="L54" s="106"/>
      <c r="M54" s="87"/>
      <c r="N54" s="87"/>
      <c r="O54" s="87"/>
      <c r="P54" s="262"/>
      <c r="Q54" s="261"/>
      <c r="R54" s="260"/>
      <c r="S54" s="261"/>
      <c r="T54" s="286" t="str">
        <f t="shared" si="2"/>
        <v/>
      </c>
      <c r="U54" s="286" t="str">
        <f t="shared" si="3"/>
        <v/>
      </c>
      <c r="V54" s="400"/>
      <c r="W54" s="286" t="str">
        <f t="shared" si="4"/>
        <v/>
      </c>
      <c r="X54" s="286" t="str">
        <f t="shared" si="5"/>
        <v/>
      </c>
      <c r="Y54" s="57"/>
      <c r="Z54" s="422"/>
      <c r="AA54" s="261"/>
    </row>
    <row r="55" spans="1:30" x14ac:dyDescent="0.2">
      <c r="B55" s="57" t="s">
        <v>25</v>
      </c>
      <c r="C55" s="57" t="s">
        <v>61</v>
      </c>
      <c r="D55" s="57" t="s">
        <v>75</v>
      </c>
      <c r="E55" s="57" t="s">
        <v>64</v>
      </c>
      <c r="F55" s="431" t="s">
        <v>53</v>
      </c>
      <c r="G55" s="122">
        <v>36754</v>
      </c>
      <c r="H55" s="53">
        <v>3.585</v>
      </c>
      <c r="I55" s="53">
        <f>(SUM(ENA_13!G26:G37)+SUM(ENA_13!H26:H37))/12</f>
        <v>5.0101666666666667</v>
      </c>
      <c r="J55" s="60">
        <v>0.1</v>
      </c>
      <c r="K55" s="76">
        <f>-ENA_13!F22</f>
        <v>1825000</v>
      </c>
      <c r="L55" s="76">
        <f>+K55/365</f>
        <v>5000</v>
      </c>
      <c r="M55" s="65">
        <f>-ENA_13!I22</f>
        <v>-2580537.5</v>
      </c>
      <c r="N55" s="56">
        <f>-ENA_13!J22</f>
        <v>-2096025.0000000002</v>
      </c>
      <c r="O55" s="56">
        <f>-ENA_13!K22</f>
        <v>-484512.50000000012</v>
      </c>
      <c r="P55" s="265"/>
      <c r="Q55" s="266">
        <f>-O55</f>
        <v>484512.50000000012</v>
      </c>
      <c r="R55" s="267">
        <f>+[2]Summary!$Q55</f>
        <v>2348610</v>
      </c>
      <c r="S55" s="266">
        <f>+Q55-R55</f>
        <v>-1864097.5</v>
      </c>
      <c r="T55" s="286" t="str">
        <f t="shared" si="2"/>
        <v/>
      </c>
      <c r="U55" s="286">
        <f t="shared" si="3"/>
        <v>-1864097.5</v>
      </c>
      <c r="V55" s="266">
        <f>-ENA_13!L22</f>
        <v>-484512.50000000012</v>
      </c>
      <c r="W55" s="286" t="str">
        <f t="shared" si="4"/>
        <v/>
      </c>
      <c r="X55" s="286">
        <f t="shared" si="5"/>
        <v>484512.50000000012</v>
      </c>
      <c r="Y55" s="57" t="s">
        <v>25</v>
      </c>
      <c r="Z55" s="422"/>
      <c r="AA55" s="424"/>
    </row>
    <row r="56" spans="1:30" x14ac:dyDescent="0.2">
      <c r="B56" s="57" t="s">
        <v>25</v>
      </c>
      <c r="C56" s="57" t="s">
        <v>179</v>
      </c>
      <c r="D56" s="57"/>
      <c r="E56" s="57" t="s">
        <v>137</v>
      </c>
      <c r="F56" s="431" t="s">
        <v>53</v>
      </c>
      <c r="G56" s="57"/>
      <c r="H56" s="205">
        <v>3.585</v>
      </c>
      <c r="I56" s="204">
        <f>(SUM(ENA_13!G26:G37)+SUM(ENA_13!H26:H37))/12</f>
        <v>5.0101666666666667</v>
      </c>
      <c r="J56" s="62">
        <f>+M56/K56</f>
        <v>-1.419027397260274</v>
      </c>
      <c r="K56" s="77">
        <f>-ENA_13!F39</f>
        <v>-1825000</v>
      </c>
      <c r="L56" s="77">
        <f>+K56/365</f>
        <v>-5000</v>
      </c>
      <c r="M56" s="72">
        <f>-ENA_13!I39</f>
        <v>2589725</v>
      </c>
      <c r="N56" s="73">
        <f>-ENA_13!J39</f>
        <v>2096025.0000000002</v>
      </c>
      <c r="O56" s="73">
        <f>-ENA_13!K39</f>
        <v>493700</v>
      </c>
      <c r="P56" s="262"/>
      <c r="Q56" s="261"/>
      <c r="R56" s="260"/>
      <c r="S56" s="261"/>
      <c r="T56" s="286" t="str">
        <f t="shared" si="2"/>
        <v/>
      </c>
      <c r="U56" s="286">
        <f t="shared" si="3"/>
        <v>0</v>
      </c>
      <c r="V56" s="401"/>
      <c r="W56" s="286" t="str">
        <f t="shared" si="4"/>
        <v/>
      </c>
      <c r="X56" s="286">
        <f t="shared" si="5"/>
        <v>0</v>
      </c>
      <c r="Y56" s="57" t="s">
        <v>25</v>
      </c>
      <c r="Z56" s="422"/>
      <c r="AA56" s="261"/>
    </row>
    <row r="57" spans="1:30" x14ac:dyDescent="0.2">
      <c r="B57" s="57"/>
      <c r="C57" s="58"/>
      <c r="D57" s="57"/>
      <c r="E57" s="58"/>
      <c r="F57" s="51"/>
      <c r="G57" s="57"/>
      <c r="H57" s="58"/>
      <c r="I57" s="58"/>
      <c r="J57" s="60">
        <f t="shared" ref="J57:O57" si="8">+J55+J56</f>
        <v>-1.319027397260274</v>
      </c>
      <c r="K57" s="68">
        <f t="shared" si="8"/>
        <v>0</v>
      </c>
      <c r="L57" s="68">
        <f t="shared" si="8"/>
        <v>0</v>
      </c>
      <c r="M57" s="87">
        <f t="shared" si="8"/>
        <v>9187.5</v>
      </c>
      <c r="N57" s="87">
        <f t="shared" si="8"/>
        <v>0</v>
      </c>
      <c r="O57" s="87">
        <f t="shared" si="8"/>
        <v>9187.4999999998836</v>
      </c>
      <c r="P57" s="262"/>
      <c r="Q57" s="261"/>
      <c r="R57" s="260"/>
      <c r="S57" s="261"/>
      <c r="T57" s="286" t="str">
        <f t="shared" si="2"/>
        <v/>
      </c>
      <c r="U57" s="286" t="str">
        <f t="shared" si="3"/>
        <v/>
      </c>
      <c r="V57" s="400">
        <f>+V55+V56</f>
        <v>-484512.50000000012</v>
      </c>
      <c r="W57" s="286" t="str">
        <f t="shared" si="4"/>
        <v/>
      </c>
      <c r="X57" s="286" t="str">
        <f t="shared" si="5"/>
        <v/>
      </c>
      <c r="Y57" s="57"/>
      <c r="Z57" s="422"/>
      <c r="AA57" s="261"/>
    </row>
    <row r="58" spans="1:30" ht="8.1" customHeight="1" x14ac:dyDescent="0.2">
      <c r="B58" s="57"/>
      <c r="C58" s="58"/>
      <c r="D58" s="57"/>
      <c r="E58" s="58"/>
      <c r="F58" s="51"/>
      <c r="G58" s="57"/>
      <c r="H58" s="58"/>
      <c r="I58" s="58"/>
      <c r="J58" s="60"/>
      <c r="K58" s="68"/>
      <c r="L58" s="106"/>
      <c r="M58" s="87"/>
      <c r="N58" s="87"/>
      <c r="O58" s="87"/>
      <c r="P58" s="262"/>
      <c r="Q58" s="261"/>
      <c r="R58" s="260"/>
      <c r="S58" s="261"/>
      <c r="T58" s="286" t="str">
        <f t="shared" si="2"/>
        <v/>
      </c>
      <c r="U58" s="286" t="str">
        <f t="shared" si="3"/>
        <v/>
      </c>
      <c r="V58" s="400"/>
      <c r="W58" s="286" t="str">
        <f t="shared" si="4"/>
        <v/>
      </c>
      <c r="X58" s="286" t="str">
        <f t="shared" si="5"/>
        <v/>
      </c>
      <c r="Y58" s="57"/>
      <c r="Z58" s="422"/>
      <c r="AA58" s="261"/>
    </row>
    <row r="59" spans="1:30" x14ac:dyDescent="0.2">
      <c r="A59" s="277"/>
      <c r="B59" s="185" t="s">
        <v>25</v>
      </c>
      <c r="C59" s="187" t="s">
        <v>31</v>
      </c>
      <c r="D59" s="185" t="s">
        <v>199</v>
      </c>
      <c r="E59" s="185" t="s">
        <v>64</v>
      </c>
      <c r="F59" s="51" t="s">
        <v>132</v>
      </c>
      <c r="G59" s="188">
        <v>36957</v>
      </c>
      <c r="H59" s="167">
        <v>5.05</v>
      </c>
      <c r="I59" s="167">
        <f>(SUM('QV8401.1'!G9:G20)+SUM('QV8401.1'!H9:H20))/12</f>
        <v>3.9688750000000002</v>
      </c>
      <c r="J59" s="189">
        <f>+H59-I59</f>
        <v>1.0811249999999997</v>
      </c>
      <c r="K59" s="190">
        <f>-'QV8401.1'!F22</f>
        <v>1825000</v>
      </c>
      <c r="L59" s="191">
        <f>+K59/365</f>
        <v>5000</v>
      </c>
      <c r="M59" s="192">
        <f>-'QV8401.1'!I22</f>
        <v>1975845</v>
      </c>
      <c r="N59" s="192">
        <f>-'QV8401.1'!J22</f>
        <v>0</v>
      </c>
      <c r="O59" s="192">
        <f>-'QV8401.1'!K22</f>
        <v>1975845</v>
      </c>
      <c r="P59" s="265"/>
      <c r="Q59" s="266">
        <f>-O59</f>
        <v>-1975845</v>
      </c>
      <c r="R59" s="267">
        <f>+[2]Summary!$Q$59</f>
        <v>-503014.99999999977</v>
      </c>
      <c r="S59" s="266">
        <f>+Q59-R59</f>
        <v>-1472830.0000000002</v>
      </c>
      <c r="T59" s="286" t="str">
        <f t="shared" si="2"/>
        <v/>
      </c>
      <c r="U59" s="286">
        <f t="shared" si="3"/>
        <v>-1472830.0000000002</v>
      </c>
      <c r="V59" s="244">
        <f>-'QV8401.1'!L22</f>
        <v>733260</v>
      </c>
      <c r="W59" s="286" t="str">
        <f t="shared" si="4"/>
        <v/>
      </c>
      <c r="X59" s="286">
        <f t="shared" si="5"/>
        <v>-733260</v>
      </c>
      <c r="Y59" s="185" t="s">
        <v>25</v>
      </c>
      <c r="Z59" s="426">
        <f>+Q59+Q68+Q69+Q73+Q74</f>
        <v>1698359.9999999991</v>
      </c>
      <c r="AA59" s="423"/>
    </row>
    <row r="60" spans="1:30" x14ac:dyDescent="0.2">
      <c r="A60" s="277"/>
      <c r="B60" s="57" t="s">
        <v>25</v>
      </c>
      <c r="C60" s="262" t="s">
        <v>201</v>
      </c>
      <c r="D60" s="57">
        <v>22948</v>
      </c>
      <c r="E60" s="185" t="s">
        <v>137</v>
      </c>
      <c r="F60" s="51" t="s">
        <v>132</v>
      </c>
      <c r="G60" s="57"/>
      <c r="H60" s="205">
        <f>(SUM('QV8401.1'!G26:G37)+SUM('QV8401.1'!H26:H37))/12</f>
        <v>3.9809583333333336</v>
      </c>
      <c r="I60" s="205">
        <v>5.05</v>
      </c>
      <c r="J60" s="205">
        <f>+H60-I60</f>
        <v>-1.0690416666666662</v>
      </c>
      <c r="K60" s="77">
        <f>-'QV8401.1'!F39</f>
        <v>-1825000</v>
      </c>
      <c r="L60" s="77">
        <f>+K60/365</f>
        <v>-5000</v>
      </c>
      <c r="M60" s="72">
        <f>-'QV8401.1'!I39</f>
        <v>-1953820</v>
      </c>
      <c r="N60" s="73">
        <f>-'QV8401.1'!J39</f>
        <v>0</v>
      </c>
      <c r="O60" s="73">
        <f>-'QV8401.1'!K39</f>
        <v>-1953820</v>
      </c>
      <c r="P60" s="262"/>
      <c r="Q60" s="266"/>
      <c r="R60" s="260"/>
      <c r="S60" s="261"/>
      <c r="T60" s="286" t="str">
        <f t="shared" si="2"/>
        <v/>
      </c>
      <c r="U60" s="286">
        <f t="shared" si="3"/>
        <v>0</v>
      </c>
      <c r="V60" s="401"/>
      <c r="W60" s="286" t="str">
        <f t="shared" si="4"/>
        <v/>
      </c>
      <c r="X60" s="286">
        <f t="shared" si="5"/>
        <v>0</v>
      </c>
      <c r="Y60" s="57" t="s">
        <v>25</v>
      </c>
      <c r="Z60" s="422"/>
      <c r="AA60" s="266"/>
      <c r="AD60" s="143">
        <f>SUM(Q34:Q59)</f>
        <v>128055.00000000047</v>
      </c>
    </row>
    <row r="61" spans="1:30" x14ac:dyDescent="0.2">
      <c r="B61" s="57"/>
      <c r="C61" s="58"/>
      <c r="D61" s="57"/>
      <c r="E61" s="58"/>
      <c r="F61" s="51"/>
      <c r="G61" s="57"/>
      <c r="H61" s="58"/>
      <c r="I61" s="58"/>
      <c r="J61" s="60">
        <f t="shared" ref="J61:O61" si="9">+J59+J60</f>
        <v>1.2083333333333446E-2</v>
      </c>
      <c r="K61" s="68">
        <f t="shared" si="9"/>
        <v>0</v>
      </c>
      <c r="L61" s="68">
        <f t="shared" si="9"/>
        <v>0</v>
      </c>
      <c r="M61" s="87">
        <f t="shared" si="9"/>
        <v>22025</v>
      </c>
      <c r="N61" s="87">
        <f t="shared" si="9"/>
        <v>0</v>
      </c>
      <c r="O61" s="87">
        <f t="shared" si="9"/>
        <v>22025</v>
      </c>
      <c r="P61" s="262"/>
      <c r="Q61" s="266"/>
      <c r="R61" s="260"/>
      <c r="S61" s="261"/>
      <c r="T61" s="286" t="str">
        <f t="shared" si="2"/>
        <v/>
      </c>
      <c r="U61" s="286" t="str">
        <f t="shared" si="3"/>
        <v/>
      </c>
      <c r="V61" s="400">
        <f>+V59+V60</f>
        <v>733260</v>
      </c>
      <c r="W61" s="286" t="str">
        <f t="shared" si="4"/>
        <v/>
      </c>
      <c r="X61" s="286" t="str">
        <f t="shared" si="5"/>
        <v/>
      </c>
      <c r="Y61" s="57"/>
      <c r="Z61" s="426">
        <f>+Z59+Q121+Q122+Q123+Q124</f>
        <v>1570609.9999999991</v>
      </c>
      <c r="AA61" s="266"/>
    </row>
    <row r="62" spans="1:30" ht="8.1" customHeight="1" x14ac:dyDescent="0.2">
      <c r="B62" s="57"/>
      <c r="C62" s="58"/>
      <c r="D62" s="57"/>
      <c r="E62" s="58"/>
      <c r="F62" s="51"/>
      <c r="G62" s="57"/>
      <c r="H62" s="58"/>
      <c r="I62" s="58"/>
      <c r="J62" s="60"/>
      <c r="K62" s="68"/>
      <c r="L62" s="106"/>
      <c r="M62" s="87"/>
      <c r="N62" s="87"/>
      <c r="O62" s="87"/>
      <c r="P62" s="262"/>
      <c r="Q62" s="261"/>
      <c r="R62" s="260"/>
      <c r="S62" s="261"/>
      <c r="T62" s="286" t="str">
        <f t="shared" si="2"/>
        <v/>
      </c>
      <c r="U62" s="286" t="str">
        <f t="shared" si="3"/>
        <v/>
      </c>
      <c r="V62" s="400"/>
      <c r="W62" s="286" t="str">
        <f t="shared" si="4"/>
        <v/>
      </c>
      <c r="X62" s="286" t="str">
        <f t="shared" si="5"/>
        <v/>
      </c>
      <c r="Y62" s="57"/>
      <c r="Z62" s="422"/>
      <c r="AA62" s="261"/>
    </row>
    <row r="63" spans="1:30" x14ac:dyDescent="0.2">
      <c r="B63" s="185" t="s">
        <v>25</v>
      </c>
      <c r="C63" s="187" t="s">
        <v>94</v>
      </c>
      <c r="D63" s="57" t="s">
        <v>170</v>
      </c>
      <c r="E63" s="185" t="s">
        <v>64</v>
      </c>
      <c r="F63" s="431" t="s">
        <v>172</v>
      </c>
      <c r="G63" s="122">
        <v>36902</v>
      </c>
      <c r="H63" s="53">
        <f>+'QL5363.1'!D10</f>
        <v>4.1630000000000003</v>
      </c>
      <c r="I63" s="53">
        <f>+'QL5363.1'!H10</f>
        <v>4.133</v>
      </c>
      <c r="J63" s="53">
        <f>+H63-I63</f>
        <v>3.0000000000000249E-2</v>
      </c>
      <c r="K63" s="76">
        <f>+'QL5363.1'!F15</f>
        <v>-418500</v>
      </c>
      <c r="L63" s="125">
        <f>+K63/31</f>
        <v>-13500</v>
      </c>
      <c r="M63" s="65">
        <f>-'QL5363.1'!I12</f>
        <v>-12555.000000000104</v>
      </c>
      <c r="N63" s="65">
        <f>-'QL5363.1'!J12</f>
        <v>0</v>
      </c>
      <c r="O63" s="65">
        <f>-'QL5363.1'!K12</f>
        <v>-12555.000000000104</v>
      </c>
      <c r="P63" s="265"/>
      <c r="Q63" s="266">
        <f>-O63</f>
        <v>12555.000000000104</v>
      </c>
      <c r="R63" s="267">
        <f>+[2]Summary!$Q73</f>
        <v>-22180.499999999975</v>
      </c>
      <c r="S63" s="266">
        <f>+Q63-R63</f>
        <v>34735.50000000008</v>
      </c>
      <c r="T63" s="286" t="str">
        <f t="shared" si="2"/>
        <v/>
      </c>
      <c r="U63" s="286">
        <f t="shared" si="3"/>
        <v>34735.50000000008</v>
      </c>
      <c r="V63" s="265">
        <f>-'QL5363.1'!L12</f>
        <v>-12555.000000000104</v>
      </c>
      <c r="W63" s="286" t="str">
        <f t="shared" si="4"/>
        <v/>
      </c>
      <c r="X63" s="286">
        <f t="shared" si="5"/>
        <v>12555.000000000104</v>
      </c>
      <c r="Y63" s="185" t="s">
        <v>25</v>
      </c>
      <c r="Z63" s="422"/>
      <c r="AA63" s="424"/>
      <c r="AD63" s="143">
        <f>SUM(Q63:Q84)</f>
        <v>-5100235.0000000019</v>
      </c>
    </row>
    <row r="64" spans="1:30" x14ac:dyDescent="0.2">
      <c r="B64" s="185" t="s">
        <v>25</v>
      </c>
      <c r="C64" s="187" t="s">
        <v>94</v>
      </c>
      <c r="D64" s="57" t="s">
        <v>171</v>
      </c>
      <c r="E64" s="185" t="s">
        <v>64</v>
      </c>
      <c r="F64" s="431" t="s">
        <v>172</v>
      </c>
      <c r="G64" s="217">
        <v>36902</v>
      </c>
      <c r="H64" s="61">
        <f>+'QL5365.1'!D10</f>
        <v>5.2730000000000006</v>
      </c>
      <c r="I64" s="61">
        <f>+'QL5365.1'!H10</f>
        <v>7.923</v>
      </c>
      <c r="J64" s="61">
        <f>+H64-I64</f>
        <v>-2.6499999999999995</v>
      </c>
      <c r="K64" s="76">
        <f>+'QL5365.1'!F15</f>
        <v>418500</v>
      </c>
      <c r="L64" s="125">
        <f>+K64/31</f>
        <v>13500</v>
      </c>
      <c r="M64" s="184">
        <f>-'QL5365.1'!I12</f>
        <v>-1109024.9999999998</v>
      </c>
      <c r="N64" s="184">
        <f>-'QL5365.1'!J12</f>
        <v>0</v>
      </c>
      <c r="O64" s="184">
        <f>-'QL5365.1'!K12</f>
        <v>-1109024.9999999998</v>
      </c>
      <c r="P64" s="265"/>
      <c r="Q64" s="266">
        <f>-O64</f>
        <v>1109024.9999999998</v>
      </c>
      <c r="R64" s="267">
        <f>+[2]Summary!$Q74</f>
        <v>2538202.5</v>
      </c>
      <c r="S64" s="266">
        <f>+Q64-R64</f>
        <v>-1429177.5000000002</v>
      </c>
      <c r="T64" s="286" t="str">
        <f t="shared" si="2"/>
        <v/>
      </c>
      <c r="U64" s="286">
        <f t="shared" si="3"/>
        <v>-1429177.5000000002</v>
      </c>
      <c r="V64" s="267">
        <f>-'QL5365.1'!L12</f>
        <v>-1109024.9999999998</v>
      </c>
      <c r="W64" s="286" t="str">
        <f t="shared" si="4"/>
        <v/>
      </c>
      <c r="X64" s="286">
        <f t="shared" si="5"/>
        <v>1109024.9999999998</v>
      </c>
      <c r="Y64" s="185" t="s">
        <v>25</v>
      </c>
      <c r="Z64" s="422"/>
      <c r="AA64" s="424"/>
    </row>
    <row r="65" spans="2:27" x14ac:dyDescent="0.2">
      <c r="B65" s="185" t="s">
        <v>25</v>
      </c>
      <c r="C65" s="187" t="s">
        <v>158</v>
      </c>
      <c r="D65" s="57">
        <v>27457</v>
      </c>
      <c r="E65" s="185" t="s">
        <v>138</v>
      </c>
      <c r="F65" s="431" t="s">
        <v>172</v>
      </c>
      <c r="G65" s="122">
        <v>36902</v>
      </c>
      <c r="H65" s="216"/>
      <c r="I65" s="216"/>
      <c r="J65" s="216"/>
      <c r="K65" s="197"/>
      <c r="L65" s="198"/>
      <c r="M65" s="199">
        <f>-M63-M64</f>
        <v>1121579.9999999998</v>
      </c>
      <c r="N65" s="199">
        <f>-N63-N64</f>
        <v>0</v>
      </c>
      <c r="O65" s="199">
        <f>-O63-O64</f>
        <v>1121579.9999999998</v>
      </c>
      <c r="P65" s="262"/>
      <c r="Q65" s="261"/>
      <c r="R65" s="260"/>
      <c r="S65" s="261"/>
      <c r="T65" s="286" t="str">
        <f t="shared" si="2"/>
        <v/>
      </c>
      <c r="U65" s="286">
        <f t="shared" si="3"/>
        <v>0</v>
      </c>
      <c r="V65" s="403"/>
      <c r="W65" s="286" t="str">
        <f t="shared" si="4"/>
        <v/>
      </c>
      <c r="X65" s="286">
        <f t="shared" si="5"/>
        <v>0</v>
      </c>
      <c r="Y65" s="185" t="s">
        <v>25</v>
      </c>
      <c r="Z65" s="422"/>
      <c r="AA65" s="261"/>
    </row>
    <row r="66" spans="2:27" x14ac:dyDescent="0.2">
      <c r="B66" s="185"/>
      <c r="C66" s="187"/>
      <c r="D66" s="57"/>
      <c r="E66" s="185"/>
      <c r="F66" s="51"/>
      <c r="G66" s="122"/>
      <c r="H66" s="58"/>
      <c r="I66" s="58"/>
      <c r="J66" s="60"/>
      <c r="K66" s="76"/>
      <c r="L66" s="125"/>
      <c r="M66" s="65">
        <f>SUM(M63:M65)</f>
        <v>0</v>
      </c>
      <c r="N66" s="65">
        <f>SUM(N63:N65)</f>
        <v>0</v>
      </c>
      <c r="O66" s="65">
        <f>SUM(O63:O65)</f>
        <v>0</v>
      </c>
      <c r="P66" s="262"/>
      <c r="Q66" s="261"/>
      <c r="R66" s="260"/>
      <c r="S66" s="261"/>
      <c r="T66" s="286" t="str">
        <f t="shared" si="2"/>
        <v/>
      </c>
      <c r="U66" s="286" t="str">
        <f t="shared" si="3"/>
        <v/>
      </c>
      <c r="V66" s="265">
        <f>SUM(V63:V65)</f>
        <v>-1121579.9999999998</v>
      </c>
      <c r="W66" s="286" t="str">
        <f t="shared" si="4"/>
        <v/>
      </c>
      <c r="X66" s="286" t="str">
        <f t="shared" si="5"/>
        <v/>
      </c>
      <c r="Y66" s="185"/>
      <c r="Z66" s="422"/>
      <c r="AA66" s="261"/>
    </row>
    <row r="67" spans="2:27" ht="8.1" customHeight="1" x14ac:dyDescent="0.2">
      <c r="B67" s="185"/>
      <c r="C67" s="58"/>
      <c r="D67" s="57"/>
      <c r="E67" s="58"/>
      <c r="F67" s="51"/>
      <c r="G67" s="57"/>
      <c r="H67" s="58"/>
      <c r="I67" s="58"/>
      <c r="J67" s="60"/>
      <c r="K67" s="68"/>
      <c r="L67" s="106"/>
      <c r="M67" s="87"/>
      <c r="N67" s="87"/>
      <c r="O67" s="87"/>
      <c r="P67" s="262"/>
      <c r="Q67" s="261"/>
      <c r="R67" s="260"/>
      <c r="S67" s="261"/>
      <c r="T67" s="286" t="str">
        <f t="shared" si="2"/>
        <v/>
      </c>
      <c r="U67" s="286" t="str">
        <f t="shared" si="3"/>
        <v/>
      </c>
      <c r="V67" s="400"/>
      <c r="W67" s="286" t="str">
        <f t="shared" si="4"/>
        <v/>
      </c>
      <c r="X67" s="286" t="str">
        <f t="shared" si="5"/>
        <v/>
      </c>
      <c r="Y67" s="185"/>
      <c r="Z67" s="422"/>
      <c r="AA67" s="261"/>
    </row>
    <row r="68" spans="2:27" x14ac:dyDescent="0.2">
      <c r="B68" s="185" t="s">
        <v>25</v>
      </c>
      <c r="C68" s="187" t="s">
        <v>94</v>
      </c>
      <c r="D68" s="185" t="s">
        <v>131</v>
      </c>
      <c r="E68" s="185" t="s">
        <v>64</v>
      </c>
      <c r="F68" s="51" t="s">
        <v>132</v>
      </c>
      <c r="G68" s="188">
        <v>36903</v>
      </c>
      <c r="H68" s="167">
        <f>SUM('QL2915.1'!D10:D21)/12</f>
        <v>3.7061666666666664</v>
      </c>
      <c r="I68" s="167">
        <f>SUM('QL2915.1'!H10:H21)/12</f>
        <v>3.6628333333333329</v>
      </c>
      <c r="J68" s="189">
        <f>+H68-I68</f>
        <v>4.3333333333333446E-2</v>
      </c>
      <c r="K68" s="190">
        <f>-'QL2915.1'!F22</f>
        <v>-10037500</v>
      </c>
      <c r="L68" s="191">
        <f>+K68/365</f>
        <v>-27500</v>
      </c>
      <c r="M68" s="192">
        <f>-'QL2915.1'!I25</f>
        <v>-438899.99999999953</v>
      </c>
      <c r="N68" s="192">
        <f>-'QL2915.1'!J25</f>
        <v>0</v>
      </c>
      <c r="O68" s="192">
        <f>-'QL2915.1'!K25</f>
        <v>-438899.99999999953</v>
      </c>
      <c r="P68" s="265"/>
      <c r="Q68" s="266">
        <f>-O68</f>
        <v>438899.99999999953</v>
      </c>
      <c r="R68" s="267">
        <f>+[2]Summary!$Q78</f>
        <v>-1498969.9999999979</v>
      </c>
      <c r="S68" s="266">
        <f>+Q68-R68</f>
        <v>1937869.9999999974</v>
      </c>
      <c r="T68" s="286" t="str">
        <f t="shared" si="2"/>
        <v/>
      </c>
      <c r="U68" s="286">
        <f t="shared" si="3"/>
        <v>1937869.9999999974</v>
      </c>
      <c r="V68" s="244">
        <f>-'QL2915.1'!L25</f>
        <v>-110275.00000000023</v>
      </c>
      <c r="W68" s="286" t="str">
        <f t="shared" si="4"/>
        <v/>
      </c>
      <c r="X68" s="286">
        <f t="shared" si="5"/>
        <v>110275.00000000023</v>
      </c>
      <c r="Y68" s="185" t="s">
        <v>25</v>
      </c>
      <c r="Z68" s="422"/>
      <c r="AA68" s="423"/>
    </row>
    <row r="69" spans="2:27" x14ac:dyDescent="0.2">
      <c r="B69" s="185" t="s">
        <v>25</v>
      </c>
      <c r="C69" s="187" t="s">
        <v>94</v>
      </c>
      <c r="D69" s="185" t="s">
        <v>133</v>
      </c>
      <c r="E69" s="185" t="s">
        <v>64</v>
      </c>
      <c r="F69" s="51" t="s">
        <v>132</v>
      </c>
      <c r="G69" s="188">
        <v>36903</v>
      </c>
      <c r="H69" s="167">
        <f>SUM('QL2918.1'!D10:D21)/12</f>
        <v>5.0261666666666667</v>
      </c>
      <c r="I69" s="193">
        <f>SUM('QL2918.1'!H10:H21)/12</f>
        <v>5.33575</v>
      </c>
      <c r="J69" s="194">
        <f>+H69-I69</f>
        <v>-0.30958333333333332</v>
      </c>
      <c r="K69" s="195">
        <f>-'QL2918.1'!F25</f>
        <v>-10037500</v>
      </c>
      <c r="L69" s="195">
        <f>+K69/365</f>
        <v>-27500</v>
      </c>
      <c r="M69" s="196">
        <f>-'QL2918.1'!I25</f>
        <v>-3012349.9999999991</v>
      </c>
      <c r="N69" s="192">
        <f>-'QL2918.1'!J25</f>
        <v>0</v>
      </c>
      <c r="O69" s="196">
        <f>-'QL2918.1'!K25</f>
        <v>-3012349.9999999991</v>
      </c>
      <c r="P69" s="265"/>
      <c r="Q69" s="266">
        <f>-O69</f>
        <v>3012349.9999999991</v>
      </c>
      <c r="R69" s="267">
        <f>+[2]Summary!$Q79</f>
        <v>21839262.5</v>
      </c>
      <c r="S69" s="266">
        <f>+Q69-R69</f>
        <v>-18826912.5</v>
      </c>
      <c r="T69" s="286" t="str">
        <f t="shared" si="2"/>
        <v/>
      </c>
      <c r="U69" s="286">
        <f t="shared" si="3"/>
        <v>-18826912.5</v>
      </c>
      <c r="V69" s="404">
        <f>-'QL2918.1'!L25</f>
        <v>-3337537.4999999995</v>
      </c>
      <c r="W69" s="286" t="str">
        <f t="shared" si="4"/>
        <v/>
      </c>
      <c r="X69" s="286">
        <f t="shared" si="5"/>
        <v>3337537.4999999995</v>
      </c>
      <c r="Y69" s="185" t="s">
        <v>25</v>
      </c>
      <c r="Z69" s="422"/>
      <c r="AA69" s="423"/>
    </row>
    <row r="70" spans="2:27" x14ac:dyDescent="0.2">
      <c r="B70" s="185" t="s">
        <v>25</v>
      </c>
      <c r="C70" s="187" t="s">
        <v>111</v>
      </c>
      <c r="D70" s="185">
        <v>27454</v>
      </c>
      <c r="E70" s="185" t="s">
        <v>138</v>
      </c>
      <c r="F70" s="51" t="s">
        <v>132</v>
      </c>
      <c r="G70" s="188">
        <v>36901</v>
      </c>
      <c r="H70" s="204"/>
      <c r="I70" s="204"/>
      <c r="J70" s="216"/>
      <c r="K70" s="197"/>
      <c r="L70" s="198"/>
      <c r="M70" s="199">
        <f>+N70+O70</f>
        <v>3451249.9999999986</v>
      </c>
      <c r="N70" s="199">
        <v>0</v>
      </c>
      <c r="O70" s="199">
        <f>-O68-O69</f>
        <v>3451249.9999999986</v>
      </c>
      <c r="P70" s="262"/>
      <c r="Q70" s="261"/>
      <c r="R70" s="260"/>
      <c r="S70" s="261"/>
      <c r="T70" s="286" t="str">
        <f t="shared" si="2"/>
        <v/>
      </c>
      <c r="U70" s="286">
        <f t="shared" si="3"/>
        <v>0</v>
      </c>
      <c r="V70" s="403"/>
      <c r="W70" s="286" t="str">
        <f t="shared" si="4"/>
        <v/>
      </c>
      <c r="X70" s="286">
        <f t="shared" si="5"/>
        <v>0</v>
      </c>
      <c r="Y70" s="185" t="s">
        <v>25</v>
      </c>
      <c r="Z70" s="422"/>
      <c r="AA70" s="427"/>
    </row>
    <row r="71" spans="2:27" x14ac:dyDescent="0.2">
      <c r="B71" s="185"/>
      <c r="C71" s="187"/>
      <c r="D71" s="185"/>
      <c r="E71" s="187"/>
      <c r="F71" s="51"/>
      <c r="G71" s="185"/>
      <c r="H71" s="187"/>
      <c r="I71" s="187"/>
      <c r="J71" s="189"/>
      <c r="K71" s="200"/>
      <c r="L71" s="201"/>
      <c r="M71" s="282">
        <f>+M68+M69+M70</f>
        <v>0</v>
      </c>
      <c r="N71" s="282">
        <f>+N68+N69+N70</f>
        <v>0</v>
      </c>
      <c r="O71" s="282">
        <f>+O68+O69+O70</f>
        <v>0</v>
      </c>
      <c r="P71" s="262"/>
      <c r="Q71" s="261"/>
      <c r="R71" s="260"/>
      <c r="S71" s="261"/>
      <c r="T71" s="286" t="str">
        <f t="shared" si="2"/>
        <v/>
      </c>
      <c r="U71" s="286" t="str">
        <f t="shared" si="3"/>
        <v/>
      </c>
      <c r="V71" s="405">
        <f>+V68+V69+V70</f>
        <v>-3447812.5</v>
      </c>
      <c r="W71" s="286" t="str">
        <f t="shared" si="4"/>
        <v/>
      </c>
      <c r="X71" s="286" t="str">
        <f t="shared" si="5"/>
        <v/>
      </c>
      <c r="Y71" s="185"/>
      <c r="Z71" s="422"/>
      <c r="AA71" s="427"/>
    </row>
    <row r="72" spans="2:27" ht="8.1" customHeight="1" x14ac:dyDescent="0.2">
      <c r="B72" s="185"/>
      <c r="C72" s="187"/>
      <c r="D72" s="185"/>
      <c r="E72" s="187"/>
      <c r="F72" s="51"/>
      <c r="G72" s="185"/>
      <c r="H72" s="187"/>
      <c r="I72" s="187"/>
      <c r="J72" s="189"/>
      <c r="K72" s="200"/>
      <c r="L72" s="201"/>
      <c r="M72" s="282"/>
      <c r="N72" s="282"/>
      <c r="O72" s="282"/>
      <c r="P72" s="262"/>
      <c r="Q72" s="261"/>
      <c r="R72" s="260"/>
      <c r="S72" s="261"/>
      <c r="T72" s="286" t="str">
        <f t="shared" si="2"/>
        <v/>
      </c>
      <c r="U72" s="286" t="str">
        <f t="shared" si="3"/>
        <v/>
      </c>
      <c r="V72" s="405"/>
      <c r="W72" s="286" t="str">
        <f t="shared" si="4"/>
        <v/>
      </c>
      <c r="X72" s="286" t="str">
        <f t="shared" si="5"/>
        <v/>
      </c>
      <c r="Y72" s="185"/>
      <c r="Z72" s="422"/>
      <c r="AA72" s="427"/>
    </row>
    <row r="73" spans="2:27" x14ac:dyDescent="0.2">
      <c r="B73" s="185" t="s">
        <v>25</v>
      </c>
      <c r="C73" s="187" t="s">
        <v>94</v>
      </c>
      <c r="D73" s="185" t="s">
        <v>176</v>
      </c>
      <c r="E73" s="185" t="s">
        <v>64</v>
      </c>
      <c r="F73" s="51" t="s">
        <v>180</v>
      </c>
      <c r="G73" s="188">
        <v>36907</v>
      </c>
      <c r="H73" s="167">
        <f>SUM('QL5424.1'!D10:D11)/2</f>
        <v>4.8989999999999991</v>
      </c>
      <c r="I73" s="167">
        <f>SUM('QL5424.1'!H10:H11)/2</f>
        <v>5.0289999999999999</v>
      </c>
      <c r="J73" s="167">
        <f>+H73-I73</f>
        <v>-0.13000000000000078</v>
      </c>
      <c r="K73" s="190">
        <f>+'QL5424.1'!F16</f>
        <v>1311500</v>
      </c>
      <c r="L73" s="191">
        <f>+K73/61</f>
        <v>21500</v>
      </c>
      <c r="M73" s="192">
        <f>-'QL5424.1'!I16</f>
        <v>-170495.00000000044</v>
      </c>
      <c r="N73" s="192">
        <f>-'QL5424.1'!J16</f>
        <v>0</v>
      </c>
      <c r="O73" s="192">
        <f>-'QL5424.1'!K16</f>
        <v>-170495.00000000044</v>
      </c>
      <c r="P73" s="265"/>
      <c r="Q73" s="266">
        <f>-O73</f>
        <v>170495.00000000044</v>
      </c>
      <c r="R73" s="267">
        <f>+[2]Summary!$Q83</f>
        <v>1311500</v>
      </c>
      <c r="S73" s="266">
        <f>+Q73-R73</f>
        <v>-1141004.9999999995</v>
      </c>
      <c r="T73" s="286" t="str">
        <f t="shared" si="2"/>
        <v/>
      </c>
      <c r="U73" s="286">
        <f t="shared" si="3"/>
        <v>-1141004.9999999995</v>
      </c>
      <c r="V73" s="244">
        <f>-'QL5424.1'!L16</f>
        <v>0</v>
      </c>
      <c r="W73" s="286" t="str">
        <f t="shared" si="4"/>
        <v/>
      </c>
      <c r="X73" s="286">
        <f t="shared" si="5"/>
        <v>0</v>
      </c>
      <c r="Y73" s="185" t="s">
        <v>25</v>
      </c>
      <c r="Z73" s="422"/>
      <c r="AA73" s="423"/>
    </row>
    <row r="74" spans="2:27" x14ac:dyDescent="0.2">
      <c r="B74" s="185" t="s">
        <v>25</v>
      </c>
      <c r="C74" s="187" t="s">
        <v>94</v>
      </c>
      <c r="D74" s="185" t="s">
        <v>177</v>
      </c>
      <c r="E74" s="185" t="s">
        <v>64</v>
      </c>
      <c r="F74" s="51" t="s">
        <v>180</v>
      </c>
      <c r="G74" s="188">
        <v>36907</v>
      </c>
      <c r="H74" s="167">
        <f>SUM('QL5424.1'!D10:D11)/2</f>
        <v>4.8989999999999991</v>
      </c>
      <c r="I74" s="167">
        <f>SUM('QL5444.1'!H10:H11)/2</f>
        <v>3.859</v>
      </c>
      <c r="J74" s="167">
        <f>+H74-I74</f>
        <v>1.0399999999999991</v>
      </c>
      <c r="K74" s="190">
        <f>+'QL5444.1'!F16</f>
        <v>-1311500</v>
      </c>
      <c r="L74" s="191">
        <f>+K74/61</f>
        <v>-21500</v>
      </c>
      <c r="M74" s="192">
        <f>-'QL5444.1'!I16</f>
        <v>-52460.000000000044</v>
      </c>
      <c r="N74" s="192">
        <f>-'QL5444.1'!J16</f>
        <v>0</v>
      </c>
      <c r="O74" s="192">
        <f>-'QL5444.1'!K16</f>
        <v>-52460.000000000044</v>
      </c>
      <c r="P74" s="265"/>
      <c r="Q74" s="266">
        <f>-O74</f>
        <v>52460.000000000044</v>
      </c>
      <c r="R74" s="267">
        <f>+[2]Summary!$Q84</f>
        <v>-36722.000000000611</v>
      </c>
      <c r="S74" s="266">
        <f>+Q74-R74</f>
        <v>89182.000000000655</v>
      </c>
      <c r="T74" s="286" t="str">
        <f t="shared" si="2"/>
        <v/>
      </c>
      <c r="U74" s="286">
        <f t="shared" si="3"/>
        <v>89182.000000000655</v>
      </c>
      <c r="V74" s="244">
        <f>-'QL5444.1'!L16</f>
        <v>0</v>
      </c>
      <c r="W74" s="286" t="str">
        <f t="shared" si="4"/>
        <v/>
      </c>
      <c r="X74" s="286">
        <f t="shared" si="5"/>
        <v>0</v>
      </c>
      <c r="Y74" s="185" t="s">
        <v>25</v>
      </c>
      <c r="Z74" s="422"/>
      <c r="AA74" s="423"/>
    </row>
    <row r="75" spans="2:27" x14ac:dyDescent="0.2">
      <c r="B75" s="185" t="s">
        <v>25</v>
      </c>
      <c r="C75" s="187" t="s">
        <v>158</v>
      </c>
      <c r="D75" s="185">
        <v>27456</v>
      </c>
      <c r="E75" s="185" t="s">
        <v>138</v>
      </c>
      <c r="F75" s="51" t="s">
        <v>180</v>
      </c>
      <c r="G75" s="188">
        <v>36902</v>
      </c>
      <c r="H75" s="204"/>
      <c r="I75" s="204"/>
      <c r="J75" s="204"/>
      <c r="K75" s="197"/>
      <c r="L75" s="198"/>
      <c r="M75" s="199">
        <f>-M73-M74</f>
        <v>222955.00000000047</v>
      </c>
      <c r="N75" s="199">
        <f>-N73-N74</f>
        <v>0</v>
      </c>
      <c r="O75" s="199">
        <f>-O73-O74</f>
        <v>222955.00000000047</v>
      </c>
      <c r="P75" s="262"/>
      <c r="Q75" s="261"/>
      <c r="R75" s="260"/>
      <c r="S75" s="261"/>
      <c r="T75" s="286" t="str">
        <f t="shared" si="2"/>
        <v/>
      </c>
      <c r="U75" s="286">
        <f t="shared" si="3"/>
        <v>0</v>
      </c>
      <c r="V75" s="403"/>
      <c r="W75" s="286" t="str">
        <f t="shared" si="4"/>
        <v/>
      </c>
      <c r="X75" s="286">
        <f t="shared" si="5"/>
        <v>0</v>
      </c>
      <c r="Y75" s="185" t="s">
        <v>25</v>
      </c>
      <c r="Z75" s="422"/>
      <c r="AA75" s="427"/>
    </row>
    <row r="76" spans="2:27" x14ac:dyDescent="0.2">
      <c r="B76" s="185"/>
      <c r="C76" s="187"/>
      <c r="D76" s="185"/>
      <c r="E76" s="187"/>
      <c r="F76" s="51"/>
      <c r="G76" s="185"/>
      <c r="H76" s="167"/>
      <c r="I76" s="167"/>
      <c r="J76" s="167"/>
      <c r="K76" s="190"/>
      <c r="L76" s="191"/>
      <c r="M76" s="192">
        <f>SUM(M73:M75)</f>
        <v>0</v>
      </c>
      <c r="N76" s="192">
        <f>SUM(N73:N75)</f>
        <v>0</v>
      </c>
      <c r="O76" s="192">
        <f>SUM(O73:O75)</f>
        <v>0</v>
      </c>
      <c r="P76" s="262"/>
      <c r="Q76" s="261"/>
      <c r="R76" s="260"/>
      <c r="S76" s="261"/>
      <c r="T76" s="286" t="str">
        <f t="shared" si="2"/>
        <v/>
      </c>
      <c r="U76" s="286" t="str">
        <f t="shared" si="3"/>
        <v/>
      </c>
      <c r="V76" s="244">
        <f>SUM(V73:V75)</f>
        <v>0</v>
      </c>
      <c r="W76" s="286" t="str">
        <f t="shared" si="4"/>
        <v/>
      </c>
      <c r="X76" s="286" t="str">
        <f t="shared" si="5"/>
        <v/>
      </c>
      <c r="Y76" s="185"/>
      <c r="Z76" s="422"/>
      <c r="AA76" s="261"/>
    </row>
    <row r="77" spans="2:27" ht="8.1" customHeight="1" x14ac:dyDescent="0.2">
      <c r="B77" s="185"/>
      <c r="C77" s="187"/>
      <c r="D77" s="185"/>
      <c r="E77" s="187"/>
      <c r="F77" s="51"/>
      <c r="G77" s="185"/>
      <c r="H77" s="187"/>
      <c r="I77" s="187"/>
      <c r="J77" s="189"/>
      <c r="K77" s="200"/>
      <c r="L77" s="201"/>
      <c r="M77" s="282"/>
      <c r="N77" s="282"/>
      <c r="O77" s="282"/>
      <c r="P77" s="262"/>
      <c r="Q77" s="261"/>
      <c r="R77" s="260"/>
      <c r="S77" s="261"/>
      <c r="T77" s="286" t="str">
        <f t="shared" si="2"/>
        <v/>
      </c>
      <c r="U77" s="286" t="str">
        <f t="shared" si="3"/>
        <v/>
      </c>
      <c r="V77" s="405"/>
      <c r="W77" s="286" t="str">
        <f t="shared" si="4"/>
        <v/>
      </c>
      <c r="X77" s="286" t="str">
        <f t="shared" si="5"/>
        <v/>
      </c>
      <c r="Y77" s="185"/>
      <c r="Z77" s="422"/>
      <c r="AA77" s="261"/>
    </row>
    <row r="78" spans="2:27" x14ac:dyDescent="0.2">
      <c r="B78" s="185" t="s">
        <v>25</v>
      </c>
      <c r="C78" s="187" t="s">
        <v>94</v>
      </c>
      <c r="D78" s="185" t="s">
        <v>156</v>
      </c>
      <c r="E78" s="185" t="s">
        <v>64</v>
      </c>
      <c r="F78" s="51" t="s">
        <v>159</v>
      </c>
      <c r="G78" s="188">
        <v>36907</v>
      </c>
      <c r="H78" s="167">
        <f>SUM('QL5357.1'!D10:D21)/12</f>
        <v>4.8715000000000002</v>
      </c>
      <c r="I78" s="167">
        <f>SUM('QL5357.1'!H10:H21)/12</f>
        <v>4.3398333333333339</v>
      </c>
      <c r="J78" s="189">
        <f>+H78-I78</f>
        <v>0.53166666666666629</v>
      </c>
      <c r="K78" s="190">
        <f>'QL5357.1'!F25</f>
        <v>13687500</v>
      </c>
      <c r="L78" s="191">
        <f>+K78/365</f>
        <v>37500</v>
      </c>
      <c r="M78" s="192">
        <f>-'QL5357.1'!I22</f>
        <v>7294499.9999999991</v>
      </c>
      <c r="N78" s="192">
        <f>-'QL5357.1'!J22</f>
        <v>0</v>
      </c>
      <c r="O78" s="192">
        <f>-'QL5357.1'!K22</f>
        <v>7294499.9999999991</v>
      </c>
      <c r="P78" s="265"/>
      <c r="Q78" s="266">
        <f>-O78</f>
        <v>-7294499.9999999991</v>
      </c>
      <c r="R78" s="267">
        <f>+[2]Summary!$Q88</f>
        <v>2744999.9999999963</v>
      </c>
      <c r="S78" s="266">
        <f>+Q78-R78</f>
        <v>-10039499.999999996</v>
      </c>
      <c r="T78" s="286" t="str">
        <f t="shared" si="2"/>
        <v/>
      </c>
      <c r="U78" s="286">
        <f t="shared" si="3"/>
        <v>-10039499.999999996</v>
      </c>
      <c r="V78" s="244">
        <f>-'QL5357.1'!L22</f>
        <v>0</v>
      </c>
      <c r="W78" s="286" t="str">
        <f t="shared" si="4"/>
        <v/>
      </c>
      <c r="X78" s="286">
        <f t="shared" si="5"/>
        <v>0</v>
      </c>
      <c r="Y78" s="185" t="s">
        <v>25</v>
      </c>
      <c r="Z78" s="428">
        <f>+Q78+Q79+Q83+Q84</f>
        <v>-9896020</v>
      </c>
      <c r="AA78" s="429"/>
    </row>
    <row r="79" spans="2:27" x14ac:dyDescent="0.2">
      <c r="B79" s="185" t="s">
        <v>25</v>
      </c>
      <c r="C79" s="187" t="s">
        <v>94</v>
      </c>
      <c r="D79" s="185" t="s">
        <v>157</v>
      </c>
      <c r="E79" s="185" t="s">
        <v>64</v>
      </c>
      <c r="F79" s="51" t="s">
        <v>159</v>
      </c>
      <c r="G79" s="188">
        <v>36907</v>
      </c>
      <c r="H79" s="167">
        <f>SUM('QL5358.1'!D10:D21)/12</f>
        <v>3.6915000000000009</v>
      </c>
      <c r="I79" s="167">
        <f>SUM('QL5358.1'!H10:H21)/12</f>
        <v>3.6835833333333334</v>
      </c>
      <c r="J79" s="189">
        <f>+H79-I79</f>
        <v>7.9166666666674601E-3</v>
      </c>
      <c r="K79" s="190">
        <f>+'QL5358.1'!F25</f>
        <v>-13687500</v>
      </c>
      <c r="L79" s="191">
        <f>+K79/365</f>
        <v>-37500</v>
      </c>
      <c r="M79" s="192">
        <f>-'QL5358.1'!I22</f>
        <v>-106499.99999999924</v>
      </c>
      <c r="N79" s="192">
        <f>-'QL5358.1'!J22</f>
        <v>0</v>
      </c>
      <c r="O79" s="192">
        <f>-'QL5358.1'!K22</f>
        <v>-106499.99999999924</v>
      </c>
      <c r="P79" s="265"/>
      <c r="Q79" s="266">
        <f>-O79</f>
        <v>106499.99999999924</v>
      </c>
      <c r="R79" s="267">
        <f>+[2]Summary!$Q89</f>
        <v>-181612.49999999965</v>
      </c>
      <c r="S79" s="266">
        <f>+Q79-R79</f>
        <v>288112.49999999889</v>
      </c>
      <c r="T79" s="286" t="str">
        <f t="shared" si="2"/>
        <v/>
      </c>
      <c r="U79" s="286">
        <f t="shared" si="3"/>
        <v>288112.49999999889</v>
      </c>
      <c r="V79" s="244">
        <f>-'QL5358.1'!L22</f>
        <v>0</v>
      </c>
      <c r="W79" s="286" t="str">
        <f t="shared" si="4"/>
        <v/>
      </c>
      <c r="X79" s="286">
        <f t="shared" si="5"/>
        <v>0</v>
      </c>
      <c r="Y79" s="185" t="s">
        <v>25</v>
      </c>
      <c r="Z79" s="422"/>
      <c r="AA79" s="429"/>
    </row>
    <row r="80" spans="2:27" x14ac:dyDescent="0.2">
      <c r="B80" s="185" t="s">
        <v>25</v>
      </c>
      <c r="C80" s="187" t="s">
        <v>158</v>
      </c>
      <c r="D80" s="185">
        <v>27453</v>
      </c>
      <c r="E80" s="185" t="s">
        <v>138</v>
      </c>
      <c r="F80" s="51" t="s">
        <v>159</v>
      </c>
      <c r="G80" s="188">
        <v>36902</v>
      </c>
      <c r="H80" s="211"/>
      <c r="I80" s="211"/>
      <c r="J80" s="212"/>
      <c r="K80" s="213"/>
      <c r="L80" s="214"/>
      <c r="M80" s="199">
        <f>-M78-M79</f>
        <v>-7188000</v>
      </c>
      <c r="N80" s="199">
        <f>-N78-N79</f>
        <v>0</v>
      </c>
      <c r="O80" s="199">
        <f>-O78-O79</f>
        <v>-7188000</v>
      </c>
      <c r="P80" s="262"/>
      <c r="Q80" s="261"/>
      <c r="R80" s="260"/>
      <c r="S80" s="261"/>
      <c r="T80" s="286" t="str">
        <f t="shared" si="2"/>
        <v/>
      </c>
      <c r="U80" s="286">
        <f t="shared" si="3"/>
        <v>0</v>
      </c>
      <c r="V80" s="403"/>
      <c r="W80" s="286" t="str">
        <f t="shared" si="4"/>
        <v/>
      </c>
      <c r="X80" s="286">
        <f t="shared" si="5"/>
        <v>0</v>
      </c>
      <c r="Y80" s="185" t="s">
        <v>25</v>
      </c>
      <c r="Z80" s="422"/>
      <c r="AA80" s="430"/>
    </row>
    <row r="81" spans="2:27" x14ac:dyDescent="0.2">
      <c r="B81" s="185"/>
      <c r="C81" s="187"/>
      <c r="D81" s="185"/>
      <c r="E81" s="187"/>
      <c r="F81" s="51"/>
      <c r="G81" s="185"/>
      <c r="H81" s="209"/>
      <c r="I81" s="209"/>
      <c r="J81" s="210"/>
      <c r="K81" s="200">
        <f>+K80+K79+K78</f>
        <v>0</v>
      </c>
      <c r="L81" s="200">
        <f>+L80+L79+L78</f>
        <v>0</v>
      </c>
      <c r="M81" s="282">
        <f>+M80+M79+M78</f>
        <v>0</v>
      </c>
      <c r="N81" s="282">
        <f>+N80+N79+N78</f>
        <v>0</v>
      </c>
      <c r="O81" s="282">
        <f>+O80+O79+O78</f>
        <v>0</v>
      </c>
      <c r="P81" s="262"/>
      <c r="Q81" s="261"/>
      <c r="R81" s="260"/>
      <c r="S81" s="261"/>
      <c r="T81" s="286" t="str">
        <f t="shared" si="2"/>
        <v/>
      </c>
      <c r="U81" s="286" t="str">
        <f t="shared" si="3"/>
        <v/>
      </c>
      <c r="V81" s="405">
        <f>+V80+V79+V78</f>
        <v>0</v>
      </c>
      <c r="W81" s="286" t="str">
        <f t="shared" si="4"/>
        <v/>
      </c>
      <c r="X81" s="286" t="str">
        <f t="shared" si="5"/>
        <v/>
      </c>
      <c r="Y81" s="185"/>
      <c r="Z81" s="422"/>
      <c r="AA81" s="430"/>
    </row>
    <row r="82" spans="2:27" x14ac:dyDescent="0.2">
      <c r="B82" s="185"/>
      <c r="C82" s="187"/>
      <c r="D82" s="185"/>
      <c r="E82" s="185"/>
      <c r="F82" s="51"/>
      <c r="G82" s="188"/>
      <c r="H82" s="167"/>
      <c r="I82" s="167"/>
      <c r="J82" s="189"/>
      <c r="K82" s="190"/>
      <c r="L82" s="191"/>
      <c r="M82" s="192"/>
      <c r="N82" s="192"/>
      <c r="O82" s="192"/>
      <c r="P82" s="265"/>
      <c r="Q82" s="266"/>
      <c r="R82" s="267"/>
      <c r="S82" s="266"/>
      <c r="T82" s="286" t="str">
        <f t="shared" si="2"/>
        <v/>
      </c>
      <c r="U82" s="286" t="str">
        <f t="shared" si="3"/>
        <v/>
      </c>
      <c r="V82" s="244"/>
      <c r="W82" s="286" t="str">
        <f t="shared" si="4"/>
        <v/>
      </c>
      <c r="X82" s="286" t="str">
        <f t="shared" si="5"/>
        <v/>
      </c>
      <c r="Y82" s="185"/>
      <c r="Z82" s="422"/>
      <c r="AA82" s="429"/>
    </row>
    <row r="83" spans="2:27" x14ac:dyDescent="0.2">
      <c r="B83" s="185" t="s">
        <v>25</v>
      </c>
      <c r="C83" s="187" t="s">
        <v>94</v>
      </c>
      <c r="D83" s="185" t="s">
        <v>164</v>
      </c>
      <c r="E83" s="185" t="s">
        <v>64</v>
      </c>
      <c r="F83" s="51" t="s">
        <v>159</v>
      </c>
      <c r="G83" s="188">
        <v>36908</v>
      </c>
      <c r="H83" s="167">
        <f>SUM('QL9270.1'!D10:D21)/12</f>
        <v>5.0015000000000009</v>
      </c>
      <c r="I83" s="167">
        <f>SUM('QL9270.1'!H10:H21)/12</f>
        <v>4.3398333333333339</v>
      </c>
      <c r="J83" s="189">
        <f>+H83-I83</f>
        <v>0.66166666666666707</v>
      </c>
      <c r="K83" s="190">
        <f>+'QL9270.1'!F22</f>
        <v>4197500</v>
      </c>
      <c r="L83" s="191">
        <f>+K83/365</f>
        <v>11500</v>
      </c>
      <c r="M83" s="192">
        <f>-'QL9270.1'!I22</f>
        <v>2782654.9999999991</v>
      </c>
      <c r="N83" s="192">
        <f>-'QL9270.1'!J22</f>
        <v>0</v>
      </c>
      <c r="O83" s="192">
        <f>-'QL9270.1'!K22</f>
        <v>2782654.9999999991</v>
      </c>
      <c r="P83" s="265"/>
      <c r="Q83" s="266">
        <f>-O83</f>
        <v>-2782654.9999999991</v>
      </c>
      <c r="R83" s="267">
        <f>+[2]Summary!$Q93</f>
        <v>296124.99999999901</v>
      </c>
      <c r="S83" s="266">
        <f>+Q83-R83</f>
        <v>-3078779.9999999981</v>
      </c>
      <c r="T83" s="286" t="str">
        <f t="shared" si="2"/>
        <v/>
      </c>
      <c r="U83" s="286">
        <f t="shared" si="3"/>
        <v>-3078779.9999999981</v>
      </c>
      <c r="V83" s="244">
        <f>-'QL9270.1'!L22</f>
        <v>0</v>
      </c>
      <c r="W83" s="286" t="str">
        <f t="shared" si="4"/>
        <v/>
      </c>
      <c r="X83" s="286">
        <f t="shared" si="5"/>
        <v>0</v>
      </c>
      <c r="Y83" s="185" t="s">
        <v>25</v>
      </c>
      <c r="Z83" s="422"/>
      <c r="AA83" s="429"/>
    </row>
    <row r="84" spans="2:27" x14ac:dyDescent="0.2">
      <c r="B84" s="185" t="s">
        <v>25</v>
      </c>
      <c r="C84" s="187" t="s">
        <v>94</v>
      </c>
      <c r="D84" s="185" t="s">
        <v>165</v>
      </c>
      <c r="E84" s="185" t="s">
        <v>64</v>
      </c>
      <c r="F84" s="51" t="s">
        <v>159</v>
      </c>
      <c r="G84" s="188">
        <v>36908</v>
      </c>
      <c r="H84" s="167">
        <f>SUM('QL9273.1'!D10:D21)/12</f>
        <v>3.7014999999999998</v>
      </c>
      <c r="I84" s="167">
        <f>SUM('QL9273.1'!H11:H21)/12</f>
        <v>3.351583333333334</v>
      </c>
      <c r="J84" s="189">
        <f>+H84-I84</f>
        <v>0.34991666666666577</v>
      </c>
      <c r="K84" s="190">
        <f>+'QL9273.1'!F22</f>
        <v>-4197500</v>
      </c>
      <c r="L84" s="191">
        <f>+K84/365</f>
        <v>-11500</v>
      </c>
      <c r="M84" s="192">
        <f>-'QL9273.1'!I22</f>
        <v>-74634.999999999171</v>
      </c>
      <c r="N84" s="192">
        <f>-'QL9273.1'!J22</f>
        <v>0</v>
      </c>
      <c r="O84" s="192">
        <f>-'QL9273.1'!K22</f>
        <v>-74634.999999999171</v>
      </c>
      <c r="P84" s="265"/>
      <c r="Q84" s="266">
        <f>-O84</f>
        <v>74634.999999999171</v>
      </c>
      <c r="R84" s="267">
        <f>+[2]Summary!$Q94</f>
        <v>-13719.499999999392</v>
      </c>
      <c r="S84" s="266">
        <f>+Q84-R84</f>
        <v>88354.499999998559</v>
      </c>
      <c r="T84" s="286" t="str">
        <f t="shared" si="2"/>
        <v/>
      </c>
      <c r="U84" s="286">
        <f t="shared" si="3"/>
        <v>88354.499999998559</v>
      </c>
      <c r="V84" s="244">
        <f>-'QL9273.1'!L22</f>
        <v>0</v>
      </c>
      <c r="W84" s="286" t="str">
        <f t="shared" si="4"/>
        <v/>
      </c>
      <c r="X84" s="286">
        <f t="shared" si="5"/>
        <v>0</v>
      </c>
      <c r="Y84" s="185" t="s">
        <v>25</v>
      </c>
      <c r="Z84" s="422"/>
      <c r="AA84" s="429"/>
    </row>
    <row r="85" spans="2:27" x14ac:dyDescent="0.2">
      <c r="B85" s="185" t="s">
        <v>25</v>
      </c>
      <c r="C85" s="187" t="s">
        <v>163</v>
      </c>
      <c r="D85" s="185">
        <v>27458</v>
      </c>
      <c r="E85" s="185" t="s">
        <v>138</v>
      </c>
      <c r="F85" s="51" t="s">
        <v>159</v>
      </c>
      <c r="G85" s="188">
        <v>36902</v>
      </c>
      <c r="H85" s="211"/>
      <c r="I85" s="211"/>
      <c r="J85" s="212"/>
      <c r="K85" s="213"/>
      <c r="L85" s="215"/>
      <c r="M85" s="199">
        <f>-M83-M84</f>
        <v>-2708020</v>
      </c>
      <c r="N85" s="199">
        <f>-N83-N84</f>
        <v>0</v>
      </c>
      <c r="O85" s="199">
        <f>-O83-O84</f>
        <v>-2708020</v>
      </c>
      <c r="P85" s="262"/>
      <c r="Q85" s="266"/>
      <c r="R85" s="260"/>
      <c r="S85" s="261"/>
      <c r="T85" s="286" t="str">
        <f t="shared" si="2"/>
        <v/>
      </c>
      <c r="U85" s="286">
        <f t="shared" si="3"/>
        <v>0</v>
      </c>
      <c r="V85" s="403"/>
      <c r="W85" s="286" t="str">
        <f t="shared" si="4"/>
        <v/>
      </c>
      <c r="X85" s="286">
        <f t="shared" si="5"/>
        <v>0</v>
      </c>
      <c r="Y85" s="185" t="s">
        <v>25</v>
      </c>
      <c r="Z85" s="422"/>
      <c r="AA85" s="266"/>
    </row>
    <row r="86" spans="2:27" x14ac:dyDescent="0.2">
      <c r="B86" s="185"/>
      <c r="C86" s="187"/>
      <c r="D86" s="185"/>
      <c r="E86" s="187"/>
      <c r="F86" s="421"/>
      <c r="G86" s="185"/>
      <c r="H86" s="209"/>
      <c r="I86" s="209"/>
      <c r="J86" s="210"/>
      <c r="K86" s="200"/>
      <c r="L86" s="201"/>
      <c r="M86" s="282">
        <f>SUM(M83:M85)</f>
        <v>0</v>
      </c>
      <c r="N86" s="282">
        <f>SUM(N83:N85)</f>
        <v>0</v>
      </c>
      <c r="O86" s="282">
        <f>SUM(O83:O85)</f>
        <v>0</v>
      </c>
      <c r="P86" s="262"/>
      <c r="Q86" s="266"/>
      <c r="R86" s="260"/>
      <c r="S86" s="261"/>
      <c r="T86" s="286" t="str">
        <f t="shared" si="2"/>
        <v/>
      </c>
      <c r="U86" s="286" t="str">
        <f t="shared" si="3"/>
        <v/>
      </c>
      <c r="V86" s="405">
        <f>SUM(V83:V85)</f>
        <v>0</v>
      </c>
      <c r="W86" s="286" t="str">
        <f t="shared" si="4"/>
        <v/>
      </c>
      <c r="X86" s="286" t="str">
        <f t="shared" si="5"/>
        <v/>
      </c>
      <c r="Y86" s="185"/>
      <c r="Z86" s="422"/>
    </row>
    <row r="87" spans="2:27" ht="8.1" customHeight="1" x14ac:dyDescent="0.2">
      <c r="B87" s="185"/>
      <c r="C87" s="187"/>
      <c r="D87" s="185"/>
      <c r="E87" s="187"/>
      <c r="F87" s="51"/>
      <c r="G87" s="185"/>
      <c r="H87" s="187"/>
      <c r="I87" s="187"/>
      <c r="J87" s="189"/>
      <c r="K87" s="200"/>
      <c r="L87" s="201"/>
      <c r="M87" s="282"/>
      <c r="N87" s="282"/>
      <c r="O87" s="282"/>
      <c r="P87" s="262"/>
      <c r="Q87" s="266"/>
      <c r="R87" s="260"/>
      <c r="S87" s="261"/>
      <c r="T87" s="286" t="str">
        <f t="shared" si="2"/>
        <v/>
      </c>
      <c r="U87" s="286" t="str">
        <f t="shared" si="3"/>
        <v/>
      </c>
      <c r="V87" s="405"/>
      <c r="W87" s="286" t="str">
        <f t="shared" si="4"/>
        <v/>
      </c>
      <c r="X87" s="286" t="str">
        <f t="shared" si="5"/>
        <v/>
      </c>
      <c r="Y87" s="185"/>
      <c r="Z87" s="422"/>
    </row>
    <row r="88" spans="2:27" x14ac:dyDescent="0.2">
      <c r="B88" s="57"/>
      <c r="C88" s="57"/>
      <c r="D88" s="57"/>
      <c r="E88" s="57"/>
      <c r="F88" s="51"/>
      <c r="G88" s="122"/>
      <c r="H88" s="53"/>
      <c r="I88" s="53"/>
      <c r="J88" s="60"/>
      <c r="K88" s="76"/>
      <c r="L88" s="76"/>
      <c r="M88" s="65"/>
      <c r="N88" s="56"/>
      <c r="O88" s="56"/>
      <c r="P88" s="265"/>
      <c r="Q88" s="266"/>
      <c r="R88" s="267"/>
      <c r="S88" s="266"/>
      <c r="T88" s="286" t="str">
        <f t="shared" si="2"/>
        <v/>
      </c>
      <c r="U88" s="286" t="str">
        <f t="shared" si="3"/>
        <v/>
      </c>
      <c r="V88" s="266"/>
      <c r="W88" s="286" t="str">
        <f t="shared" si="4"/>
        <v/>
      </c>
      <c r="X88" s="286" t="str">
        <f t="shared" si="5"/>
        <v/>
      </c>
      <c r="Y88" s="57"/>
      <c r="Z88" s="422"/>
    </row>
    <row r="89" spans="2:27" x14ac:dyDescent="0.2">
      <c r="B89" s="185"/>
      <c r="C89" s="187"/>
      <c r="D89" s="185"/>
      <c r="E89" s="187"/>
      <c r="F89" s="187"/>
      <c r="G89" s="185"/>
      <c r="H89" s="209"/>
      <c r="I89" s="209"/>
      <c r="J89" s="210"/>
      <c r="K89" s="200"/>
      <c r="L89" s="201"/>
      <c r="M89" s="282"/>
      <c r="N89" s="282"/>
      <c r="O89" s="282"/>
      <c r="P89" s="262"/>
      <c r="Q89" s="266"/>
      <c r="R89" s="260"/>
      <c r="S89" s="261"/>
      <c r="T89" s="286"/>
      <c r="U89" s="286"/>
      <c r="V89" s="405"/>
      <c r="W89" s="286"/>
      <c r="X89" s="286"/>
      <c r="Y89" s="185"/>
      <c r="Z89" s="422"/>
    </row>
    <row r="90" spans="2:27" ht="8.1" customHeight="1" x14ac:dyDescent="0.2">
      <c r="B90" s="185"/>
      <c r="C90" s="187"/>
      <c r="D90" s="185"/>
      <c r="E90" s="187"/>
      <c r="F90" s="187"/>
      <c r="G90" s="185"/>
      <c r="H90" s="187"/>
      <c r="I90" s="187"/>
      <c r="J90" s="189"/>
      <c r="K90" s="200"/>
      <c r="L90" s="201"/>
      <c r="M90" s="282"/>
      <c r="N90" s="282"/>
      <c r="O90" s="282"/>
      <c r="P90" s="262"/>
      <c r="Q90" s="266"/>
      <c r="R90" s="260"/>
      <c r="S90" s="261"/>
      <c r="T90" s="286"/>
      <c r="U90" s="286"/>
      <c r="V90" s="405"/>
      <c r="W90" s="286"/>
      <c r="X90" s="286"/>
      <c r="Y90" s="57"/>
    </row>
    <row r="91" spans="2:27" ht="12" thickBot="1" x14ac:dyDescent="0.25">
      <c r="B91" s="57"/>
      <c r="C91" s="57"/>
      <c r="D91" s="57"/>
      <c r="E91" s="57"/>
      <c r="F91" s="57"/>
      <c r="G91" s="57"/>
      <c r="H91" s="111"/>
      <c r="I91" s="58"/>
      <c r="J91" s="58"/>
      <c r="K91" s="406">
        <f>+K86+K81+K45+K76+K71+K66+K57+K53+K49+K88+K61</f>
        <v>0</v>
      </c>
      <c r="L91" s="406">
        <f>+L86+L81+L45+L76+L71+L66+L57+L53+L49+L88+L61</f>
        <v>0</v>
      </c>
      <c r="M91" s="406">
        <f>+M86+M81+M45+M76+M71+M66+M57+M53+M49+M88+M61</f>
        <v>49587.5</v>
      </c>
      <c r="N91" s="406">
        <f>+N86+N81+N45+N76+N71+N66+N57+N53+N49+N88+N61</f>
        <v>0</v>
      </c>
      <c r="O91" s="406">
        <f>+O86+O81+O45+O76+O71+O66+O57+O53+O49+O88+O61</f>
        <v>58774.999999999593</v>
      </c>
      <c r="P91" s="279">
        <f>SUM(P43:P90)</f>
        <v>0</v>
      </c>
      <c r="Q91" s="279">
        <f>SUM(Q43:Q90)</f>
        <v>-4972180.0000000009</v>
      </c>
      <c r="R91" s="279">
        <f>SUM(R43:R90)</f>
        <v>36081435.5</v>
      </c>
      <c r="S91" s="268">
        <f>+Q91-R91</f>
        <v>-41053615.5</v>
      </c>
      <c r="T91" s="279">
        <f>SUM(T43:T90)</f>
        <v>0</v>
      </c>
      <c r="U91" s="279">
        <f>SUM(U43:U90)</f>
        <v>-41053615.5</v>
      </c>
      <c r="V91" s="441">
        <f>+V86+V81+V45+V76+V71+V66+V57+V53+V49+V88+V61</f>
        <v>-5940032.5</v>
      </c>
      <c r="W91" s="279">
        <f>SUM(W34:W58)</f>
        <v>0</v>
      </c>
      <c r="X91" s="279">
        <f>SUM(X43:X90)</f>
        <v>5940032.5</v>
      </c>
      <c r="Y91" s="80"/>
    </row>
    <row r="92" spans="2:27" ht="11.1" customHeight="1" thickTop="1" x14ac:dyDescent="0.2">
      <c r="B92" s="80"/>
      <c r="C92" s="81"/>
      <c r="D92" s="80"/>
      <c r="E92" s="81"/>
      <c r="F92" s="81"/>
      <c r="G92" s="80"/>
      <c r="H92" s="81"/>
      <c r="I92" s="81"/>
      <c r="J92" s="81"/>
      <c r="K92" s="81"/>
      <c r="L92" s="81"/>
      <c r="M92" s="81"/>
      <c r="N92" s="82"/>
      <c r="O92" s="113" t="s">
        <v>66</v>
      </c>
      <c r="V92" s="390"/>
    </row>
    <row r="93" spans="2:27" x14ac:dyDescent="0.2">
      <c r="B93" s="109"/>
      <c r="C93" s="110"/>
      <c r="D93" s="109"/>
      <c r="E93" s="110"/>
      <c r="F93" s="110"/>
      <c r="G93" s="109"/>
      <c r="H93" s="110"/>
      <c r="I93" s="110"/>
      <c r="J93" s="110"/>
      <c r="K93" s="110"/>
      <c r="L93" s="110"/>
      <c r="M93" s="110"/>
      <c r="N93" s="110"/>
      <c r="O93" s="118"/>
      <c r="P93" s="280" t="s">
        <v>178</v>
      </c>
      <c r="Q93" s="281">
        <f>+Q91+P91</f>
        <v>-4972180.0000000009</v>
      </c>
      <c r="V93" s="273"/>
    </row>
    <row r="94" spans="2:27" ht="9" customHeight="1" x14ac:dyDescent="0.2">
      <c r="B94" s="202" t="s">
        <v>99</v>
      </c>
      <c r="C94" s="110"/>
      <c r="D94" s="109"/>
      <c r="E94" s="110"/>
      <c r="F94" s="110"/>
      <c r="G94" s="109"/>
      <c r="H94" s="110"/>
      <c r="I94" s="110"/>
      <c r="J94" s="110"/>
      <c r="K94" s="110"/>
      <c r="L94" s="110"/>
      <c r="M94" s="110"/>
      <c r="N94" s="110"/>
      <c r="O94" s="118"/>
      <c r="V94" s="273"/>
    </row>
    <row r="95" spans="2:27" ht="9" customHeight="1" x14ac:dyDescent="0.2">
      <c r="B95" s="109"/>
      <c r="C95" s="110"/>
      <c r="D95" s="109"/>
      <c r="E95" s="110"/>
      <c r="F95" s="110"/>
      <c r="G95" s="109"/>
      <c r="H95" s="110"/>
      <c r="I95" s="110"/>
      <c r="J95" s="110"/>
      <c r="K95" s="110"/>
      <c r="L95" s="110"/>
      <c r="M95" s="110"/>
      <c r="N95" s="110"/>
      <c r="O95" s="118"/>
      <c r="V95" s="273"/>
    </row>
    <row r="96" spans="2:27" ht="9" customHeight="1" x14ac:dyDescent="0.2">
      <c r="B96" s="109"/>
      <c r="C96" s="110"/>
      <c r="D96" s="109"/>
      <c r="E96" s="110"/>
      <c r="F96" s="110"/>
      <c r="G96" s="109"/>
      <c r="H96" s="110"/>
      <c r="I96" s="110"/>
      <c r="J96" s="110"/>
      <c r="K96" s="110"/>
      <c r="L96" s="110"/>
      <c r="M96" s="110"/>
      <c r="N96" s="110"/>
      <c r="O96" s="118"/>
      <c r="V96" s="273"/>
    </row>
    <row r="97" spans="2:25" ht="9" customHeight="1" x14ac:dyDescent="0.2">
      <c r="B97" s="109"/>
      <c r="C97" s="110"/>
      <c r="D97" s="109"/>
      <c r="E97" s="110"/>
      <c r="F97" s="110"/>
      <c r="G97" s="109"/>
      <c r="H97" s="110"/>
      <c r="I97" s="110"/>
      <c r="J97" s="110"/>
      <c r="K97" s="110"/>
      <c r="L97" s="110"/>
      <c r="M97" s="110"/>
      <c r="N97" s="110"/>
      <c r="O97" s="118"/>
      <c r="V97" s="273"/>
    </row>
    <row r="98" spans="2:25" x14ac:dyDescent="0.2">
      <c r="B98" s="276" t="s">
        <v>76</v>
      </c>
      <c r="C98" s="252"/>
      <c r="D98" s="252"/>
      <c r="E98" s="252"/>
      <c r="F98" s="252"/>
      <c r="G98" s="252"/>
      <c r="H98" s="252"/>
      <c r="I98" s="252"/>
      <c r="J98" s="252"/>
      <c r="K98" s="252"/>
      <c r="L98" s="252"/>
      <c r="M98" s="252"/>
      <c r="N98" s="252"/>
      <c r="O98" s="252"/>
      <c r="P98" s="252"/>
      <c r="V98" s="252"/>
    </row>
    <row r="99" spans="2:25" ht="12.75" x14ac:dyDescent="0.2">
      <c r="B99" s="256" t="s">
        <v>1</v>
      </c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R99"/>
      <c r="S99"/>
      <c r="V99" s="46"/>
    </row>
    <row r="100" spans="2:25" ht="12.75" x14ac:dyDescent="0.2">
      <c r="B100" s="83"/>
      <c r="L100" s="110"/>
      <c r="P100" s="253"/>
      <c r="Q100" s="253"/>
      <c r="R100"/>
      <c r="S100"/>
      <c r="Y100" s="46"/>
    </row>
    <row r="101" spans="2:25" s="46" customFormat="1" ht="12.75" x14ac:dyDescent="0.2">
      <c r="B101" s="236" t="s">
        <v>2</v>
      </c>
      <c r="C101" s="218" t="s">
        <v>3</v>
      </c>
      <c r="D101" s="218" t="s">
        <v>3</v>
      </c>
      <c r="E101" s="218" t="s">
        <v>3</v>
      </c>
      <c r="F101" s="218" t="s">
        <v>4</v>
      </c>
      <c r="G101" s="218" t="s">
        <v>74</v>
      </c>
      <c r="H101" s="218" t="s">
        <v>3</v>
      </c>
      <c r="I101" s="218" t="s">
        <v>5</v>
      </c>
      <c r="J101" s="218" t="s">
        <v>6</v>
      </c>
      <c r="K101" s="218" t="s">
        <v>3</v>
      </c>
      <c r="L101" s="218" t="s">
        <v>15</v>
      </c>
      <c r="M101" s="224"/>
      <c r="N101" s="220"/>
      <c r="O101" s="220"/>
      <c r="P101" s="220"/>
      <c r="Q101" s="232"/>
      <c r="R101"/>
      <c r="S101"/>
      <c r="V101" s="220"/>
    </row>
    <row r="102" spans="2:25" s="46" customFormat="1" ht="12.75" x14ac:dyDescent="0.2">
      <c r="B102" s="237" t="s">
        <v>8</v>
      </c>
      <c r="C102" s="219" t="s">
        <v>8</v>
      </c>
      <c r="D102" s="219" t="s">
        <v>9</v>
      </c>
      <c r="E102" s="219" t="s">
        <v>10</v>
      </c>
      <c r="F102" s="219" t="s">
        <v>11</v>
      </c>
      <c r="G102" s="219" t="s">
        <v>43</v>
      </c>
      <c r="H102" s="219" t="s">
        <v>12</v>
      </c>
      <c r="I102" s="219" t="s">
        <v>13</v>
      </c>
      <c r="J102" s="219"/>
      <c r="K102" s="219" t="s">
        <v>14</v>
      </c>
      <c r="L102" s="219"/>
      <c r="M102" s="225" t="s">
        <v>60</v>
      </c>
      <c r="N102" s="221"/>
      <c r="O102" s="226"/>
      <c r="P102" s="233"/>
      <c r="Q102" s="230"/>
      <c r="R102"/>
      <c r="S102"/>
      <c r="V102" s="391"/>
    </row>
    <row r="103" spans="2:25" s="46" customFormat="1" ht="12.75" x14ac:dyDescent="0.2">
      <c r="B103" s="237"/>
      <c r="C103" s="219"/>
      <c r="D103" s="219"/>
      <c r="E103" s="219"/>
      <c r="F103" s="219"/>
      <c r="G103" s="219"/>
      <c r="H103" s="219"/>
      <c r="I103" s="219" t="s">
        <v>17</v>
      </c>
      <c r="J103" s="219"/>
      <c r="K103" s="219" t="s">
        <v>34</v>
      </c>
      <c r="L103" s="219"/>
      <c r="M103" s="227" t="s">
        <v>19</v>
      </c>
      <c r="N103" s="227" t="s">
        <v>41</v>
      </c>
      <c r="O103" s="227" t="s">
        <v>84</v>
      </c>
      <c r="P103" s="586" t="s">
        <v>198</v>
      </c>
      <c r="Q103" s="587"/>
      <c r="R103"/>
      <c r="S103"/>
      <c r="V103" s="394" t="s">
        <v>21</v>
      </c>
      <c r="W103" s="589" t="s">
        <v>212</v>
      </c>
      <c r="X103" s="590"/>
    </row>
    <row r="104" spans="2:25" s="46" customFormat="1" ht="12.75" x14ac:dyDescent="0.2">
      <c r="B104" s="234"/>
      <c r="C104" s="223"/>
      <c r="D104" s="223"/>
      <c r="E104" s="223"/>
      <c r="F104" s="223"/>
      <c r="G104" s="223"/>
      <c r="H104" s="223"/>
      <c r="I104" s="223" t="s">
        <v>22</v>
      </c>
      <c r="J104" s="223"/>
      <c r="K104" s="223" t="s">
        <v>35</v>
      </c>
      <c r="L104" s="228"/>
      <c r="M104" s="229" t="s">
        <v>68</v>
      </c>
      <c r="N104" s="229" t="s">
        <v>68</v>
      </c>
      <c r="O104" s="229" t="s">
        <v>68</v>
      </c>
      <c r="P104" s="221" t="s">
        <v>32</v>
      </c>
      <c r="Q104" s="231" t="s">
        <v>25</v>
      </c>
      <c r="R104"/>
      <c r="S104"/>
      <c r="V104" s="395" t="s">
        <v>210</v>
      </c>
      <c r="W104" s="584" t="s">
        <v>211</v>
      </c>
      <c r="X104" s="585"/>
      <c r="Y104" s="94"/>
    </row>
    <row r="105" spans="2:25" s="94" customFormat="1" ht="22.5" hidden="1" x14ac:dyDescent="0.2">
      <c r="B105" s="95" t="s">
        <v>32</v>
      </c>
      <c r="C105" s="95" t="s">
        <v>33</v>
      </c>
      <c r="D105" s="95">
        <v>25834</v>
      </c>
      <c r="E105" s="95" t="s">
        <v>27</v>
      </c>
      <c r="F105" s="96" t="s">
        <v>54</v>
      </c>
      <c r="G105" s="93"/>
      <c r="H105" s="97" t="s">
        <v>59</v>
      </c>
      <c r="I105" s="93"/>
      <c r="J105" s="93"/>
      <c r="K105" s="98">
        <f>-Elpaso_6!F15</f>
        <v>15000000</v>
      </c>
      <c r="L105" s="99"/>
      <c r="M105" s="100">
        <f>-Elpaso_6!I15</f>
        <v>-6992000.0000000056</v>
      </c>
      <c r="N105" s="101"/>
      <c r="O105" s="102">
        <f>+M105</f>
        <v>-6992000.0000000056</v>
      </c>
      <c r="P105" s="93"/>
      <c r="Q105" s="222"/>
      <c r="R105"/>
      <c r="S105"/>
      <c r="V105" s="100"/>
      <c r="W105" s="46" t="s">
        <v>32</v>
      </c>
      <c r="X105" s="46" t="s">
        <v>25</v>
      </c>
    </row>
    <row r="106" spans="2:25" s="94" customFormat="1" ht="12.75" x14ac:dyDescent="0.2">
      <c r="B106" s="49" t="s">
        <v>32</v>
      </c>
      <c r="C106" s="57" t="s">
        <v>61</v>
      </c>
      <c r="D106" s="95" t="s">
        <v>184</v>
      </c>
      <c r="E106" s="57" t="s">
        <v>64</v>
      </c>
      <c r="F106" s="96" t="s">
        <v>67</v>
      </c>
      <c r="G106" s="93"/>
      <c r="H106" s="103">
        <v>3.3</v>
      </c>
      <c r="I106" s="104">
        <f>SUM(Elpaso_6!G9:G13)+SUM(Elpaso_6!H9:H13)/5</f>
        <v>3.7602000000000002</v>
      </c>
      <c r="J106" s="104">
        <f>+H106-I106</f>
        <v>-0.46020000000000039</v>
      </c>
      <c r="K106" s="98">
        <v>15000000</v>
      </c>
      <c r="L106" s="98">
        <f>+K106/153</f>
        <v>98039.215686274503</v>
      </c>
      <c r="M106" s="100">
        <f>-Elpaso_6!I15</f>
        <v>-6992000.0000000056</v>
      </c>
      <c r="N106" s="100">
        <f>-Elpaso_6!J15</f>
        <v>0</v>
      </c>
      <c r="O106" s="102">
        <f>+M106</f>
        <v>-6992000.0000000056</v>
      </c>
      <c r="P106" s="243">
        <f>-O106</f>
        <v>6992000.0000000056</v>
      </c>
      <c r="Q106" s="275"/>
      <c r="R106"/>
      <c r="S106"/>
      <c r="V106" s="102">
        <f>+N106</f>
        <v>0</v>
      </c>
      <c r="W106" s="286">
        <f t="shared" ref="W106:W139" si="10">IF($Y106="NNG",-V106,"")</f>
        <v>0</v>
      </c>
      <c r="X106" s="286" t="str">
        <f t="shared" ref="X106:X139" si="11">IF(Y106="TW",-V106,"")</f>
        <v/>
      </c>
      <c r="Y106" s="49" t="s">
        <v>32</v>
      </c>
    </row>
    <row r="107" spans="2:25" s="94" customFormat="1" ht="12.75" x14ac:dyDescent="0.2">
      <c r="B107" s="57" t="s">
        <v>32</v>
      </c>
      <c r="C107" s="57" t="s">
        <v>33</v>
      </c>
      <c r="D107" s="95">
        <v>25834</v>
      </c>
      <c r="E107" s="57" t="s">
        <v>64</v>
      </c>
      <c r="F107" s="96" t="s">
        <v>67</v>
      </c>
      <c r="G107" s="93"/>
      <c r="H107" s="206">
        <v>2.3199999999999998</v>
      </c>
      <c r="I107" s="207">
        <f>SUM(Elpaso_6!G17:G21)+SUM(Elpaso_6!H17:H21)/5</f>
        <v>3.7602000000000002</v>
      </c>
      <c r="J107" s="207">
        <f>+H107-I107</f>
        <v>-1.4402000000000004</v>
      </c>
      <c r="K107" s="108">
        <v>-15000000</v>
      </c>
      <c r="L107" s="108">
        <f>+K107/153</f>
        <v>-98039.215686274503</v>
      </c>
      <c r="M107" s="107">
        <f>-Elpaso_6!I23</f>
        <v>21692000.000000007</v>
      </c>
      <c r="N107" s="107">
        <f>-Elpaso_6!J23</f>
        <v>0</v>
      </c>
      <c r="O107" s="107">
        <f>+M107</f>
        <v>21692000.000000007</v>
      </c>
      <c r="P107" s="244">
        <f>-O107</f>
        <v>-21692000.000000007</v>
      </c>
      <c r="Q107" s="185"/>
      <c r="R107"/>
      <c r="S107"/>
      <c r="V107" s="107">
        <f>+N107</f>
        <v>0</v>
      </c>
      <c r="W107" s="286">
        <f t="shared" si="10"/>
        <v>0</v>
      </c>
      <c r="X107" s="286" t="str">
        <f t="shared" si="11"/>
        <v/>
      </c>
      <c r="Y107" s="57" t="s">
        <v>32</v>
      </c>
    </row>
    <row r="108" spans="2:25" s="94" customFormat="1" ht="12.75" x14ac:dyDescent="0.2">
      <c r="B108" s="57"/>
      <c r="C108" s="57"/>
      <c r="D108" s="95"/>
      <c r="E108" s="95"/>
      <c r="F108" s="96"/>
      <c r="G108" s="93"/>
      <c r="H108" s="103"/>
      <c r="I108" s="104"/>
      <c r="J108" s="104"/>
      <c r="K108" s="98">
        <f>+K106+K107</f>
        <v>0</v>
      </c>
      <c r="L108" s="98">
        <f>+K108/153</f>
        <v>0</v>
      </c>
      <c r="M108" s="100">
        <f>+M107+M106</f>
        <v>14700000.000000002</v>
      </c>
      <c r="N108" s="100">
        <f>+N107+N106</f>
        <v>0</v>
      </c>
      <c r="O108" s="102">
        <f>+O107+O106</f>
        <v>14700000.000000002</v>
      </c>
      <c r="P108" s="245"/>
      <c r="Q108" s="185"/>
      <c r="R108"/>
      <c r="S108"/>
      <c r="V108" s="102">
        <f>+V107+V106</f>
        <v>0</v>
      </c>
      <c r="W108" s="286" t="str">
        <f t="shared" si="10"/>
        <v/>
      </c>
      <c r="X108" s="286" t="str">
        <f t="shared" si="11"/>
        <v/>
      </c>
      <c r="Y108" s="57"/>
    </row>
    <row r="109" spans="2:25" s="94" customFormat="1" ht="8.1" customHeight="1" x14ac:dyDescent="0.2">
      <c r="B109" s="57"/>
      <c r="C109" s="57"/>
      <c r="D109" s="95"/>
      <c r="E109" s="95"/>
      <c r="F109" s="96"/>
      <c r="G109" s="93"/>
      <c r="H109" s="103"/>
      <c r="I109" s="104"/>
      <c r="J109" s="104"/>
      <c r="K109" s="98"/>
      <c r="L109" s="98"/>
      <c r="M109" s="100"/>
      <c r="N109" s="101"/>
      <c r="O109" s="105"/>
      <c r="P109" s="245"/>
      <c r="Q109" s="185"/>
      <c r="R109"/>
      <c r="S109"/>
      <c r="V109" s="105"/>
      <c r="W109" s="286" t="str">
        <f t="shared" si="10"/>
        <v/>
      </c>
      <c r="X109" s="286" t="str">
        <f t="shared" si="11"/>
        <v/>
      </c>
      <c r="Y109" s="57"/>
    </row>
    <row r="110" spans="2:25" s="94" customFormat="1" ht="12.75" x14ac:dyDescent="0.2">
      <c r="B110" s="185" t="s">
        <v>32</v>
      </c>
      <c r="C110" s="185" t="s">
        <v>72</v>
      </c>
      <c r="D110" s="93"/>
      <c r="E110" s="185" t="s">
        <v>64</v>
      </c>
      <c r="F110" s="126" t="s">
        <v>79</v>
      </c>
      <c r="G110" s="93"/>
      <c r="H110" s="103">
        <v>0.94</v>
      </c>
      <c r="I110" s="103">
        <v>0.9</v>
      </c>
      <c r="J110" s="103">
        <v>0.04</v>
      </c>
      <c r="K110" s="98">
        <f>+[3]Summary!$F$36</f>
        <v>62401635.288479991</v>
      </c>
      <c r="L110" s="98">
        <f>+K110/730</f>
        <v>85481.692175999982</v>
      </c>
      <c r="M110" s="100">
        <f>-[3]Summary!$I$36</f>
        <v>1535955.7144932181</v>
      </c>
      <c r="N110" s="100">
        <f>-[3]Summary!$J$36</f>
        <v>449118.88581530692</v>
      </c>
      <c r="O110" s="102">
        <f>-[3]Summary!$K$36</f>
        <v>1086836.8286779115</v>
      </c>
      <c r="P110" s="244">
        <f>-O110</f>
        <v>-1086836.8286779115</v>
      </c>
      <c r="Q110" s="185"/>
      <c r="R110"/>
      <c r="S110"/>
      <c r="V110" s="102">
        <f>-[3]Summary!$K$36</f>
        <v>1086836.8286779115</v>
      </c>
      <c r="W110" s="286">
        <f t="shared" si="10"/>
        <v>-1086836.8286779115</v>
      </c>
      <c r="X110" s="286" t="str">
        <f t="shared" si="11"/>
        <v/>
      </c>
      <c r="Y110" s="185" t="s">
        <v>32</v>
      </c>
    </row>
    <row r="111" spans="2:25" s="94" customFormat="1" ht="12.75" x14ac:dyDescent="0.2">
      <c r="B111" s="57" t="s">
        <v>32</v>
      </c>
      <c r="C111" s="185" t="s">
        <v>72</v>
      </c>
      <c r="D111" s="126" t="s">
        <v>118</v>
      </c>
      <c r="E111" s="57" t="s">
        <v>64</v>
      </c>
      <c r="F111" s="126" t="s">
        <v>119</v>
      </c>
      <c r="G111" s="153">
        <v>36894</v>
      </c>
      <c r="H111" s="176">
        <f>SUM('SW17'!D6:D16)/11</f>
        <v>4.0078181818181822</v>
      </c>
      <c r="I111" s="176">
        <f>SUM('SW17'!G20:G30)/11</f>
        <v>3.0189090909090912</v>
      </c>
      <c r="J111" s="176">
        <f>+H111-I111</f>
        <v>0.98890909090909096</v>
      </c>
      <c r="K111" s="98">
        <f>+'SW17'!F35</f>
        <v>6680000</v>
      </c>
      <c r="L111" s="98">
        <f>+K111/334</f>
        <v>20000</v>
      </c>
      <c r="M111" s="102">
        <f>-'SW17'!I37</f>
        <v>11881480</v>
      </c>
      <c r="N111" s="102">
        <f>-'SW17'!J37</f>
        <v>2229540</v>
      </c>
      <c r="O111" s="102">
        <f>-'SW17'!K37</f>
        <v>9651940</v>
      </c>
      <c r="P111" s="244">
        <f>-O111</f>
        <v>-9651940</v>
      </c>
      <c r="Q111" s="185"/>
      <c r="R111"/>
      <c r="S111"/>
      <c r="V111" s="102">
        <f>-'SW17'!L37</f>
        <v>9651940</v>
      </c>
      <c r="W111" s="286">
        <f t="shared" si="10"/>
        <v>-9651940</v>
      </c>
      <c r="X111" s="286" t="str">
        <f t="shared" si="11"/>
        <v/>
      </c>
      <c r="Y111" s="57" t="s">
        <v>32</v>
      </c>
    </row>
    <row r="112" spans="2:25" s="94" customFormat="1" ht="12.75" x14ac:dyDescent="0.2">
      <c r="B112" s="57" t="s">
        <v>32</v>
      </c>
      <c r="C112" s="185" t="s">
        <v>72</v>
      </c>
      <c r="D112" s="126" t="s">
        <v>120</v>
      </c>
      <c r="E112" s="57" t="s">
        <v>64</v>
      </c>
      <c r="F112" s="126" t="s">
        <v>119</v>
      </c>
      <c r="G112" s="153">
        <v>36894</v>
      </c>
      <c r="H112" s="179">
        <f>SUM('SW18'!D6:D16)/11</f>
        <v>3.9454545454545458</v>
      </c>
      <c r="I112" s="179">
        <f>SUM('SW18'!G20:G30)/11</f>
        <v>3.0189090909090912</v>
      </c>
      <c r="J112" s="179">
        <f>+H112-I112</f>
        <v>0.92654545454545456</v>
      </c>
      <c r="K112" s="174">
        <f>+'SW18'!F35</f>
        <v>-6680000</v>
      </c>
      <c r="L112" s="108">
        <f>+K112/334</f>
        <v>-20000</v>
      </c>
      <c r="M112" s="107">
        <f>-'SW18'!I38</f>
        <v>-11226840</v>
      </c>
      <c r="N112" s="107">
        <f>-'SW18'!J38</f>
        <v>-1994340</v>
      </c>
      <c r="O112" s="107">
        <f>-'SW18'!K38</f>
        <v>-9232500</v>
      </c>
      <c r="P112" s="244">
        <f>-O112</f>
        <v>9232500</v>
      </c>
      <c r="Q112" s="185"/>
      <c r="R112"/>
      <c r="S112"/>
      <c r="V112" s="107">
        <f>-'SW18'!L38</f>
        <v>-9232500</v>
      </c>
      <c r="W112" s="286">
        <f t="shared" si="10"/>
        <v>9232500</v>
      </c>
      <c r="X112" s="286" t="str">
        <f t="shared" si="11"/>
        <v/>
      </c>
      <c r="Y112" s="57" t="s">
        <v>32</v>
      </c>
    </row>
    <row r="113" spans="1:25" s="94" customFormat="1" ht="12.75" x14ac:dyDescent="0.2">
      <c r="B113" s="57"/>
      <c r="C113" s="185"/>
      <c r="D113" s="93"/>
      <c r="E113" s="57"/>
      <c r="F113" s="126"/>
      <c r="G113" s="93"/>
      <c r="H113" s="176">
        <f>+H111-H112</f>
        <v>6.2363636363636399E-2</v>
      </c>
      <c r="I113" s="176">
        <f>+I111-I112</f>
        <v>0</v>
      </c>
      <c r="J113" s="176">
        <f>+J111-J112</f>
        <v>6.2363636363636399E-2</v>
      </c>
      <c r="K113" s="98">
        <f>SUM(K110:K112)</f>
        <v>62401635.288479984</v>
      </c>
      <c r="L113" s="98">
        <f>SUM(L110:L112)</f>
        <v>85481.692175999982</v>
      </c>
      <c r="M113" s="102">
        <f>SUM(M110:M112)</f>
        <v>2190595.7144932188</v>
      </c>
      <c r="N113" s="102">
        <f>SUM(N110:N112)</f>
        <v>684318.88581530703</v>
      </c>
      <c r="O113" s="102">
        <f>SUM(O110:O112)</f>
        <v>1506276.8286779113</v>
      </c>
      <c r="P113" s="245"/>
      <c r="Q113" s="246"/>
      <c r="R113"/>
      <c r="S113"/>
      <c r="V113" s="102">
        <f>SUM(V110:V112)</f>
        <v>1506276.8286779113</v>
      </c>
      <c r="W113" s="286" t="str">
        <f t="shared" si="10"/>
        <v/>
      </c>
      <c r="X113" s="286" t="str">
        <f t="shared" si="11"/>
        <v/>
      </c>
      <c r="Y113" s="57"/>
    </row>
    <row r="114" spans="1:25" s="94" customFormat="1" ht="8.1" customHeight="1" x14ac:dyDescent="0.2">
      <c r="B114" s="185"/>
      <c r="C114" s="185"/>
      <c r="D114" s="93"/>
      <c r="E114" s="185"/>
      <c r="F114" s="126"/>
      <c r="G114" s="93"/>
      <c r="H114" s="103"/>
      <c r="I114" s="103"/>
      <c r="J114" s="103"/>
      <c r="K114" s="98"/>
      <c r="L114" s="98"/>
      <c r="M114" s="102"/>
      <c r="N114" s="146"/>
      <c r="O114" s="146"/>
      <c r="P114" s="245"/>
      <c r="Q114" s="185"/>
      <c r="R114"/>
      <c r="S114"/>
      <c r="V114" s="146"/>
      <c r="W114" s="286" t="str">
        <f t="shared" si="10"/>
        <v/>
      </c>
      <c r="X114" s="286" t="str">
        <f t="shared" si="11"/>
        <v/>
      </c>
      <c r="Y114" s="185"/>
    </row>
    <row r="115" spans="1:25" s="94" customFormat="1" ht="12.75" x14ac:dyDescent="0.2">
      <c r="B115" s="185" t="s">
        <v>32</v>
      </c>
      <c r="C115" s="185" t="s">
        <v>31</v>
      </c>
      <c r="D115" s="126" t="s">
        <v>98</v>
      </c>
      <c r="E115" s="185" t="s">
        <v>64</v>
      </c>
      <c r="F115" s="126" t="s">
        <v>97</v>
      </c>
      <c r="G115" s="153">
        <v>36837</v>
      </c>
      <c r="H115" s="103"/>
      <c r="I115" s="103"/>
      <c r="J115" s="103"/>
      <c r="K115" s="98"/>
      <c r="L115" s="98"/>
      <c r="M115" s="102">
        <f>-'M337849'!H36</f>
        <v>8765.3237278669112</v>
      </c>
      <c r="N115" s="146">
        <f>-'M337849'!I36</f>
        <v>906.88929641427239</v>
      </c>
      <c r="O115" s="146">
        <f>-'M337849'!J36</f>
        <v>7858.4344314526388</v>
      </c>
      <c r="P115" s="244">
        <f>-O115</f>
        <v>-7858.4344314526388</v>
      </c>
      <c r="Q115" s="185"/>
      <c r="R115" s="21">
        <v>35720.32</v>
      </c>
      <c r="S115" s="412">
        <f>+R115-O115-1539</f>
        <v>26322.885568547361</v>
      </c>
      <c r="V115" s="146">
        <f>-'M337849'!K36</f>
        <v>3639.6239349558964</v>
      </c>
      <c r="W115" s="286">
        <f t="shared" si="10"/>
        <v>-3639.6239349558964</v>
      </c>
      <c r="X115" s="286" t="str">
        <f t="shared" si="11"/>
        <v/>
      </c>
      <c r="Y115" s="185" t="s">
        <v>32</v>
      </c>
    </row>
    <row r="116" spans="1:25" s="94" customFormat="1" ht="8.1" customHeight="1" x14ac:dyDescent="0.2">
      <c r="B116" s="57"/>
      <c r="C116" s="185"/>
      <c r="D116" s="93"/>
      <c r="E116" s="57"/>
      <c r="F116" s="126"/>
      <c r="G116" s="93"/>
      <c r="H116" s="103"/>
      <c r="I116" s="103"/>
      <c r="J116" s="103"/>
      <c r="K116" s="98"/>
      <c r="L116" s="98"/>
      <c r="M116" s="102"/>
      <c r="N116" s="146"/>
      <c r="O116" s="146"/>
      <c r="P116" s="244"/>
      <c r="Q116" s="185"/>
      <c r="R116"/>
      <c r="S116"/>
      <c r="V116" s="146"/>
      <c r="W116" s="286" t="str">
        <f t="shared" si="10"/>
        <v/>
      </c>
      <c r="X116" s="286" t="str">
        <f t="shared" si="11"/>
        <v/>
      </c>
      <c r="Y116" s="57"/>
    </row>
    <row r="117" spans="1:25" s="94" customFormat="1" ht="12.75" x14ac:dyDescent="0.2">
      <c r="B117" s="57" t="s">
        <v>32</v>
      </c>
      <c r="C117" s="185" t="s">
        <v>114</v>
      </c>
      <c r="D117" s="126">
        <v>12007624</v>
      </c>
      <c r="E117" s="57" t="s">
        <v>64</v>
      </c>
      <c r="F117" s="126" t="s">
        <v>113</v>
      </c>
      <c r="G117" s="153">
        <v>36901</v>
      </c>
      <c r="H117" s="176">
        <f>+'12007624'!D10</f>
        <v>3.87</v>
      </c>
      <c r="I117" s="176">
        <f>+'12007624'!G14</f>
        <v>3.74</v>
      </c>
      <c r="J117" s="176">
        <f>+H117-I117</f>
        <v>0.12999999999999989</v>
      </c>
      <c r="K117" s="98">
        <v>500000</v>
      </c>
      <c r="L117" s="98">
        <f>+K117/30</f>
        <v>16666.666666666668</v>
      </c>
      <c r="M117" s="102">
        <f>-'12007624'!I19</f>
        <v>65000</v>
      </c>
      <c r="N117" s="102">
        <f>-'12007624'!J19</f>
        <v>0</v>
      </c>
      <c r="O117" s="102">
        <f>-'12007624'!K19</f>
        <v>65000</v>
      </c>
      <c r="P117" s="244">
        <f>-O117</f>
        <v>-65000</v>
      </c>
      <c r="Q117" s="185"/>
      <c r="R117"/>
      <c r="S117"/>
      <c r="V117" s="102">
        <f>-'12007624'!L19</f>
        <v>65000</v>
      </c>
      <c r="W117" s="286">
        <f t="shared" si="10"/>
        <v>-65000</v>
      </c>
      <c r="X117" s="286" t="str">
        <f t="shared" si="11"/>
        <v/>
      </c>
      <c r="Y117" s="57" t="s">
        <v>32</v>
      </c>
    </row>
    <row r="118" spans="1:25" s="94" customFormat="1" ht="12.75" x14ac:dyDescent="0.2">
      <c r="B118" s="57" t="s">
        <v>32</v>
      </c>
      <c r="C118" s="185" t="s">
        <v>31</v>
      </c>
      <c r="D118" s="126" t="s">
        <v>112</v>
      </c>
      <c r="E118" s="57" t="s">
        <v>64</v>
      </c>
      <c r="F118" s="126" t="s">
        <v>113</v>
      </c>
      <c r="G118" s="153">
        <v>36901</v>
      </c>
      <c r="H118" s="180">
        <f>+'QK7503.1'!G14</f>
        <v>3.74</v>
      </c>
      <c r="I118" s="180">
        <f>+'QK7503.1'!D10</f>
        <v>3.82</v>
      </c>
      <c r="J118" s="179">
        <f>+H118-I118</f>
        <v>-7.9999999999999627E-2</v>
      </c>
      <c r="K118" s="174">
        <v>-500000</v>
      </c>
      <c r="L118" s="174">
        <f>+K118/30</f>
        <v>-16666.666666666668</v>
      </c>
      <c r="M118" s="175">
        <f>-'QK7503.1'!I19</f>
        <v>-40000</v>
      </c>
      <c r="N118" s="175">
        <f>-'QK7503.1'!J19</f>
        <v>0</v>
      </c>
      <c r="O118" s="102">
        <f>-'QK7503.1'!K19</f>
        <v>-40000</v>
      </c>
      <c r="P118" s="244">
        <f>-O118</f>
        <v>40000</v>
      </c>
      <c r="Q118" s="185"/>
      <c r="R118"/>
      <c r="S118"/>
      <c r="V118" s="102">
        <f>-'QK7503.1'!L19</f>
        <v>-40000</v>
      </c>
      <c r="W118" s="286">
        <f t="shared" si="10"/>
        <v>40000</v>
      </c>
      <c r="X118" s="286" t="str">
        <f t="shared" si="11"/>
        <v/>
      </c>
      <c r="Y118" s="57" t="s">
        <v>32</v>
      </c>
    </row>
    <row r="119" spans="1:25" s="94" customFormat="1" ht="12.75" x14ac:dyDescent="0.2">
      <c r="B119" s="57"/>
      <c r="C119" s="185"/>
      <c r="D119" s="93"/>
      <c r="E119" s="57"/>
      <c r="F119" s="126"/>
      <c r="G119" s="93"/>
      <c r="H119" s="176">
        <f>+H117-H118</f>
        <v>0.12999999999999989</v>
      </c>
      <c r="I119" s="176">
        <f>+I117-I118</f>
        <v>-7.9999999999999627E-2</v>
      </c>
      <c r="J119" s="176">
        <f t="shared" ref="J119:O119" si="12">SUM(J117:J118)</f>
        <v>5.0000000000000266E-2</v>
      </c>
      <c r="K119" s="98">
        <f t="shared" si="12"/>
        <v>0</v>
      </c>
      <c r="L119" s="98">
        <f t="shared" si="12"/>
        <v>0</v>
      </c>
      <c r="M119" s="102">
        <f t="shared" si="12"/>
        <v>25000</v>
      </c>
      <c r="N119" s="102">
        <f t="shared" si="12"/>
        <v>0</v>
      </c>
      <c r="O119" s="102">
        <f t="shared" si="12"/>
        <v>25000</v>
      </c>
      <c r="P119" s="244"/>
      <c r="Q119" s="185"/>
      <c r="R119"/>
      <c r="S119"/>
      <c r="V119" s="102">
        <f>SUM(V117:V118)</f>
        <v>25000</v>
      </c>
      <c r="W119" s="286" t="str">
        <f t="shared" si="10"/>
        <v/>
      </c>
      <c r="X119" s="286" t="str">
        <f t="shared" si="11"/>
        <v/>
      </c>
      <c r="Y119" s="57"/>
    </row>
    <row r="120" spans="1:25" s="94" customFormat="1" ht="8.1" customHeight="1" x14ac:dyDescent="0.2">
      <c r="B120" s="57"/>
      <c r="C120" s="185"/>
      <c r="D120" s="93"/>
      <c r="E120" s="57"/>
      <c r="F120" s="126"/>
      <c r="G120" s="93"/>
      <c r="H120" s="176"/>
      <c r="I120" s="176"/>
      <c r="J120" s="176"/>
      <c r="K120" s="98"/>
      <c r="L120" s="98"/>
      <c r="M120" s="102"/>
      <c r="N120" s="146"/>
      <c r="O120" s="146"/>
      <c r="P120" s="244"/>
      <c r="Q120" s="185"/>
      <c r="R120"/>
      <c r="S120"/>
      <c r="V120" s="146"/>
      <c r="W120" s="286" t="str">
        <f t="shared" si="10"/>
        <v/>
      </c>
      <c r="X120" s="286" t="str">
        <f t="shared" si="11"/>
        <v/>
      </c>
      <c r="Y120" s="57"/>
    </row>
    <row r="121" spans="1:25" s="94" customFormat="1" ht="12.75" x14ac:dyDescent="0.2">
      <c r="A121" s="45"/>
      <c r="B121" s="57" t="s">
        <v>25</v>
      </c>
      <c r="C121" s="185" t="s">
        <v>61</v>
      </c>
      <c r="D121" s="126" t="s">
        <v>185</v>
      </c>
      <c r="E121" s="57" t="s">
        <v>64</v>
      </c>
      <c r="F121" s="126" t="s">
        <v>150</v>
      </c>
      <c r="G121" s="153">
        <v>36866</v>
      </c>
      <c r="H121" s="176">
        <f>SUM('ENA #QF4410.1'!D10:D21)/12</f>
        <v>4.47</v>
      </c>
      <c r="I121" s="176">
        <f>SUM('ENA #QF4410.1'!H10:H21)/12</f>
        <v>3.9761666666666664</v>
      </c>
      <c r="J121" s="176">
        <f>+H121-I121</f>
        <v>0.49383333333333335</v>
      </c>
      <c r="K121" s="98">
        <f>-'ENA #QF4410.1'!F22</f>
        <v>-1825000</v>
      </c>
      <c r="L121" s="98">
        <f>+K121/365</f>
        <v>-5000</v>
      </c>
      <c r="M121" s="102">
        <f>-'ENA #QF4410.1'!I22</f>
        <v>904069.99999999965</v>
      </c>
      <c r="N121" s="102">
        <f>-'ENA #QF4410.1'!J22</f>
        <v>0</v>
      </c>
      <c r="O121" s="102">
        <f>-'ENA #QF4410.1'!K22</f>
        <v>904069.99999999965</v>
      </c>
      <c r="P121" s="244"/>
      <c r="Q121" s="246">
        <f>-O121</f>
        <v>-904069.99999999965</v>
      </c>
      <c r="R121"/>
      <c r="S121"/>
      <c r="V121" s="102">
        <f>-'ENA #QF4410.1'!L22</f>
        <v>286684.99999999983</v>
      </c>
      <c r="W121" s="286" t="str">
        <f t="shared" si="10"/>
        <v/>
      </c>
      <c r="X121" s="286">
        <f t="shared" si="11"/>
        <v>-286684.99999999983</v>
      </c>
      <c r="Y121" s="57" t="s">
        <v>25</v>
      </c>
    </row>
    <row r="122" spans="1:25" s="94" customFormat="1" ht="12.75" x14ac:dyDescent="0.2">
      <c r="A122" s="45"/>
      <c r="B122" s="57" t="s">
        <v>25</v>
      </c>
      <c r="C122" s="185" t="s">
        <v>61</v>
      </c>
      <c r="D122" s="126" t="s">
        <v>186</v>
      </c>
      <c r="E122" s="57" t="s">
        <v>64</v>
      </c>
      <c r="F122" s="126" t="s">
        <v>150</v>
      </c>
      <c r="G122" s="153">
        <v>36867</v>
      </c>
      <c r="H122" s="176">
        <f>SUM('ENA #QF4447.1'!D10:D21)/12</f>
        <v>4.3899999999999997</v>
      </c>
      <c r="I122" s="176">
        <f>SUM('ENA #QF4447.1'!H10:H21)/12</f>
        <v>3.9761666666666664</v>
      </c>
      <c r="J122" s="176">
        <f>+H122-I122</f>
        <v>0.41383333333333328</v>
      </c>
      <c r="K122" s="98">
        <f>-'ENA #QF4447.1'!F22</f>
        <v>1825000</v>
      </c>
      <c r="L122" s="98">
        <f>+K122/365</f>
        <v>5000</v>
      </c>
      <c r="M122" s="102">
        <f>-'ENA #QF4447.1'!I22</f>
        <v>-758069.99999999953</v>
      </c>
      <c r="N122" s="102">
        <f>-'ENA #QF4447.1'!J22</f>
        <v>0</v>
      </c>
      <c r="O122" s="102">
        <f>-'ENA #QF4447.1'!K22</f>
        <v>-758069.99999999953</v>
      </c>
      <c r="P122" s="244"/>
      <c r="Q122" s="246">
        <f>-O122</f>
        <v>758069.99999999953</v>
      </c>
      <c r="R122"/>
      <c r="S122"/>
      <c r="V122" s="102">
        <f>-'ENA #QF4447.1'!L22</f>
        <v>-226284.99999999977</v>
      </c>
      <c r="W122" s="286" t="str">
        <f t="shared" si="10"/>
        <v/>
      </c>
      <c r="X122" s="286">
        <f t="shared" si="11"/>
        <v>226284.99999999977</v>
      </c>
      <c r="Y122" s="57" t="s">
        <v>25</v>
      </c>
    </row>
    <row r="123" spans="1:25" s="94" customFormat="1" ht="12.75" x14ac:dyDescent="0.2">
      <c r="A123" s="45"/>
      <c r="B123" s="57" t="s">
        <v>25</v>
      </c>
      <c r="C123" s="185" t="s">
        <v>61</v>
      </c>
      <c r="D123" s="126" t="s">
        <v>196</v>
      </c>
      <c r="E123" s="57" t="s">
        <v>64</v>
      </c>
      <c r="F123" s="126" t="s">
        <v>150</v>
      </c>
      <c r="G123" s="153">
        <v>36866</v>
      </c>
      <c r="H123" s="176">
        <f>SUM('ENA #QF0967.1'!D10:D21)/12</f>
        <v>4.0061666666666662</v>
      </c>
      <c r="I123" s="176">
        <f>SUM('ENA #QF0967.1'!H10:H21)/12</f>
        <v>3.9688750000000002</v>
      </c>
      <c r="J123" s="176">
        <f>+H123-I123</f>
        <v>3.7291666666666057E-2</v>
      </c>
      <c r="K123" s="98">
        <f>-'ENA #QF0967.1'!F22</f>
        <v>-1825000</v>
      </c>
      <c r="L123" s="98">
        <f>+K123/365</f>
        <v>-5000</v>
      </c>
      <c r="M123" s="102">
        <f>-'ENA #QF0967.1'!I22</f>
        <v>68024.999999999898</v>
      </c>
      <c r="N123" s="102">
        <f>-'ENA #QF0967.1'!J22</f>
        <v>0</v>
      </c>
      <c r="O123" s="102">
        <f>-'ENA #QF0967.1'!K22</f>
        <v>68024.999999999898</v>
      </c>
      <c r="P123" s="244"/>
      <c r="Q123" s="246">
        <f>-O123</f>
        <v>-68024.999999999898</v>
      </c>
      <c r="R123"/>
      <c r="S123"/>
      <c r="V123" s="102">
        <f>-'ENA #QF0967.1'!L22</f>
        <v>31325.000000000065</v>
      </c>
      <c r="W123" s="286" t="str">
        <f t="shared" si="10"/>
        <v/>
      </c>
      <c r="X123" s="286">
        <f t="shared" si="11"/>
        <v>-31325.000000000065</v>
      </c>
      <c r="Y123" s="57" t="s">
        <v>25</v>
      </c>
    </row>
    <row r="124" spans="1:25" s="94" customFormat="1" ht="12.75" x14ac:dyDescent="0.2">
      <c r="A124" s="45"/>
      <c r="B124" s="57" t="s">
        <v>25</v>
      </c>
      <c r="C124" s="185" t="s">
        <v>61</v>
      </c>
      <c r="D124" s="126" t="s">
        <v>197</v>
      </c>
      <c r="E124" s="57" t="s">
        <v>64</v>
      </c>
      <c r="F124" s="126" t="s">
        <v>150</v>
      </c>
      <c r="G124" s="153">
        <v>36867</v>
      </c>
      <c r="H124" s="180">
        <f>SUM('ENA #QF5953.1'!D10:D21)/12</f>
        <v>4.0161666666666669</v>
      </c>
      <c r="I124" s="180">
        <f>SUM('ENA #QF5953.1'!H10:H21)/12</f>
        <v>3.9688750000000002</v>
      </c>
      <c r="J124" s="180">
        <f>+H124-I124</f>
        <v>4.7291666666666732E-2</v>
      </c>
      <c r="K124" s="174">
        <f>-'ENA #QF5953.1'!F22</f>
        <v>1825000</v>
      </c>
      <c r="L124" s="108">
        <f>+K124/365</f>
        <v>5000</v>
      </c>
      <c r="M124" s="107">
        <f>-'ENA #QF5953.1'!I22</f>
        <v>-86274.999999999985</v>
      </c>
      <c r="N124" s="107">
        <f>-'ENA #QF5953.1'!J22</f>
        <v>0</v>
      </c>
      <c r="O124" s="107">
        <f>-'ENA #QF5953.1'!K22</f>
        <v>-86274.999999999985</v>
      </c>
      <c r="P124" s="244"/>
      <c r="Q124" s="246">
        <f>-O124</f>
        <v>86274.999999999985</v>
      </c>
      <c r="R124"/>
      <c r="S124"/>
      <c r="V124" s="107">
        <f>-'ENA #QF5953.1'!L22</f>
        <v>-38875.000000000044</v>
      </c>
      <c r="W124" s="286" t="str">
        <f t="shared" si="10"/>
        <v/>
      </c>
      <c r="X124" s="286">
        <f t="shared" si="11"/>
        <v>38875.000000000044</v>
      </c>
      <c r="Y124" s="57" t="s">
        <v>25</v>
      </c>
    </row>
    <row r="125" spans="1:25" s="94" customFormat="1" ht="12.75" x14ac:dyDescent="0.2">
      <c r="B125" s="57"/>
      <c r="C125" s="185"/>
      <c r="D125" s="93"/>
      <c r="E125" s="57"/>
      <c r="F125" s="126"/>
      <c r="G125" s="93"/>
      <c r="H125" s="176">
        <f>+H121-H122+H123-H124</f>
        <v>6.9999999999999396E-2</v>
      </c>
      <c r="I125" s="176">
        <f>+I121-I122+I123-I124</f>
        <v>0</v>
      </c>
      <c r="J125" s="176">
        <f>+J121-J122+J123-J124</f>
        <v>6.9999999999999396E-2</v>
      </c>
      <c r="K125" s="98">
        <f>SUM(K121:K124)</f>
        <v>0</v>
      </c>
      <c r="L125" s="98">
        <f>SUM(L121:L124)</f>
        <v>0</v>
      </c>
      <c r="M125" s="102">
        <f>SUM(M121:M124)</f>
        <v>127750.00000000001</v>
      </c>
      <c r="N125" s="102">
        <f>SUM(N121:N124)</f>
        <v>0</v>
      </c>
      <c r="O125" s="102">
        <f>SUM(O121:O124)</f>
        <v>127750.00000000001</v>
      </c>
      <c r="P125" s="246"/>
      <c r="Q125" s="185"/>
      <c r="R125"/>
      <c r="S125"/>
      <c r="V125" s="102">
        <f>SUM(V121:V124)</f>
        <v>52850.000000000073</v>
      </c>
      <c r="W125" s="286" t="str">
        <f t="shared" si="10"/>
        <v/>
      </c>
      <c r="X125" s="286" t="str">
        <f t="shared" si="11"/>
        <v/>
      </c>
      <c r="Y125" s="57"/>
    </row>
    <row r="126" spans="1:25" s="94" customFormat="1" ht="12.75" x14ac:dyDescent="0.2">
      <c r="B126" s="57"/>
      <c r="C126" s="185"/>
      <c r="D126" s="93"/>
      <c r="E126" s="57"/>
      <c r="F126" s="126"/>
      <c r="G126" s="93"/>
      <c r="H126" s="176"/>
      <c r="I126" s="176"/>
      <c r="J126" s="176"/>
      <c r="K126" s="98"/>
      <c r="L126" s="353"/>
      <c r="M126" s="102"/>
      <c r="N126" s="102"/>
      <c r="O126" s="102"/>
      <c r="P126" s="246"/>
      <c r="Q126" s="354"/>
      <c r="R126"/>
      <c r="S126"/>
      <c r="V126" s="102"/>
      <c r="W126" s="286" t="str">
        <f t="shared" si="10"/>
        <v/>
      </c>
      <c r="X126" s="286" t="str">
        <f t="shared" si="11"/>
        <v/>
      </c>
      <c r="Y126" s="57"/>
    </row>
    <row r="127" spans="1:25" ht="12.75" x14ac:dyDescent="0.2">
      <c r="B127" s="185" t="s">
        <v>32</v>
      </c>
      <c r="C127" s="185" t="s">
        <v>72</v>
      </c>
      <c r="D127" s="185" t="s">
        <v>182</v>
      </c>
      <c r="E127" s="185" t="s">
        <v>64</v>
      </c>
      <c r="F127" s="51" t="s">
        <v>181</v>
      </c>
      <c r="G127" s="188">
        <v>36924</v>
      </c>
      <c r="H127" s="203">
        <f>AVERAGE('HJN1006'!D10:D16)</f>
        <v>4.1938571428571425</v>
      </c>
      <c r="I127" s="203">
        <f>AVERAGE('HJN1006'!H10:H16)</f>
        <v>4.1820000000000004</v>
      </c>
      <c r="J127" s="189">
        <f>+H127-I127</f>
        <v>1.1857142857142122E-2</v>
      </c>
      <c r="K127" s="190">
        <f>-'HJN1006'!F18</f>
        <v>-1070000</v>
      </c>
      <c r="L127" s="191">
        <f>+K127/31</f>
        <v>-34516.129032258068</v>
      </c>
      <c r="M127" s="192">
        <f>-'HJN1006'!I18</f>
        <v>-12805.000000000295</v>
      </c>
      <c r="N127" s="192">
        <f>-'HJN1006'!J18</f>
        <v>5344.999999999889</v>
      </c>
      <c r="O127" s="192">
        <f>-'HJN1006'!K18</f>
        <v>-18150.000000000182</v>
      </c>
      <c r="P127" s="265">
        <f>-O127</f>
        <v>18150.000000000182</v>
      </c>
      <c r="Q127" s="266"/>
      <c r="R127"/>
      <c r="S127"/>
      <c r="T127" s="286">
        <f>IF(Y127="NNG",+S127,"")</f>
        <v>0</v>
      </c>
      <c r="U127" s="286" t="str">
        <f>IF(Y127="TW",+S127,"")</f>
        <v/>
      </c>
      <c r="V127" s="244">
        <f>-'HJN1006'!L18</f>
        <v>-18150.000000000182</v>
      </c>
      <c r="W127" s="286">
        <f t="shared" si="10"/>
        <v>18150.000000000182</v>
      </c>
      <c r="X127" s="286" t="str">
        <f t="shared" si="11"/>
        <v/>
      </c>
      <c r="Y127" s="185" t="s">
        <v>32</v>
      </c>
    </row>
    <row r="128" spans="1:25" ht="12.75" x14ac:dyDescent="0.2">
      <c r="B128" s="185" t="s">
        <v>32</v>
      </c>
      <c r="C128" s="185" t="s">
        <v>72</v>
      </c>
      <c r="D128" s="185" t="s">
        <v>189</v>
      </c>
      <c r="E128" s="185" t="s">
        <v>64</v>
      </c>
      <c r="F128" s="51" t="s">
        <v>181</v>
      </c>
      <c r="G128" s="188">
        <v>36924</v>
      </c>
      <c r="H128" s="203">
        <f>AVERAGE('HJN1007'!D10:D16)</f>
        <v>4.2838571428571433</v>
      </c>
      <c r="I128" s="203">
        <f>AVERAGE('HJN1007'!H10:H16)</f>
        <v>4.2134285714285715</v>
      </c>
      <c r="J128" s="189">
        <f>+H128-I128</f>
        <v>7.0428571428571729E-2</v>
      </c>
      <c r="K128" s="190">
        <f>-'HJN1007'!F18</f>
        <v>1070000</v>
      </c>
      <c r="L128" s="191">
        <f>+K128/31</f>
        <v>34516.129032258068</v>
      </c>
      <c r="M128" s="192">
        <f>-'HJN1007'!I18</f>
        <v>75630.000000000044</v>
      </c>
      <c r="N128" s="192">
        <f>-'HJN1007'!J18</f>
        <v>10155.000000000062</v>
      </c>
      <c r="O128" s="192">
        <f>-'HJN1007'!K18</f>
        <v>65474.999999999985</v>
      </c>
      <c r="P128" s="265">
        <f>-O128</f>
        <v>-65474.999999999985</v>
      </c>
      <c r="Q128" s="266"/>
      <c r="R128"/>
      <c r="S128"/>
      <c r="T128" s="286">
        <f>IF(Y128="NNG",+S128,"")</f>
        <v>0</v>
      </c>
      <c r="U128" s="286" t="str">
        <f>IF(Y128="TW",+S128,"")</f>
        <v/>
      </c>
      <c r="V128" s="244">
        <f>-'HJN1007'!L18</f>
        <v>65474.999999999985</v>
      </c>
      <c r="W128" s="286">
        <f t="shared" si="10"/>
        <v>-65474.999999999985</v>
      </c>
      <c r="X128" s="286" t="str">
        <f t="shared" si="11"/>
        <v/>
      </c>
      <c r="Y128" s="185" t="s">
        <v>32</v>
      </c>
    </row>
    <row r="129" spans="1:36" s="94" customFormat="1" ht="12.75" x14ac:dyDescent="0.2">
      <c r="B129" s="57"/>
      <c r="C129" s="185"/>
      <c r="D129" s="93"/>
      <c r="E129" s="57"/>
      <c r="F129" s="126"/>
      <c r="G129" s="93"/>
      <c r="H129" s="176">
        <f>+H127-H128</f>
        <v>-9.0000000000000746E-2</v>
      </c>
      <c r="I129" s="176">
        <f>+I127-I128</f>
        <v>-3.1428571428571139E-2</v>
      </c>
      <c r="J129" s="176">
        <f t="shared" ref="J129:O129" si="13">SUM(J127:J128)</f>
        <v>8.2285714285713851E-2</v>
      </c>
      <c r="K129" s="98">
        <f t="shared" si="13"/>
        <v>0</v>
      </c>
      <c r="L129" s="98">
        <f t="shared" si="13"/>
        <v>0</v>
      </c>
      <c r="M129" s="102">
        <f t="shared" si="13"/>
        <v>62824.999999999753</v>
      </c>
      <c r="N129" s="102">
        <f t="shared" si="13"/>
        <v>15499.999999999951</v>
      </c>
      <c r="O129" s="102">
        <f t="shared" si="13"/>
        <v>47324.999999999804</v>
      </c>
      <c r="P129" s="244"/>
      <c r="Q129" s="185"/>
      <c r="R129"/>
      <c r="S129"/>
      <c r="V129" s="102">
        <f>SUM(V127:V128)</f>
        <v>47324.999999999804</v>
      </c>
      <c r="W129" s="286" t="str">
        <f t="shared" si="10"/>
        <v/>
      </c>
      <c r="X129" s="286" t="str">
        <f t="shared" si="11"/>
        <v/>
      </c>
      <c r="Y129" s="57"/>
    </row>
    <row r="130" spans="1:36" ht="12.75" x14ac:dyDescent="0.2">
      <c r="B130" s="57"/>
      <c r="C130" s="185"/>
      <c r="D130" s="57"/>
      <c r="E130" s="57"/>
      <c r="F130" s="51"/>
      <c r="G130" s="122"/>
      <c r="H130" s="53"/>
      <c r="I130" s="53"/>
      <c r="J130" s="60"/>
      <c r="K130" s="76"/>
      <c r="L130" s="76"/>
      <c r="M130" s="65"/>
      <c r="N130" s="56"/>
      <c r="O130" s="56"/>
      <c r="P130" s="265"/>
      <c r="Q130" s="266"/>
      <c r="R130"/>
      <c r="S130"/>
      <c r="T130" s="286" t="str">
        <f>IF(Y130="NNG",+S130,"")</f>
        <v/>
      </c>
      <c r="U130" s="286" t="str">
        <f>IF(Y130="TW",+S130,"")</f>
        <v/>
      </c>
      <c r="V130" s="266"/>
      <c r="W130" s="286" t="str">
        <f t="shared" si="10"/>
        <v/>
      </c>
      <c r="X130" s="286" t="str">
        <f t="shared" si="11"/>
        <v/>
      </c>
      <c r="Y130" s="57"/>
    </row>
    <row r="131" spans="1:36" ht="12.75" x14ac:dyDescent="0.2">
      <c r="B131" s="185" t="s">
        <v>32</v>
      </c>
      <c r="C131" s="185" t="s">
        <v>203</v>
      </c>
      <c r="D131" s="185" t="s">
        <v>202</v>
      </c>
      <c r="E131" s="185" t="s">
        <v>64</v>
      </c>
      <c r="F131" s="51" t="s">
        <v>209</v>
      </c>
      <c r="G131" s="188">
        <v>37007</v>
      </c>
      <c r="H131" s="203">
        <f>AVERAGE('HJN1008'!D10:D16)</f>
        <v>3.8574000000000006</v>
      </c>
      <c r="I131" s="203">
        <f>AVERAGE('HJN1008'!H10:H16)</f>
        <v>3.8288000000000006</v>
      </c>
      <c r="J131" s="189">
        <f>+H131-I131</f>
        <v>2.8599999999999959E-2</v>
      </c>
      <c r="K131" s="190">
        <f>-'HJN1008'!F16</f>
        <v>765000</v>
      </c>
      <c r="L131" s="191">
        <f>+K131/31</f>
        <v>24677.419354838708</v>
      </c>
      <c r="M131" s="192">
        <f>-'HJN1008'!I16</f>
        <v>21975.000000000106</v>
      </c>
      <c r="N131" s="192">
        <f>-'HJN1008'!J16</f>
        <v>0</v>
      </c>
      <c r="O131" s="192">
        <f>-'HJN1008'!K16</f>
        <v>21975.000000000106</v>
      </c>
      <c r="P131" s="265">
        <f>-O131</f>
        <v>-21975.000000000106</v>
      </c>
      <c r="Q131" s="266"/>
      <c r="R131"/>
      <c r="S131"/>
      <c r="T131" s="286">
        <f>IF(Y131="NNG",+S131,"")</f>
        <v>0</v>
      </c>
      <c r="U131" s="286" t="str">
        <f>IF(Y131="TW",+S131,"")</f>
        <v/>
      </c>
      <c r="V131" s="244">
        <f>-'HJN1008'!L16</f>
        <v>21975.000000000106</v>
      </c>
      <c r="W131" s="286">
        <f t="shared" si="10"/>
        <v>-21975.000000000106</v>
      </c>
      <c r="X131" s="286" t="str">
        <f t="shared" si="11"/>
        <v/>
      </c>
      <c r="Y131" s="185" t="s">
        <v>32</v>
      </c>
      <c r="Z131"/>
      <c r="AA131"/>
      <c r="AB131"/>
      <c r="AC131"/>
      <c r="AD131"/>
      <c r="AE131"/>
      <c r="AF131"/>
      <c r="AG131"/>
      <c r="AH131"/>
      <c r="AI131"/>
      <c r="AJ131"/>
    </row>
    <row r="132" spans="1:36" ht="12.75" x14ac:dyDescent="0.2">
      <c r="B132" s="185" t="s">
        <v>32</v>
      </c>
      <c r="C132" s="185" t="s">
        <v>203</v>
      </c>
      <c r="D132" s="185" t="s">
        <v>205</v>
      </c>
      <c r="E132" s="185" t="s">
        <v>64</v>
      </c>
      <c r="F132" s="51" t="s">
        <v>209</v>
      </c>
      <c r="G132" s="188">
        <v>37007</v>
      </c>
      <c r="H132" s="203">
        <f>AVERAGE('HJN1009'!D10:D14)</f>
        <v>3.9124000000000003</v>
      </c>
      <c r="I132" s="203">
        <f>AVERAGE('HJN1009'!H10:H14)</f>
        <v>3.8568000000000007</v>
      </c>
      <c r="J132" s="189">
        <f>+H132-I132</f>
        <v>5.559999999999965E-2</v>
      </c>
      <c r="K132" s="190">
        <f>-'HJN1009'!F16</f>
        <v>-765000</v>
      </c>
      <c r="L132" s="191">
        <f>+K132/31</f>
        <v>-24677.419354838708</v>
      </c>
      <c r="M132" s="192">
        <f>-'HJN1009'!I16</f>
        <v>-42525.000000000073</v>
      </c>
      <c r="N132" s="192">
        <f>-'HJN1009'!J16</f>
        <v>0</v>
      </c>
      <c r="O132" s="192">
        <f>-'HJN1009'!K16</f>
        <v>-42525.000000000073</v>
      </c>
      <c r="P132" s="265">
        <f>-O132</f>
        <v>42525.000000000073</v>
      </c>
      <c r="Q132" s="266"/>
      <c r="R132"/>
      <c r="S132"/>
      <c r="T132" s="286">
        <f>IF(Y132="NNG",+S132,"")</f>
        <v>0</v>
      </c>
      <c r="U132" s="286" t="str">
        <f>IF(Y132="TW",+S132,"")</f>
        <v/>
      </c>
      <c r="V132" s="244">
        <f>-'HJN1009'!L16</f>
        <v>-42525.000000000073</v>
      </c>
      <c r="W132" s="286">
        <f t="shared" si="10"/>
        <v>42525.000000000073</v>
      </c>
      <c r="X132" s="286" t="str">
        <f t="shared" si="11"/>
        <v/>
      </c>
      <c r="Y132" s="185" t="s">
        <v>32</v>
      </c>
      <c r="Z132"/>
      <c r="AA132"/>
      <c r="AB132"/>
      <c r="AC132"/>
      <c r="AD132"/>
      <c r="AE132"/>
      <c r="AF132"/>
      <c r="AG132"/>
      <c r="AH132"/>
      <c r="AI132"/>
      <c r="AJ132"/>
    </row>
    <row r="133" spans="1:36" s="94" customFormat="1" ht="12.75" x14ac:dyDescent="0.2">
      <c r="B133" s="57"/>
      <c r="C133" s="185"/>
      <c r="D133" s="93"/>
      <c r="E133" s="57"/>
      <c r="F133" s="126"/>
      <c r="G133" s="93"/>
      <c r="H133" s="176">
        <f>+H131-H132</f>
        <v>-5.4999999999999716E-2</v>
      </c>
      <c r="I133" s="176">
        <f>+I131-I132</f>
        <v>-2.8000000000000025E-2</v>
      </c>
      <c r="J133" s="176">
        <f t="shared" ref="J133:O133" si="14">SUM(J131:J132)</f>
        <v>8.4199999999999608E-2</v>
      </c>
      <c r="K133" s="98">
        <f t="shared" si="14"/>
        <v>0</v>
      </c>
      <c r="L133" s="98">
        <f t="shared" si="14"/>
        <v>0</v>
      </c>
      <c r="M133" s="102">
        <f t="shared" si="14"/>
        <v>-20549.999999999967</v>
      </c>
      <c r="N133" s="102">
        <f t="shared" si="14"/>
        <v>0</v>
      </c>
      <c r="O133" s="102">
        <f t="shared" si="14"/>
        <v>-20549.999999999967</v>
      </c>
      <c r="P133" s="244"/>
      <c r="Q133" s="185"/>
      <c r="R133"/>
      <c r="S133"/>
      <c r="V133" s="102">
        <f>SUM(V131:V132)</f>
        <v>-20549.999999999967</v>
      </c>
      <c r="W133" s="286" t="str">
        <f t="shared" si="10"/>
        <v/>
      </c>
      <c r="X133" s="286" t="str">
        <f t="shared" si="11"/>
        <v/>
      </c>
      <c r="Y133" s="57"/>
    </row>
    <row r="134" spans="1:36" ht="12.75" x14ac:dyDescent="0.2">
      <c r="B134" s="57"/>
      <c r="C134" s="185"/>
      <c r="D134" s="57"/>
      <c r="E134" s="57"/>
      <c r="F134" s="51"/>
      <c r="G134" s="122"/>
      <c r="H134" s="53"/>
      <c r="I134" s="53"/>
      <c r="J134" s="60"/>
      <c r="K134" s="76"/>
      <c r="L134" s="76"/>
      <c r="M134" s="65"/>
      <c r="N134" s="56"/>
      <c r="O134" s="56"/>
      <c r="P134" s="265"/>
      <c r="Q134" s="266"/>
      <c r="R134"/>
      <c r="S134"/>
      <c r="T134" s="286" t="str">
        <f>IF(Y134="NNG",+S134,"")</f>
        <v/>
      </c>
      <c r="U134" s="286" t="str">
        <f>IF(Y134="TW",+S134,"")</f>
        <v/>
      </c>
      <c r="V134" s="266"/>
      <c r="W134" s="286" t="str">
        <f t="shared" si="10"/>
        <v/>
      </c>
      <c r="X134" s="286" t="str">
        <f t="shared" si="11"/>
        <v/>
      </c>
      <c r="Y134" s="57"/>
    </row>
    <row r="135" spans="1:36" s="94" customFormat="1" ht="8.1" customHeight="1" x14ac:dyDescent="0.2">
      <c r="B135" s="57"/>
      <c r="C135" s="185"/>
      <c r="D135" s="93"/>
      <c r="E135" s="57"/>
      <c r="F135" s="126"/>
      <c r="G135" s="93"/>
      <c r="H135" s="176"/>
      <c r="I135" s="176"/>
      <c r="J135" s="176"/>
      <c r="K135" s="98"/>
      <c r="L135" s="98"/>
      <c r="M135" s="102"/>
      <c r="N135" s="146"/>
      <c r="O135" s="146"/>
      <c r="P135" s="244"/>
      <c r="Q135" s="185"/>
      <c r="R135"/>
      <c r="S135"/>
      <c r="V135" s="146"/>
      <c r="W135" s="286" t="str">
        <f t="shared" si="10"/>
        <v/>
      </c>
      <c r="X135" s="286" t="str">
        <f t="shared" si="11"/>
        <v/>
      </c>
      <c r="Y135" s="57"/>
    </row>
    <row r="136" spans="1:36" s="94" customFormat="1" ht="12.75" x14ac:dyDescent="0.2">
      <c r="A136" s="277"/>
      <c r="B136" s="57" t="s">
        <v>32</v>
      </c>
      <c r="C136" s="185" t="s">
        <v>72</v>
      </c>
      <c r="D136" s="185" t="s">
        <v>223</v>
      </c>
      <c r="E136" s="57" t="s">
        <v>64</v>
      </c>
      <c r="F136" s="126" t="s">
        <v>224</v>
      </c>
      <c r="G136" s="153">
        <v>37033</v>
      </c>
      <c r="H136" s="176">
        <f>'HJN1010'!D41</f>
        <v>3.6274999999999986</v>
      </c>
      <c r="I136" s="176">
        <f>'HJN1010'!H41</f>
        <v>3.6385000000000014</v>
      </c>
      <c r="J136" s="176">
        <f>+H136-I136</f>
        <v>-1.1000000000002785E-2</v>
      </c>
      <c r="K136" s="438">
        <f>-'HJN1010'!F41</f>
        <v>300000</v>
      </c>
      <c r="L136" s="191">
        <f>+K136/30</f>
        <v>10000</v>
      </c>
      <c r="M136" s="102">
        <f>-'HJN1010'!I41</f>
        <v>-3299.9999999999618</v>
      </c>
      <c r="N136" s="102">
        <f>-'HJN1010'!J41</f>
        <v>0</v>
      </c>
      <c r="O136" s="102">
        <f>-'HJN1010'!K41</f>
        <v>-3299.9999999999618</v>
      </c>
      <c r="P136" s="244">
        <f>-O136</f>
        <v>3299.9999999999618</v>
      </c>
      <c r="Q136" s="185"/>
      <c r="R136"/>
      <c r="S136"/>
      <c r="V136" s="102">
        <f>'HJN1010'!L41</f>
        <v>3299.9999999999618</v>
      </c>
      <c r="W136" s="286">
        <f>IF($Y136="NNG",-V136,"")</f>
        <v>-3299.9999999999618</v>
      </c>
      <c r="X136" s="286" t="str">
        <f>IF(Y136="TW",-V136,"")</f>
        <v/>
      </c>
      <c r="Y136" s="57" t="s">
        <v>32</v>
      </c>
    </row>
    <row r="137" spans="1:36" s="94" customFormat="1" ht="12.75" x14ac:dyDescent="0.2">
      <c r="A137" s="277"/>
      <c r="B137" s="57" t="s">
        <v>32</v>
      </c>
      <c r="C137" s="185" t="s">
        <v>72</v>
      </c>
      <c r="D137" s="185" t="s">
        <v>225</v>
      </c>
      <c r="E137" s="57" t="s">
        <v>64</v>
      </c>
      <c r="F137" s="126" t="s">
        <v>224</v>
      </c>
      <c r="G137" s="153">
        <v>37033</v>
      </c>
      <c r="H137" s="180">
        <f>'HJN1011'!D41</f>
        <v>3.6324999999999972</v>
      </c>
      <c r="I137" s="180">
        <f>'HJN1011'!H41</f>
        <v>3.6211666666666655</v>
      </c>
      <c r="J137" s="179">
        <f>+H137-I137</f>
        <v>1.1333333333331641E-2</v>
      </c>
      <c r="K137" s="108">
        <f>-'HJN1011'!F41</f>
        <v>-300000</v>
      </c>
      <c r="L137" s="197">
        <f>+K137/30</f>
        <v>-10000</v>
      </c>
      <c r="M137" s="175">
        <f>-'HJN1011'!I41</f>
        <v>-3399.9999999999018</v>
      </c>
      <c r="N137" s="175">
        <f>-'HJN1011'!J41</f>
        <v>0</v>
      </c>
      <c r="O137" s="175">
        <f>-'HJN1011'!K41</f>
        <v>-3399.9999999999018</v>
      </c>
      <c r="P137" s="244">
        <f>-O137</f>
        <v>3399.9999999999018</v>
      </c>
      <c r="Q137" s="185"/>
      <c r="R137"/>
      <c r="S137"/>
      <c r="V137" s="102">
        <f>'HJN1011'!L41</f>
        <v>3399.9999999999018</v>
      </c>
      <c r="W137" s="286">
        <f>IF($Y137="NNG",-V137,"")</f>
        <v>-3399.9999999999018</v>
      </c>
      <c r="X137" s="286" t="str">
        <f>IF(Y137="TW",-V137,"")</f>
        <v/>
      </c>
      <c r="Y137" s="57" t="s">
        <v>32</v>
      </c>
    </row>
    <row r="138" spans="1:36" s="94" customFormat="1" ht="12.75" x14ac:dyDescent="0.2">
      <c r="B138" s="57"/>
      <c r="C138" s="185"/>
      <c r="D138" s="126"/>
      <c r="E138" s="57"/>
      <c r="F138" s="126"/>
      <c r="G138" s="93"/>
      <c r="H138" s="176">
        <f>+H136-H137</f>
        <v>-4.9999999999985612E-3</v>
      </c>
      <c r="I138" s="176">
        <f>+I136-I137</f>
        <v>1.7333333333335865E-2</v>
      </c>
      <c r="J138" s="176">
        <f t="shared" ref="J138:O138" si="15">SUM(J136:J137)</f>
        <v>3.3333333332885573E-4</v>
      </c>
      <c r="K138" s="98">
        <f t="shared" si="15"/>
        <v>0</v>
      </c>
      <c r="L138" s="98">
        <f t="shared" si="15"/>
        <v>0</v>
      </c>
      <c r="M138" s="102">
        <f t="shared" si="15"/>
        <v>-6699.9999999998636</v>
      </c>
      <c r="N138" s="102">
        <f t="shared" si="15"/>
        <v>0</v>
      </c>
      <c r="O138" s="102">
        <f t="shared" si="15"/>
        <v>-6699.9999999998636</v>
      </c>
      <c r="P138" s="244"/>
      <c r="Q138" s="185"/>
      <c r="R138"/>
      <c r="S138"/>
      <c r="V138" s="102">
        <f>SUM(V136:V137)</f>
        <v>6699.9999999998636</v>
      </c>
      <c r="W138" s="286" t="str">
        <f>IF($Y138="NNG",-V138,"")</f>
        <v/>
      </c>
      <c r="X138" s="286" t="str">
        <f>IF(Y138="TW",-V138,"")</f>
        <v/>
      </c>
      <c r="Y138" s="57"/>
    </row>
    <row r="139" spans="1:36" s="94" customFormat="1" ht="11.25" customHeight="1" x14ac:dyDescent="0.2">
      <c r="B139" s="57"/>
      <c r="C139" s="185"/>
      <c r="D139" s="93"/>
      <c r="E139" s="57"/>
      <c r="F139" s="126"/>
      <c r="G139" s="93"/>
      <c r="H139" s="103"/>
      <c r="I139" s="103"/>
      <c r="J139" s="103"/>
      <c r="K139" s="98"/>
      <c r="L139" s="98"/>
      <c r="M139" s="102"/>
      <c r="N139" s="146"/>
      <c r="O139" s="146"/>
      <c r="P139" s="244"/>
      <c r="Q139" s="185"/>
      <c r="R139"/>
      <c r="S139"/>
      <c r="V139" s="146"/>
      <c r="W139" s="286" t="str">
        <f t="shared" si="10"/>
        <v/>
      </c>
      <c r="X139" s="286" t="str">
        <f t="shared" si="11"/>
        <v/>
      </c>
      <c r="Y139" s="57"/>
    </row>
    <row r="140" spans="1:36" ht="12" thickBot="1" x14ac:dyDescent="0.25">
      <c r="B140" s="57"/>
      <c r="C140" s="57"/>
      <c r="D140" s="57"/>
      <c r="E140" s="119"/>
      <c r="F140" s="59"/>
      <c r="G140" s="110"/>
      <c r="H140" s="58"/>
      <c r="I140" s="59"/>
      <c r="J140" s="59"/>
      <c r="K140" s="278">
        <f>+K119+K115+K113+K108+K125+K138</f>
        <v>62401635.288479984</v>
      </c>
      <c r="L140" s="278">
        <f>+L119+L115+L113+L108+L125+L138</f>
        <v>85481.692175999982</v>
      </c>
      <c r="M140" s="238">
        <f>+M119+M115+M113+M108+M125+M138+M129+M133</f>
        <v>17087686.038221087</v>
      </c>
      <c r="N140" s="238">
        <f>+N119+N115+N113+N108+N125+N138+N129+N133</f>
        <v>700725.77511172136</v>
      </c>
      <c r="O140" s="238">
        <f>+O119+O115+O113+O108+O125+O138+O129+O133</f>
        <v>16386960.263109365</v>
      </c>
      <c r="P140" s="235">
        <f>SUM(P103:P139)</f>
        <v>-16259210.263109367</v>
      </c>
      <c r="Q140" s="238">
        <f>SUM(Q103:Q139)</f>
        <v>-127750.00000000001</v>
      </c>
      <c r="R140" s="407"/>
      <c r="S140" s="407"/>
      <c r="T140" s="407">
        <f>SUM(T106:T139)</f>
        <v>0</v>
      </c>
      <c r="U140" s="407">
        <f>SUM(U106:U139)</f>
        <v>0</v>
      </c>
      <c r="V140" s="407">
        <f>+V108+V113+V115+V119+V125+V129+V133+V138</f>
        <v>1621241.4526128666</v>
      </c>
      <c r="W140" s="407">
        <f>SUM(W106:W139)</f>
        <v>-1568391.4526128669</v>
      </c>
      <c r="X140" s="407">
        <f>SUM(X106:X139)</f>
        <v>-52850.000000000073</v>
      </c>
      <c r="Y140" s="411"/>
    </row>
    <row r="141" spans="1:36" ht="12" thickTop="1" x14ac:dyDescent="0.2">
      <c r="B141" s="80"/>
      <c r="C141" s="80"/>
      <c r="D141" s="80"/>
      <c r="E141" s="141"/>
      <c r="F141" s="82"/>
      <c r="G141" s="120"/>
      <c r="H141" s="81"/>
      <c r="I141" s="82"/>
      <c r="J141" s="82"/>
      <c r="K141" s="121"/>
      <c r="L141" s="121"/>
      <c r="M141" s="142"/>
      <c r="N141" s="142"/>
      <c r="O141" s="142"/>
      <c r="P141" s="255"/>
      <c r="Q141" s="254"/>
      <c r="R141" s="408"/>
      <c r="S141" s="408"/>
      <c r="T141" s="408"/>
      <c r="U141" s="408"/>
      <c r="V141" s="408"/>
      <c r="W141" s="408"/>
      <c r="X141" s="408"/>
      <c r="Y141" s="80"/>
    </row>
    <row r="142" spans="1:36" x14ac:dyDescent="0.2">
      <c r="B142" s="110"/>
      <c r="C142" s="110"/>
      <c r="D142" s="109"/>
      <c r="E142" s="110"/>
      <c r="F142" s="110"/>
      <c r="G142" s="110"/>
      <c r="H142" s="110"/>
      <c r="I142" s="110"/>
      <c r="J142" s="110"/>
      <c r="K142" s="116"/>
      <c r="L142" s="116"/>
      <c r="M142" s="117"/>
      <c r="N142" s="117"/>
      <c r="O142" s="117"/>
      <c r="P142" s="269"/>
      <c r="V142" s="398"/>
    </row>
    <row r="143" spans="1:36" ht="12" customHeight="1" x14ac:dyDescent="0.2">
      <c r="B143" s="22" t="s">
        <v>140</v>
      </c>
      <c r="C143" s="22"/>
      <c r="D143" s="186"/>
      <c r="E143" s="22"/>
      <c r="F143" s="22"/>
      <c r="M143" s="45" t="s">
        <v>135</v>
      </c>
      <c r="P143" s="270"/>
      <c r="Q143" s="270">
        <v>16534530.85</v>
      </c>
    </row>
    <row r="144" spans="1:36" x14ac:dyDescent="0.2">
      <c r="B144" s="22" t="s">
        <v>141</v>
      </c>
      <c r="C144" s="22"/>
      <c r="D144" s="186"/>
      <c r="E144" s="22"/>
      <c r="F144" s="22"/>
      <c r="M144" s="45" t="s">
        <v>214</v>
      </c>
    </row>
    <row r="145" spans="2:22" x14ac:dyDescent="0.2">
      <c r="B145" s="22"/>
      <c r="C145" s="22"/>
      <c r="D145" s="186"/>
      <c r="E145" s="22"/>
      <c r="F145" s="22"/>
      <c r="M145" s="45" t="s">
        <v>215</v>
      </c>
      <c r="P145" s="270">
        <v>185.30822108708321</v>
      </c>
      <c r="Q145" s="270"/>
      <c r="R145" s="269"/>
    </row>
    <row r="146" spans="2:22" x14ac:dyDescent="0.2">
      <c r="B146" s="22"/>
      <c r="C146" s="22"/>
      <c r="D146" s="186"/>
      <c r="E146" s="22"/>
      <c r="F146" s="22"/>
      <c r="M146" s="45" t="s">
        <v>228</v>
      </c>
      <c r="P146" s="270"/>
      <c r="Q146" s="270"/>
      <c r="R146" s="269"/>
    </row>
    <row r="147" spans="2:22" x14ac:dyDescent="0.2">
      <c r="B147" s="22" t="s">
        <v>142</v>
      </c>
      <c r="C147" s="22"/>
      <c r="D147" s="186"/>
      <c r="E147" s="22"/>
      <c r="F147" s="22"/>
      <c r="M147" s="45" t="s">
        <v>216</v>
      </c>
      <c r="P147" s="270">
        <f>+O138</f>
        <v>-6699.9999999998636</v>
      </c>
      <c r="Q147" s="270"/>
    </row>
    <row r="148" spans="2:22" x14ac:dyDescent="0.2">
      <c r="B148" s="22" t="s">
        <v>143</v>
      </c>
      <c r="C148" s="22"/>
      <c r="D148" s="186"/>
      <c r="E148" s="22"/>
      <c r="F148" s="22"/>
      <c r="M148" s="45" t="s">
        <v>213</v>
      </c>
      <c r="P148" s="271">
        <f>561077.58-N140+1125-2532.7</f>
        <v>-141055.89511172142</v>
      </c>
      <c r="Q148" s="269">
        <f>SUM(P145:P148)</f>
        <v>-147570.58689063421</v>
      </c>
      <c r="R148" s="269"/>
    </row>
    <row r="149" spans="2:22" x14ac:dyDescent="0.2">
      <c r="B149" s="22"/>
      <c r="C149" s="22"/>
      <c r="D149" s="186"/>
      <c r="E149" s="22"/>
      <c r="F149" s="22"/>
      <c r="P149" s="269"/>
      <c r="Q149" s="258"/>
    </row>
    <row r="150" spans="2:22" x14ac:dyDescent="0.2">
      <c r="B150" s="242"/>
      <c r="M150" s="45" t="s">
        <v>136</v>
      </c>
      <c r="P150" s="270"/>
      <c r="Q150" s="272">
        <f>+Q148+Q143</f>
        <v>16386960.263109365</v>
      </c>
      <c r="R150" s="269">
        <f>+Q150-O140</f>
        <v>0</v>
      </c>
    </row>
    <row r="151" spans="2:22" x14ac:dyDescent="0.2">
      <c r="M151" s="45" t="s">
        <v>144</v>
      </c>
      <c r="P151" s="270"/>
      <c r="Q151" s="273">
        <f>-P91-Q91</f>
        <v>4972180.0000000009</v>
      </c>
    </row>
    <row r="152" spans="2:22" ht="12" thickBot="1" x14ac:dyDescent="0.25">
      <c r="O152" s="45" t="s">
        <v>145</v>
      </c>
      <c r="P152" s="270"/>
      <c r="Q152" s="274">
        <f>+Q150+Q151</f>
        <v>21359140.263109367</v>
      </c>
    </row>
    <row r="153" spans="2:22" ht="12" thickTop="1" x14ac:dyDescent="0.2"/>
    <row r="154" spans="2:22" x14ac:dyDescent="0.2">
      <c r="P154" s="270"/>
    </row>
    <row r="155" spans="2:22" x14ac:dyDescent="0.2">
      <c r="O155" s="352"/>
      <c r="V155" s="409"/>
    </row>
    <row r="156" spans="2:22" ht="12.75" x14ac:dyDescent="0.2">
      <c r="M156"/>
      <c r="N156"/>
      <c r="O156" s="352"/>
      <c r="V156" s="409"/>
    </row>
    <row r="157" spans="2:22" ht="12.75" x14ac:dyDescent="0.2">
      <c r="M157"/>
      <c r="N157"/>
      <c r="O157" s="352"/>
      <c r="V157" s="409"/>
    </row>
    <row r="158" spans="2:22" ht="12.75" x14ac:dyDescent="0.2">
      <c r="M158"/>
      <c r="N158"/>
      <c r="O158" s="352"/>
      <c r="V158" s="409"/>
    </row>
    <row r="159" spans="2:22" ht="12.75" x14ac:dyDescent="0.2">
      <c r="M159"/>
      <c r="N159"/>
      <c r="O159" s="352"/>
      <c r="V159" s="409"/>
    </row>
    <row r="160" spans="2:22" ht="12.75" x14ac:dyDescent="0.2">
      <c r="M160"/>
      <c r="N160"/>
      <c r="O160" s="352"/>
      <c r="V160" s="409"/>
    </row>
    <row r="161" spans="13:22" ht="12.75" x14ac:dyDescent="0.2">
      <c r="M161"/>
      <c r="N161"/>
      <c r="O161" s="178"/>
      <c r="V161" s="410"/>
    </row>
  </sheetData>
  <mergeCells count="7">
    <mergeCell ref="W104:X104"/>
    <mergeCell ref="P103:Q103"/>
    <mergeCell ref="B1:Q1"/>
    <mergeCell ref="B2:Q2"/>
    <mergeCell ref="W8:X8"/>
    <mergeCell ref="W9:X9"/>
    <mergeCell ref="W103:X103"/>
  </mergeCells>
  <phoneticPr fontId="0" type="noConversion"/>
  <printOptions horizontalCentered="1" verticalCentered="1"/>
  <pageMargins left="0.2" right="0.22" top="0.25" bottom="0.35" header="0.28000000000000003" footer="0.22"/>
  <pageSetup paperSize="5" scale="79" fitToHeight="0" orientation="landscape" horizontalDpi="300" verticalDpi="300" r:id="rId1"/>
  <headerFooter alignWithMargins="0">
    <oddFooter>&amp;L&amp;"Arial,Italic"&amp;8&amp;D&amp;T&amp;R&amp;"Arial,Italic"&amp;8&amp;F&amp;A</oddFooter>
  </headerFooter>
  <rowBreaks count="1" manualBreakCount="1">
    <brk id="96" max="28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3"/>
  <sheetViews>
    <sheetView zoomScale="75" workbookViewId="0">
      <selection activeCell="H10" sqref="H10"/>
    </sheetView>
  </sheetViews>
  <sheetFormatPr defaultRowHeight="12.75" x14ac:dyDescent="0.2"/>
  <cols>
    <col min="1" max="2" width="10.7109375" customWidth="1"/>
    <col min="3" max="3" width="10.28515625" bestFit="1" customWidth="1"/>
    <col min="4" max="4" width="15.42578125" bestFit="1" customWidth="1"/>
    <col min="5" max="5" width="0" hidden="1" customWidth="1"/>
    <col min="6" max="6" width="12.7109375" customWidth="1"/>
    <col min="7" max="7" width="13.140625" customWidth="1"/>
    <col min="8" max="8" width="8.7109375" bestFit="1" customWidth="1"/>
    <col min="9" max="9" width="15.42578125" customWidth="1"/>
    <col min="10" max="10" width="13.42578125" customWidth="1"/>
    <col min="11" max="11" width="13.42578125" bestFit="1" customWidth="1"/>
    <col min="12" max="12" width="17.28515625" bestFit="1" customWidth="1"/>
  </cols>
  <sheetData>
    <row r="1" spans="1:12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125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591"/>
      <c r="B4" s="591"/>
      <c r="C4" s="591"/>
      <c r="D4" s="591"/>
      <c r="E4" s="591"/>
      <c r="F4" s="591"/>
      <c r="G4" s="591"/>
      <c r="H4" s="591"/>
      <c r="I4" s="591"/>
      <c r="J4" s="591"/>
      <c r="K4" s="591"/>
    </row>
    <row r="5" spans="1:12" x14ac:dyDescent="0.2">
      <c r="G5" s="114"/>
      <c r="H5" s="114"/>
    </row>
    <row r="6" spans="1:12" s="7" customFormat="1" x14ac:dyDescent="0.2">
      <c r="A6" s="319" t="s">
        <v>39</v>
      </c>
      <c r="B6" s="290" t="s">
        <v>3</v>
      </c>
      <c r="C6" s="290" t="s">
        <v>3</v>
      </c>
      <c r="D6" s="290" t="s">
        <v>25</v>
      </c>
      <c r="E6" s="290"/>
      <c r="F6" s="290"/>
      <c r="G6" s="290"/>
      <c r="H6" s="290" t="s">
        <v>31</v>
      </c>
      <c r="I6" s="291" t="s">
        <v>42</v>
      </c>
      <c r="J6" s="292"/>
      <c r="K6" s="293"/>
    </row>
    <row r="7" spans="1:12" s="7" customFormat="1" x14ac:dyDescent="0.2">
      <c r="A7" s="320" t="s">
        <v>43</v>
      </c>
      <c r="B7" s="294" t="s">
        <v>9</v>
      </c>
      <c r="C7" s="294" t="s">
        <v>8</v>
      </c>
      <c r="D7" s="294" t="s">
        <v>86</v>
      </c>
      <c r="E7" s="294"/>
      <c r="F7" s="294"/>
      <c r="G7" s="294"/>
      <c r="H7" s="294" t="s">
        <v>126</v>
      </c>
      <c r="I7" s="294" t="s">
        <v>19</v>
      </c>
      <c r="J7" s="294" t="s">
        <v>20</v>
      </c>
      <c r="K7" s="295" t="s">
        <v>21</v>
      </c>
      <c r="L7" s="124"/>
    </row>
    <row r="8" spans="1:12" x14ac:dyDescent="0.2">
      <c r="A8" s="373"/>
      <c r="B8" s="374"/>
      <c r="C8" s="374"/>
      <c r="D8" s="294" t="s">
        <v>130</v>
      </c>
      <c r="E8" s="374"/>
      <c r="F8" s="374"/>
      <c r="G8" s="375"/>
      <c r="H8" s="294" t="s">
        <v>127</v>
      </c>
      <c r="I8" s="360" t="s">
        <v>24</v>
      </c>
      <c r="J8" s="360" t="s">
        <v>24</v>
      </c>
      <c r="K8" s="383" t="s">
        <v>24</v>
      </c>
      <c r="L8" s="19"/>
    </row>
    <row r="9" spans="1:12" x14ac:dyDescent="0.2">
      <c r="A9" s="321"/>
      <c r="B9" s="296"/>
      <c r="C9" s="296"/>
      <c r="D9" s="377">
        <v>-0.27</v>
      </c>
      <c r="E9" s="296"/>
      <c r="F9" s="296"/>
      <c r="G9" s="297"/>
      <c r="H9" s="147"/>
      <c r="I9" s="298"/>
      <c r="J9" s="298"/>
      <c r="K9" s="299"/>
      <c r="L9" s="379" t="s">
        <v>207</v>
      </c>
    </row>
    <row r="10" spans="1:12" x14ac:dyDescent="0.2">
      <c r="A10" s="23">
        <v>37257</v>
      </c>
      <c r="B10" s="14"/>
      <c r="C10" s="15" t="s">
        <v>31</v>
      </c>
      <c r="D10" s="24">
        <f>+[4]NYMEX!$C15+$D$9</f>
        <v>4.1709999999999994</v>
      </c>
      <c r="E10" s="14"/>
      <c r="F10" s="17">
        <f>27500*31</f>
        <v>852500</v>
      </c>
      <c r="G10" s="24"/>
      <c r="H10" s="24">
        <f>'[4]ELpaso SJ &amp; Prm'!$F16</f>
        <v>4.2009999999999996</v>
      </c>
      <c r="I10" s="16">
        <f>(+D10-H10)*F10</f>
        <v>-25575.000000000211</v>
      </c>
      <c r="J10" s="30"/>
      <c r="K10" s="30">
        <f>+I10</f>
        <v>-25575.000000000211</v>
      </c>
      <c r="L10" s="357">
        <f>IF(K10=0,0,IF(A10&lt;(Summary!$K$3+365),K10,0))</f>
        <v>-25575.000000000211</v>
      </c>
    </row>
    <row r="11" spans="1:12" x14ac:dyDescent="0.2">
      <c r="A11" s="23">
        <v>37288</v>
      </c>
      <c r="B11" s="14"/>
      <c r="C11" s="15" t="s">
        <v>31</v>
      </c>
      <c r="D11" s="24">
        <f>+[4]NYMEX!$C16+$D$9</f>
        <v>4.0540000000000003</v>
      </c>
      <c r="E11" s="14"/>
      <c r="F11" s="17">
        <f>27500*28</f>
        <v>770000</v>
      </c>
      <c r="G11" s="24"/>
      <c r="H11" s="24">
        <f>'[4]ELpaso SJ &amp; Prm'!$F17</f>
        <v>4.0839999999999996</v>
      </c>
      <c r="I11" s="16">
        <f t="shared" ref="I11:I21" si="0">(+D11-H11)*F11</f>
        <v>-23099.999999999509</v>
      </c>
      <c r="J11" s="30"/>
      <c r="K11" s="30">
        <f t="shared" ref="K11:K21" si="1">+I11</f>
        <v>-23099.999999999509</v>
      </c>
      <c r="L11" s="357">
        <f>IF(K11=0,0,IF(A11&lt;(Summary!$K$3+365),K11,0))</f>
        <v>-23099.999999999509</v>
      </c>
    </row>
    <row r="12" spans="1:12" x14ac:dyDescent="0.2">
      <c r="A12" s="23">
        <v>37316</v>
      </c>
      <c r="B12" s="14"/>
      <c r="C12" s="15" t="s">
        <v>31</v>
      </c>
      <c r="D12" s="24">
        <f>+[4]NYMEX!$C17+$D$9</f>
        <v>3.8850000000000002</v>
      </c>
      <c r="E12" s="14"/>
      <c r="F12" s="17">
        <f t="shared" ref="F12:F21" si="2">27500*31</f>
        <v>852500</v>
      </c>
      <c r="G12" s="14"/>
      <c r="H12" s="24">
        <f>'[4]ELpaso SJ &amp; Prm'!$F18</f>
        <v>3.915</v>
      </c>
      <c r="I12" s="16">
        <f t="shared" si="0"/>
        <v>-25574.999999999833</v>
      </c>
      <c r="J12" s="30"/>
      <c r="K12" s="30">
        <f t="shared" si="1"/>
        <v>-25574.999999999833</v>
      </c>
      <c r="L12" s="357">
        <f>IF(K12=0,0,IF(A12&lt;(Summary!$K$3+365),K12,0))</f>
        <v>-25574.999999999833</v>
      </c>
    </row>
    <row r="13" spans="1:12" x14ac:dyDescent="0.2">
      <c r="A13" s="23">
        <v>37347</v>
      </c>
      <c r="B13" s="14"/>
      <c r="C13" s="15" t="s">
        <v>31</v>
      </c>
      <c r="D13" s="24">
        <f>+[4]NYMEX!$C18+$D$9</f>
        <v>3.54</v>
      </c>
      <c r="E13" s="14"/>
      <c r="F13" s="17">
        <f>27500*30</f>
        <v>825000</v>
      </c>
      <c r="G13" s="14"/>
      <c r="H13" s="24">
        <f>'[4]ELpaso SJ &amp; Prm'!$F19</f>
        <v>3.43</v>
      </c>
      <c r="I13" s="16">
        <f t="shared" si="0"/>
        <v>90749.999999999898</v>
      </c>
      <c r="J13" s="14"/>
      <c r="K13" s="30">
        <f t="shared" si="1"/>
        <v>90749.999999999898</v>
      </c>
      <c r="L13" s="357">
        <f>IF(K13=0,0,IF(A13&lt;(Summary!$K$3+365),K13,0))</f>
        <v>90749.999999999898</v>
      </c>
    </row>
    <row r="14" spans="1:12" x14ac:dyDescent="0.2">
      <c r="A14" s="23">
        <v>37377</v>
      </c>
      <c r="B14" s="14"/>
      <c r="C14" s="15" t="s">
        <v>31</v>
      </c>
      <c r="D14" s="24">
        <f>+[4]NYMEX!$C19+$D$9</f>
        <v>3.4649999999999999</v>
      </c>
      <c r="E14" s="14"/>
      <c r="F14" s="17">
        <f t="shared" si="2"/>
        <v>852500</v>
      </c>
      <c r="G14" s="14"/>
      <c r="H14" s="24">
        <f>'[4]ELpaso SJ &amp; Prm'!$F20</f>
        <v>3.355</v>
      </c>
      <c r="I14" s="16">
        <f t="shared" si="0"/>
        <v>93774.999999999898</v>
      </c>
      <c r="J14" s="14"/>
      <c r="K14" s="30">
        <f t="shared" si="1"/>
        <v>93774.999999999898</v>
      </c>
      <c r="L14" s="357">
        <f>IF(K14=0,0,IF(A14&lt;(Summary!$K$3+365),K14,0))</f>
        <v>93774.999999999898</v>
      </c>
    </row>
    <row r="15" spans="1:12" x14ac:dyDescent="0.2">
      <c r="A15" s="23">
        <v>37408</v>
      </c>
      <c r="B15" s="14"/>
      <c r="C15" s="15" t="s">
        <v>31</v>
      </c>
      <c r="D15" s="24">
        <f>+[4]NYMEX!$C20+$D$9</f>
        <v>3.51</v>
      </c>
      <c r="E15" s="14"/>
      <c r="F15" s="17">
        <f>27500*30</f>
        <v>825000</v>
      </c>
      <c r="G15" s="14"/>
      <c r="H15" s="24">
        <f>'[4]ELpaso SJ &amp; Prm'!$F21</f>
        <v>3.4</v>
      </c>
      <c r="I15" s="16">
        <f t="shared" si="0"/>
        <v>90749.999999999898</v>
      </c>
      <c r="J15" s="14"/>
      <c r="K15" s="30">
        <f t="shared" si="1"/>
        <v>90749.999999999898</v>
      </c>
      <c r="L15" s="357">
        <f>IF(K15=0,0,IF(A15&lt;(Summary!$K$3+365),K15,0))</f>
        <v>0</v>
      </c>
    </row>
    <row r="16" spans="1:12" x14ac:dyDescent="0.2">
      <c r="A16" s="23">
        <v>37438</v>
      </c>
      <c r="B16" s="14"/>
      <c r="C16" s="15" t="s">
        <v>31</v>
      </c>
      <c r="D16" s="24">
        <f>+[4]NYMEX!$C21+$D$9</f>
        <v>3.5449999999999999</v>
      </c>
      <c r="E16" s="14"/>
      <c r="F16" s="17">
        <f t="shared" si="2"/>
        <v>852500</v>
      </c>
      <c r="G16" s="14"/>
      <c r="H16" s="24">
        <f>'[4]ELpaso SJ &amp; Prm'!$F22</f>
        <v>3.4350000000000001</v>
      </c>
      <c r="I16" s="16">
        <f t="shared" si="0"/>
        <v>93774.999999999898</v>
      </c>
      <c r="J16" s="14"/>
      <c r="K16" s="30">
        <f t="shared" si="1"/>
        <v>93774.999999999898</v>
      </c>
      <c r="L16" s="357">
        <f>IF(K16=0,0,IF(A16&lt;(Summary!$K$3+365),K16,0))</f>
        <v>0</v>
      </c>
    </row>
    <row r="17" spans="1:12" x14ac:dyDescent="0.2">
      <c r="A17" s="23">
        <v>37469</v>
      </c>
      <c r="B17" s="14"/>
      <c r="C17" s="15" t="s">
        <v>31</v>
      </c>
      <c r="D17" s="24">
        <f>+[4]NYMEX!$C22+$D$9</f>
        <v>3.5649999999999999</v>
      </c>
      <c r="E17" s="14"/>
      <c r="F17" s="17">
        <f t="shared" si="2"/>
        <v>852500</v>
      </c>
      <c r="G17" s="14"/>
      <c r="H17" s="24">
        <f>'[4]ELpaso SJ &amp; Prm'!$F23</f>
        <v>3.4550000000000001</v>
      </c>
      <c r="I17" s="16">
        <f t="shared" si="0"/>
        <v>93774.999999999898</v>
      </c>
      <c r="J17" s="14"/>
      <c r="K17" s="30">
        <f t="shared" si="1"/>
        <v>93774.999999999898</v>
      </c>
      <c r="L17" s="357">
        <f>IF(K17=0,0,IF(A17&lt;(Summary!$K$3+365),K17,0))</f>
        <v>0</v>
      </c>
    </row>
    <row r="18" spans="1:12" x14ac:dyDescent="0.2">
      <c r="A18" s="23">
        <v>37500</v>
      </c>
      <c r="B18" s="14"/>
      <c r="C18" s="15" t="s">
        <v>31</v>
      </c>
      <c r="D18" s="24">
        <f>+[4]NYMEX!$C23+$D$9</f>
        <v>3.5819999999999999</v>
      </c>
      <c r="E18" s="14"/>
      <c r="F18" s="17">
        <f>27500*30</f>
        <v>825000</v>
      </c>
      <c r="G18" s="14"/>
      <c r="H18" s="24">
        <f>'[4]ELpaso SJ &amp; Prm'!$F24</f>
        <v>3.472</v>
      </c>
      <c r="I18" s="16">
        <f t="shared" si="0"/>
        <v>90749.999999999898</v>
      </c>
      <c r="J18" s="14"/>
      <c r="K18" s="30">
        <f t="shared" si="1"/>
        <v>90749.999999999898</v>
      </c>
      <c r="L18" s="357">
        <f>IF(K18=0,0,IF(A18&lt;(Summary!$K$3+365),K18,0))</f>
        <v>0</v>
      </c>
    </row>
    <row r="19" spans="1:12" x14ac:dyDescent="0.2">
      <c r="A19" s="23">
        <v>37530</v>
      </c>
      <c r="B19" s="14"/>
      <c r="C19" s="15" t="s">
        <v>31</v>
      </c>
      <c r="D19" s="24">
        <f>+[4]NYMEX!$C24+$D$9</f>
        <v>3.5990000000000002</v>
      </c>
      <c r="E19" s="14"/>
      <c r="F19" s="17">
        <f t="shared" si="2"/>
        <v>852500</v>
      </c>
      <c r="G19" s="14"/>
      <c r="H19" s="24">
        <f>'[4]ELpaso SJ &amp; Prm'!$F25</f>
        <v>3.4890000000000003</v>
      </c>
      <c r="I19" s="16">
        <f t="shared" si="0"/>
        <v>93774.999999999898</v>
      </c>
      <c r="J19" s="14"/>
      <c r="K19" s="30">
        <f t="shared" si="1"/>
        <v>93774.999999999898</v>
      </c>
      <c r="L19" s="357">
        <f>IF(K19=0,0,IF(A19&lt;(Summary!$K$3+365),K19,0))</f>
        <v>0</v>
      </c>
    </row>
    <row r="20" spans="1:12" x14ac:dyDescent="0.2">
      <c r="A20" s="23">
        <v>37561</v>
      </c>
      <c r="B20" s="14"/>
      <c r="C20" s="15" t="s">
        <v>31</v>
      </c>
      <c r="D20" s="24">
        <f>+[4]NYMEX!$C25+$D$9</f>
        <v>3.714</v>
      </c>
      <c r="E20" s="14"/>
      <c r="F20" s="17">
        <f>27500*30</f>
        <v>825000</v>
      </c>
      <c r="G20" s="14"/>
      <c r="H20" s="24">
        <f>'[4]ELpaso SJ &amp; Prm'!$F26</f>
        <v>3.794</v>
      </c>
      <c r="I20" s="16">
        <f t="shared" si="0"/>
        <v>-66000.000000000058</v>
      </c>
      <c r="J20" s="14"/>
      <c r="K20" s="30">
        <f t="shared" si="1"/>
        <v>-66000.000000000058</v>
      </c>
      <c r="L20" s="357">
        <f>IF(K20=0,0,IF(A20&lt;(Summary!$K$3+365),K20,0))</f>
        <v>0</v>
      </c>
    </row>
    <row r="21" spans="1:12" x14ac:dyDescent="0.2">
      <c r="A21" s="23">
        <v>37591</v>
      </c>
      <c r="B21" s="14"/>
      <c r="C21" s="15" t="s">
        <v>31</v>
      </c>
      <c r="D21" s="24">
        <f>+[4]NYMEX!$C26+$D$9</f>
        <v>3.8439999999999999</v>
      </c>
      <c r="E21" s="14"/>
      <c r="F21" s="42">
        <f t="shared" si="2"/>
        <v>852500</v>
      </c>
      <c r="G21" s="14"/>
      <c r="H21" s="24">
        <f>'[4]ELpaso SJ &amp; Prm'!$F27</f>
        <v>3.9239999999999999</v>
      </c>
      <c r="I21" s="43">
        <f t="shared" si="0"/>
        <v>-68200.000000000058</v>
      </c>
      <c r="J21" s="43"/>
      <c r="K21" s="92">
        <f t="shared" si="1"/>
        <v>-68200.000000000058</v>
      </c>
      <c r="L21" s="357">
        <f>IF(K21=0,0,IF(A21&lt;(Summary!$K$3+365),K21,0))</f>
        <v>0</v>
      </c>
    </row>
    <row r="22" spans="1:12" x14ac:dyDescent="0.2">
      <c r="A22" s="23"/>
      <c r="B22" s="14"/>
      <c r="C22" s="15"/>
      <c r="D22" s="24"/>
      <c r="E22" s="14"/>
      <c r="F22" s="17">
        <f>SUM(F10:F21)</f>
        <v>10037500</v>
      </c>
      <c r="G22" s="14"/>
      <c r="H22" s="24"/>
      <c r="I22" s="16">
        <f>SUM(I10:I21)</f>
        <v>438899.99999999953</v>
      </c>
      <c r="J22" s="16">
        <f>SUM(J10:J21)</f>
        <v>0</v>
      </c>
      <c r="K22" s="16">
        <f>SUM(K10:K21)</f>
        <v>438899.99999999953</v>
      </c>
      <c r="L22" s="16">
        <f>SUM(L10:L21)</f>
        <v>110275.00000000023</v>
      </c>
    </row>
    <row r="23" spans="1:12" x14ac:dyDescent="0.2">
      <c r="A23" s="23"/>
      <c r="B23" s="14"/>
      <c r="C23" s="15"/>
      <c r="D23" s="24"/>
      <c r="E23" s="14"/>
      <c r="F23" s="17"/>
      <c r="G23" s="17"/>
      <c r="H23" s="181"/>
      <c r="I23" s="16"/>
      <c r="J23" s="28"/>
      <c r="K23" s="18"/>
      <c r="L23" s="16"/>
    </row>
    <row r="24" spans="1:12" x14ac:dyDescent="0.2">
      <c r="A24" s="23"/>
      <c r="B24" s="14"/>
      <c r="C24" s="15"/>
      <c r="D24" s="24"/>
      <c r="E24" s="14"/>
      <c r="F24" s="17"/>
      <c r="G24" s="14"/>
      <c r="H24" s="24"/>
      <c r="I24" s="16"/>
      <c r="J24" s="28"/>
      <c r="K24" s="18"/>
      <c r="L24" s="43"/>
    </row>
    <row r="25" spans="1:12" ht="13.5" thickBot="1" x14ac:dyDescent="0.25">
      <c r="A25" s="23"/>
      <c r="B25" s="14"/>
      <c r="C25" s="15"/>
      <c r="D25" s="24"/>
      <c r="E25" s="14"/>
      <c r="F25" s="89">
        <f>+F22</f>
        <v>10037500</v>
      </c>
      <c r="G25" s="14"/>
      <c r="H25" s="24"/>
      <c r="I25" s="90">
        <f>+I22</f>
        <v>438899.99999999953</v>
      </c>
      <c r="J25" s="90">
        <f>+J22</f>
        <v>0</v>
      </c>
      <c r="K25" s="90">
        <f>+K22</f>
        <v>438899.99999999953</v>
      </c>
      <c r="L25" s="90">
        <f>+L22</f>
        <v>110275.00000000023</v>
      </c>
    </row>
    <row r="26" spans="1:12" ht="13.5" thickTop="1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9"/>
      <c r="K26" s="29"/>
      <c r="L26" s="29"/>
    </row>
    <row r="28" spans="1:12" x14ac:dyDescent="0.2">
      <c r="A28" s="22" t="s">
        <v>37</v>
      </c>
    </row>
    <row r="31" spans="1:12" x14ac:dyDescent="0.2">
      <c r="G31" s="182"/>
    </row>
    <row r="32" spans="1:12" x14ac:dyDescent="0.2">
      <c r="G32" s="182"/>
    </row>
    <row r="33" spans="7:7" x14ac:dyDescent="0.2">
      <c r="G33" s="182"/>
    </row>
    <row r="34" spans="7:7" x14ac:dyDescent="0.2">
      <c r="G34" s="182"/>
    </row>
    <row r="35" spans="7:7" x14ac:dyDescent="0.2">
      <c r="G35" s="182"/>
    </row>
    <row r="36" spans="7:7" x14ac:dyDescent="0.2">
      <c r="G36" s="182"/>
    </row>
    <row r="37" spans="7:7" x14ac:dyDescent="0.2">
      <c r="G37" s="182"/>
    </row>
    <row r="38" spans="7:7" x14ac:dyDescent="0.2">
      <c r="G38" s="182"/>
    </row>
    <row r="39" spans="7:7" x14ac:dyDescent="0.2">
      <c r="G39" s="182"/>
    </row>
    <row r="40" spans="7:7" x14ac:dyDescent="0.2">
      <c r="G40" s="182"/>
    </row>
    <row r="41" spans="7:7" x14ac:dyDescent="0.2">
      <c r="G41" s="182"/>
    </row>
    <row r="42" spans="7:7" x14ac:dyDescent="0.2">
      <c r="G42" s="182"/>
    </row>
    <row r="43" spans="7:7" x14ac:dyDescent="0.2">
      <c r="G43" s="182"/>
    </row>
  </sheetData>
  <mergeCells count="1">
    <mergeCell ref="A4:K4"/>
  </mergeCells>
  <phoneticPr fontId="0" type="noConversion"/>
  <pageMargins left="0.75" right="0.75" top="1" bottom="1" header="0.5" footer="0.5"/>
  <pageSetup scale="87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zoomScale="73" workbookViewId="0">
      <selection activeCell="H15" sqref="H15"/>
    </sheetView>
  </sheetViews>
  <sheetFormatPr defaultRowHeight="12.75" x14ac:dyDescent="0.2"/>
  <cols>
    <col min="1" max="1" width="8.140625" customWidth="1"/>
    <col min="2" max="2" width="10.7109375" customWidth="1"/>
    <col min="3" max="3" width="10.28515625" bestFit="1" customWidth="1"/>
    <col min="4" max="4" width="18.5703125" customWidth="1"/>
    <col min="5" max="5" width="0" hidden="1" customWidth="1"/>
    <col min="6" max="6" width="12.7109375" customWidth="1"/>
    <col min="7" max="7" width="9" customWidth="1"/>
    <col min="8" max="8" width="16.7109375" customWidth="1"/>
    <col min="9" max="9" width="15" bestFit="1" customWidth="1"/>
    <col min="10" max="10" width="13.42578125" customWidth="1"/>
    <col min="11" max="11" width="15" bestFit="1" customWidth="1"/>
    <col min="12" max="12" width="17.28515625" bestFit="1" customWidth="1"/>
  </cols>
  <sheetData>
    <row r="1" spans="1:12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121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591"/>
      <c r="B4" s="591"/>
      <c r="C4" s="591"/>
      <c r="D4" s="591"/>
      <c r="E4" s="591"/>
      <c r="F4" s="591"/>
      <c r="G4" s="591"/>
      <c r="H4" s="591"/>
      <c r="I4" s="591"/>
      <c r="J4" s="591"/>
      <c r="K4" s="591"/>
    </row>
    <row r="5" spans="1:12" x14ac:dyDescent="0.2">
      <c r="G5" s="114"/>
      <c r="H5" s="114"/>
    </row>
    <row r="6" spans="1:12" s="7" customFormat="1" x14ac:dyDescent="0.2">
      <c r="A6" s="320" t="s">
        <v>39</v>
      </c>
      <c r="B6" s="290" t="s">
        <v>3</v>
      </c>
      <c r="C6" s="290" t="s">
        <v>3</v>
      </c>
      <c r="D6" s="290" t="s">
        <v>31</v>
      </c>
      <c r="E6" s="290"/>
      <c r="F6" s="290"/>
      <c r="G6" s="290"/>
      <c r="H6" s="290" t="s">
        <v>25</v>
      </c>
      <c r="I6" s="291" t="s">
        <v>42</v>
      </c>
      <c r="J6" s="292"/>
      <c r="K6" s="293"/>
    </row>
    <row r="7" spans="1:12" s="7" customFormat="1" x14ac:dyDescent="0.2">
      <c r="A7" s="320" t="s">
        <v>43</v>
      </c>
      <c r="B7" s="294" t="s">
        <v>9</v>
      </c>
      <c r="C7" s="294" t="s">
        <v>8</v>
      </c>
      <c r="D7" s="294" t="s">
        <v>86</v>
      </c>
      <c r="E7" s="294"/>
      <c r="F7" s="294"/>
      <c r="G7" s="294"/>
      <c r="H7" s="294" t="s">
        <v>122</v>
      </c>
      <c r="I7" s="294" t="s">
        <v>19</v>
      </c>
      <c r="J7" s="294" t="s">
        <v>20</v>
      </c>
      <c r="K7" s="294" t="s">
        <v>21</v>
      </c>
      <c r="L7" s="124"/>
    </row>
    <row r="8" spans="1:12" x14ac:dyDescent="0.2">
      <c r="A8" s="373"/>
      <c r="B8" s="374"/>
      <c r="C8" s="374"/>
      <c r="D8" s="294" t="s">
        <v>87</v>
      </c>
      <c r="E8" s="374"/>
      <c r="F8" s="374"/>
      <c r="G8" s="375"/>
      <c r="H8" s="294" t="s">
        <v>123</v>
      </c>
      <c r="I8" s="360" t="s">
        <v>24</v>
      </c>
      <c r="J8" s="360" t="s">
        <v>24</v>
      </c>
      <c r="K8" s="360" t="s">
        <v>24</v>
      </c>
      <c r="L8" s="19"/>
    </row>
    <row r="9" spans="1:12" x14ac:dyDescent="0.2">
      <c r="A9" s="321"/>
      <c r="B9" s="296"/>
      <c r="C9" s="296"/>
      <c r="D9" s="377">
        <v>1.05</v>
      </c>
      <c r="E9" s="296"/>
      <c r="F9" s="296"/>
      <c r="G9" s="297"/>
      <c r="H9" s="147" t="s">
        <v>124</v>
      </c>
      <c r="I9" s="298"/>
      <c r="J9" s="298"/>
      <c r="K9" s="298"/>
      <c r="L9" s="382" t="s">
        <v>207</v>
      </c>
    </row>
    <row r="10" spans="1:12" x14ac:dyDescent="0.2">
      <c r="A10" s="326">
        <v>37257</v>
      </c>
      <c r="B10" s="288"/>
      <c r="C10" s="327" t="s">
        <v>31</v>
      </c>
      <c r="D10" s="301">
        <f>+[4]NYMEX!$C15+$D$9</f>
        <v>5.4909999999999997</v>
      </c>
      <c r="E10" s="288"/>
      <c r="F10" s="300">
        <f>27500*31</f>
        <v>852500</v>
      </c>
      <c r="G10" s="301"/>
      <c r="H10" s="301">
        <f>+'[4]NGI Socal'!$E10</f>
        <v>7.6909999999999998</v>
      </c>
      <c r="I10" s="26">
        <f>(-D10+H10)*F10</f>
        <v>1875500.0000000002</v>
      </c>
      <c r="J10" s="302"/>
      <c r="K10" s="302">
        <f>+I10</f>
        <v>1875500.0000000002</v>
      </c>
      <c r="L10" s="358">
        <f>IF(K10=0,0,IF(A10&lt;(Summary!$K$3+365),K10,0))</f>
        <v>1875500.0000000002</v>
      </c>
    </row>
    <row r="11" spans="1:12" x14ac:dyDescent="0.2">
      <c r="A11" s="326">
        <v>37288</v>
      </c>
      <c r="B11" s="288"/>
      <c r="C11" s="327" t="s">
        <v>31</v>
      </c>
      <c r="D11" s="301">
        <f>+[4]NYMEX!$C16+$D$9</f>
        <v>5.3739999999999997</v>
      </c>
      <c r="E11" s="288"/>
      <c r="F11" s="300">
        <f>27500*28</f>
        <v>770000</v>
      </c>
      <c r="G11" s="301"/>
      <c r="H11" s="301">
        <f>+'[4]NGI Socal'!$E11</f>
        <v>7.2039999999999997</v>
      </c>
      <c r="I11" s="26">
        <f>+F11*(+H11-D11)</f>
        <v>1409100</v>
      </c>
      <c r="J11" s="302"/>
      <c r="K11" s="302">
        <f t="shared" ref="K11:K21" si="0">+I11</f>
        <v>1409100</v>
      </c>
      <c r="L11" s="358">
        <f>IF(K11=0,0,IF(A11&lt;(Summary!$K$3+365),K11,0))</f>
        <v>1409100</v>
      </c>
    </row>
    <row r="12" spans="1:12" x14ac:dyDescent="0.2">
      <c r="A12" s="326">
        <v>37316</v>
      </c>
      <c r="B12" s="288"/>
      <c r="C12" s="327" t="s">
        <v>31</v>
      </c>
      <c r="D12" s="301">
        <f>+[4]NYMEX!$C17+$D$9</f>
        <v>5.2050000000000001</v>
      </c>
      <c r="E12" s="288"/>
      <c r="F12" s="300">
        <f>27500*31</f>
        <v>852500</v>
      </c>
      <c r="G12" s="288"/>
      <c r="H12" s="301">
        <f>+'[4]NGI Socal'!$E12</f>
        <v>5.3849999999999998</v>
      </c>
      <c r="I12" s="26">
        <f t="shared" ref="I12:I21" si="1">+F12*(+H12-D12)</f>
        <v>153449.99999999977</v>
      </c>
      <c r="J12" s="302"/>
      <c r="K12" s="302">
        <f t="shared" si="0"/>
        <v>153449.99999999977</v>
      </c>
      <c r="L12" s="358">
        <f>IF(K12=0,0,IF(A12&lt;(Summary!$K$3+365),K12,0))</f>
        <v>153449.99999999977</v>
      </c>
    </row>
    <row r="13" spans="1:12" x14ac:dyDescent="0.2">
      <c r="A13" s="326">
        <v>37347</v>
      </c>
      <c r="B13" s="288"/>
      <c r="C13" s="327" t="s">
        <v>31</v>
      </c>
      <c r="D13" s="301">
        <f>+[4]NYMEX!$C18+$D$9</f>
        <v>4.8600000000000003</v>
      </c>
      <c r="E13" s="288"/>
      <c r="F13" s="300">
        <f>27500*30</f>
        <v>825000</v>
      </c>
      <c r="G13" s="288"/>
      <c r="H13" s="301">
        <f>+'[4]NGI Socal'!$E13</f>
        <v>5.1050000000000004</v>
      </c>
      <c r="I13" s="26">
        <f t="shared" si="1"/>
        <v>202125.00000000009</v>
      </c>
      <c r="J13" s="288"/>
      <c r="K13" s="302">
        <f t="shared" si="0"/>
        <v>202125.00000000009</v>
      </c>
      <c r="L13" s="358">
        <f>IF(K13=0,0,IF(A13&lt;(Summary!$K$3+365),K13,0))</f>
        <v>202125.00000000009</v>
      </c>
    </row>
    <row r="14" spans="1:12" x14ac:dyDescent="0.2">
      <c r="A14" s="326">
        <v>37377</v>
      </c>
      <c r="B14" s="288"/>
      <c r="C14" s="327" t="s">
        <v>31</v>
      </c>
      <c r="D14" s="301">
        <f>+[4]NYMEX!$C19+$D$9</f>
        <v>4.7850000000000001</v>
      </c>
      <c r="E14" s="288"/>
      <c r="F14" s="300">
        <f>27500*31</f>
        <v>852500</v>
      </c>
      <c r="G14" s="288"/>
      <c r="H14" s="301">
        <f>+'[4]NGI Socal'!$E14</f>
        <v>4.43</v>
      </c>
      <c r="I14" s="26">
        <f t="shared" si="1"/>
        <v>-302637.50000000035</v>
      </c>
      <c r="J14" s="288"/>
      <c r="K14" s="302">
        <f t="shared" si="0"/>
        <v>-302637.50000000035</v>
      </c>
      <c r="L14" s="358">
        <f>IF(K14=0,0,IF(A14&lt;(Summary!$K$3+365),K14,0))</f>
        <v>-302637.50000000035</v>
      </c>
    </row>
    <row r="15" spans="1:12" x14ac:dyDescent="0.2">
      <c r="A15" s="326">
        <v>37408</v>
      </c>
      <c r="B15" s="288"/>
      <c r="C15" s="327" t="s">
        <v>31</v>
      </c>
      <c r="D15" s="301">
        <f>+[4]NYMEX!$C20+$D$9</f>
        <v>4.83</v>
      </c>
      <c r="E15" s="288"/>
      <c r="F15" s="300">
        <f>27500*30</f>
        <v>825000</v>
      </c>
      <c r="G15" s="288"/>
      <c r="H15" s="301">
        <f>+'[4]NGI Socal'!$E15</f>
        <v>4.5750000000000002</v>
      </c>
      <c r="I15" s="26">
        <f t="shared" si="1"/>
        <v>-210374.99999999991</v>
      </c>
      <c r="J15" s="288"/>
      <c r="K15" s="302">
        <f t="shared" si="0"/>
        <v>-210374.99999999991</v>
      </c>
      <c r="L15" s="358">
        <f>IF(K15=0,0,IF(A15&lt;(Summary!$K$3+365),K15,0))</f>
        <v>0</v>
      </c>
    </row>
    <row r="16" spans="1:12" x14ac:dyDescent="0.2">
      <c r="A16" s="23">
        <v>37438</v>
      </c>
      <c r="B16" s="14"/>
      <c r="C16" s="15" t="s">
        <v>31</v>
      </c>
      <c r="D16" s="301">
        <f>+[4]NYMEX!$C21+$D$9</f>
        <v>4.8650000000000002</v>
      </c>
      <c r="E16" s="14"/>
      <c r="F16" s="17">
        <f>27500*31</f>
        <v>852500</v>
      </c>
      <c r="G16" s="14"/>
      <c r="H16" s="301">
        <f>+'[4]NGI Socal'!$E16</f>
        <v>5.08</v>
      </c>
      <c r="I16" s="16">
        <f t="shared" si="1"/>
        <v>183287.49999999988</v>
      </c>
      <c r="J16" s="14"/>
      <c r="K16" s="30">
        <f t="shared" si="0"/>
        <v>183287.49999999988</v>
      </c>
      <c r="L16" s="358">
        <f>IF(K16=0,0,IF(A16&lt;(Summary!$K$3+365),K16,0))</f>
        <v>0</v>
      </c>
    </row>
    <row r="17" spans="1:12" x14ac:dyDescent="0.2">
      <c r="A17" s="23">
        <v>37469</v>
      </c>
      <c r="B17" s="14"/>
      <c r="C17" s="15" t="s">
        <v>31</v>
      </c>
      <c r="D17" s="301">
        <f>+[4]NYMEX!$C22+$D$9</f>
        <v>4.8849999999999998</v>
      </c>
      <c r="E17" s="14"/>
      <c r="F17" s="17">
        <f>27500*31</f>
        <v>852500</v>
      </c>
      <c r="G17" s="14"/>
      <c r="H17" s="301">
        <f>+'[4]NGI Socal'!$E17</f>
        <v>5.0999999999999996</v>
      </c>
      <c r="I17" s="16">
        <f t="shared" si="1"/>
        <v>183287.49999999988</v>
      </c>
      <c r="J17" s="14"/>
      <c r="K17" s="30">
        <f t="shared" si="0"/>
        <v>183287.49999999988</v>
      </c>
      <c r="L17" s="358">
        <f>IF(K17=0,0,IF(A17&lt;(Summary!$K$3+365),K17,0))</f>
        <v>0</v>
      </c>
    </row>
    <row r="18" spans="1:12" x14ac:dyDescent="0.2">
      <c r="A18" s="23">
        <v>37500</v>
      </c>
      <c r="B18" s="14"/>
      <c r="C18" s="15" t="s">
        <v>31</v>
      </c>
      <c r="D18" s="301">
        <f>+[4]NYMEX!$C23+$D$9</f>
        <v>4.9020000000000001</v>
      </c>
      <c r="E18" s="14"/>
      <c r="F18" s="17">
        <f>27500*30</f>
        <v>825000</v>
      </c>
      <c r="G18" s="14"/>
      <c r="H18" s="301">
        <f>+'[4]NGI Socal'!$E18</f>
        <v>5.117</v>
      </c>
      <c r="I18" s="16">
        <f t="shared" si="1"/>
        <v>177374.99999999988</v>
      </c>
      <c r="J18" s="14"/>
      <c r="K18" s="30">
        <f t="shared" si="0"/>
        <v>177374.99999999988</v>
      </c>
      <c r="L18" s="358">
        <f>IF(K18=0,0,IF(A18&lt;(Summary!$K$3+365),K18,0))</f>
        <v>0</v>
      </c>
    </row>
    <row r="19" spans="1:12" x14ac:dyDescent="0.2">
      <c r="A19" s="23">
        <v>37530</v>
      </c>
      <c r="B19" s="14"/>
      <c r="C19" s="15" t="s">
        <v>31</v>
      </c>
      <c r="D19" s="301">
        <f>+[4]NYMEX!$C24+$D$9</f>
        <v>4.9190000000000005</v>
      </c>
      <c r="E19" s="14"/>
      <c r="F19" s="17">
        <f>27500*31</f>
        <v>852500</v>
      </c>
      <c r="G19" s="14"/>
      <c r="H19" s="301">
        <f>+'[4]NGI Socal'!$E19</f>
        <v>4.2839999999999998</v>
      </c>
      <c r="I19" s="16">
        <f t="shared" si="1"/>
        <v>-541337.50000000058</v>
      </c>
      <c r="J19" s="14"/>
      <c r="K19" s="30">
        <f t="shared" si="0"/>
        <v>-541337.50000000058</v>
      </c>
      <c r="L19" s="358">
        <f>IF(K19=0,0,IF(A19&lt;(Summary!$K$3+365),K19,0))</f>
        <v>0</v>
      </c>
    </row>
    <row r="20" spans="1:12" x14ac:dyDescent="0.2">
      <c r="A20" s="23">
        <v>37561</v>
      </c>
      <c r="B20" s="14"/>
      <c r="C20" s="15" t="s">
        <v>31</v>
      </c>
      <c r="D20" s="301">
        <f>+[4]NYMEX!$C25+$D$9</f>
        <v>5.0339999999999998</v>
      </c>
      <c r="E20" s="14"/>
      <c r="F20" s="17">
        <f>27500*30</f>
        <v>825000</v>
      </c>
      <c r="G20" s="14"/>
      <c r="H20" s="301">
        <f>+'[4]NGI Socal'!$E20</f>
        <v>4.9640000000000004</v>
      </c>
      <c r="I20" s="16">
        <f t="shared" si="1"/>
        <v>-57749.999999999505</v>
      </c>
      <c r="J20" s="14"/>
      <c r="K20" s="30">
        <f t="shared" si="0"/>
        <v>-57749.999999999505</v>
      </c>
      <c r="L20" s="358">
        <f>IF(K20=0,0,IF(A20&lt;(Summary!$K$3+365),K20,0))</f>
        <v>0</v>
      </c>
    </row>
    <row r="21" spans="1:12" x14ac:dyDescent="0.2">
      <c r="A21" s="23">
        <v>37591</v>
      </c>
      <c r="B21" s="14"/>
      <c r="C21" s="15" t="s">
        <v>31</v>
      </c>
      <c r="D21" s="433">
        <f>+[4]NYMEX!$C26+$D$9</f>
        <v>5.1639999999999997</v>
      </c>
      <c r="E21" s="14"/>
      <c r="F21" s="42">
        <f>27500*31</f>
        <v>852500</v>
      </c>
      <c r="G21" s="14"/>
      <c r="H21" s="433">
        <f>+'[4]NGI Socal'!$E21</f>
        <v>5.0939999999999994</v>
      </c>
      <c r="I21" s="43">
        <f t="shared" si="1"/>
        <v>-59675.00000000024</v>
      </c>
      <c r="J21" s="43"/>
      <c r="K21" s="92">
        <f t="shared" si="0"/>
        <v>-59675.00000000024</v>
      </c>
      <c r="L21" s="358">
        <f>IF(K21=0,0,IF(A21&lt;(Summary!$K$3+365),K21,0))</f>
        <v>0</v>
      </c>
    </row>
    <row r="22" spans="1:12" x14ac:dyDescent="0.2">
      <c r="A22" s="23"/>
      <c r="B22" s="14"/>
      <c r="C22" s="15"/>
      <c r="D22" s="24">
        <f>AVERAGE(D10:D21)</f>
        <v>5.0261666666666667</v>
      </c>
      <c r="E22" s="14"/>
      <c r="F22" s="17">
        <f>SUM(F10:F21)</f>
        <v>10037500</v>
      </c>
      <c r="G22" s="14"/>
      <c r="H22" s="24">
        <f>AVERAGE(H10:H21)</f>
        <v>5.33575</v>
      </c>
      <c r="I22" s="16">
        <f>SUM(I10:I21)</f>
        <v>3012349.9999999991</v>
      </c>
      <c r="J22" s="16">
        <f>SUM(J10:J21)</f>
        <v>0</v>
      </c>
      <c r="K22" s="16">
        <f>SUM(K10:K21)</f>
        <v>3012349.9999999991</v>
      </c>
      <c r="L22" s="16">
        <f>SUM(L10:L21)</f>
        <v>3337537.4999999995</v>
      </c>
    </row>
    <row r="23" spans="1:12" x14ac:dyDescent="0.2">
      <c r="A23" s="23"/>
      <c r="B23" s="14"/>
      <c r="C23" s="15"/>
      <c r="D23" s="24"/>
      <c r="E23" s="14"/>
      <c r="F23" s="17"/>
      <c r="G23" s="19"/>
      <c r="H23" s="24"/>
      <c r="I23" s="16"/>
      <c r="J23" s="28"/>
      <c r="K23" s="18"/>
      <c r="L23" s="18"/>
    </row>
    <row r="24" spans="1:12" x14ac:dyDescent="0.2">
      <c r="A24" s="23"/>
      <c r="B24" s="14"/>
      <c r="C24" s="15"/>
      <c r="D24" s="24"/>
      <c r="E24" s="14"/>
      <c r="F24" s="17"/>
      <c r="G24" s="14"/>
      <c r="H24" s="24"/>
      <c r="I24" s="16"/>
      <c r="J24" s="28"/>
      <c r="K24" s="18"/>
      <c r="L24" s="18"/>
    </row>
    <row r="25" spans="1:12" ht="13.5" thickBot="1" x14ac:dyDescent="0.25">
      <c r="A25" s="23"/>
      <c r="B25" s="14"/>
      <c r="C25" s="15"/>
      <c r="D25" s="24"/>
      <c r="E25" s="14"/>
      <c r="F25" s="89">
        <f>+F22</f>
        <v>10037500</v>
      </c>
      <c r="G25" s="14"/>
      <c r="H25" s="24"/>
      <c r="I25" s="90">
        <f>+I22</f>
        <v>3012349.9999999991</v>
      </c>
      <c r="J25" s="90">
        <f>+J22</f>
        <v>0</v>
      </c>
      <c r="K25" s="90">
        <f>+K22</f>
        <v>3012349.9999999991</v>
      </c>
      <c r="L25" s="90">
        <f>+L22</f>
        <v>3337537.4999999995</v>
      </c>
    </row>
    <row r="26" spans="1:12" ht="13.5" thickTop="1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9"/>
      <c r="K26" s="29"/>
      <c r="L26" s="29"/>
    </row>
    <row r="28" spans="1:12" x14ac:dyDescent="0.2">
      <c r="A28" s="22" t="s">
        <v>37</v>
      </c>
    </row>
    <row r="30" spans="1:12" x14ac:dyDescent="0.2">
      <c r="D30" t="s">
        <v>111</v>
      </c>
    </row>
    <row r="31" spans="1:12" x14ac:dyDescent="0.2">
      <c r="D31" t="s">
        <v>86</v>
      </c>
    </row>
    <row r="32" spans="1:12" x14ac:dyDescent="0.2">
      <c r="D32" t="s">
        <v>134</v>
      </c>
    </row>
    <row r="33" spans="1:9" x14ac:dyDescent="0.2">
      <c r="D33">
        <v>-0.05</v>
      </c>
    </row>
    <row r="35" spans="1:9" x14ac:dyDescent="0.2">
      <c r="A35" s="23">
        <v>37257</v>
      </c>
      <c r="D35" s="144">
        <f>+'[4]NGI Socal'!$F10+$D$33</f>
        <v>7.9409999999999998</v>
      </c>
      <c r="F35" s="17">
        <f>27500*31</f>
        <v>852500</v>
      </c>
      <c r="H35" s="24">
        <f>+'[4]ELpaso SJ &amp; Prm'!$G16</f>
        <v>4.2084999999999999</v>
      </c>
      <c r="I35" s="182">
        <f>(+H35-D35)*F35</f>
        <v>-3181956.25</v>
      </c>
    </row>
    <row r="36" spans="1:9" x14ac:dyDescent="0.2">
      <c r="A36" s="23">
        <v>37288</v>
      </c>
      <c r="D36" s="144">
        <f>+'[4]NGI Socal'!$F11+$D$33</f>
        <v>7.4539999999999997</v>
      </c>
      <c r="F36" s="17">
        <f>27500*28</f>
        <v>770000</v>
      </c>
      <c r="H36" s="24">
        <f>+'[4]ELpaso SJ &amp; Prm'!$G17</f>
        <v>4.0914999999999999</v>
      </c>
      <c r="I36" s="182">
        <f t="shared" ref="I36:I46" si="2">(+H36-D36)*F36</f>
        <v>-2589125</v>
      </c>
    </row>
    <row r="37" spans="1:9" x14ac:dyDescent="0.2">
      <c r="A37" s="23">
        <v>37316</v>
      </c>
      <c r="D37" s="144">
        <f>+'[4]NGI Socal'!$F12+$D$33</f>
        <v>5.6349999999999998</v>
      </c>
      <c r="F37" s="17">
        <f>27500*31</f>
        <v>852500</v>
      </c>
      <c r="H37" s="24">
        <f>+'[4]ELpaso SJ &amp; Prm'!$G18</f>
        <v>3.9224999999999999</v>
      </c>
      <c r="I37" s="182">
        <f t="shared" si="2"/>
        <v>-1459906.25</v>
      </c>
    </row>
    <row r="38" spans="1:9" x14ac:dyDescent="0.2">
      <c r="A38" s="23">
        <v>37347</v>
      </c>
      <c r="D38" s="144">
        <f>+'[4]NGI Socal'!$F13+$D$33</f>
        <v>5.2150000000000007</v>
      </c>
      <c r="F38" s="17">
        <f>27500*30</f>
        <v>825000</v>
      </c>
      <c r="H38" s="24">
        <f>+'[4]ELpaso SJ &amp; Prm'!$G19</f>
        <v>3.4350000000000001</v>
      </c>
      <c r="I38" s="182">
        <f t="shared" si="2"/>
        <v>-1468500.0000000005</v>
      </c>
    </row>
    <row r="39" spans="1:9" x14ac:dyDescent="0.2">
      <c r="A39" s="23">
        <v>37377</v>
      </c>
      <c r="D39" s="144">
        <f>+'[4]NGI Socal'!$F14+$D$33</f>
        <v>4.54</v>
      </c>
      <c r="F39" s="17">
        <f>27500*31</f>
        <v>852500</v>
      </c>
      <c r="H39" s="24">
        <f>+'[4]ELpaso SJ &amp; Prm'!$G20</f>
        <v>3.36</v>
      </c>
      <c r="I39" s="182">
        <f t="shared" si="2"/>
        <v>-1005950.0000000001</v>
      </c>
    </row>
    <row r="40" spans="1:9" x14ac:dyDescent="0.2">
      <c r="A40" s="23">
        <v>37408</v>
      </c>
      <c r="D40" s="144">
        <f>+'[4]NGI Socal'!$F15+$D$33</f>
        <v>4.6850000000000005</v>
      </c>
      <c r="F40" s="17">
        <f>27500*30</f>
        <v>825000</v>
      </c>
      <c r="H40" s="24">
        <f>+'[4]ELpaso SJ &amp; Prm'!$G21</f>
        <v>3.4049999999999998</v>
      </c>
      <c r="I40" s="182">
        <f t="shared" si="2"/>
        <v>-1056000.0000000005</v>
      </c>
    </row>
    <row r="41" spans="1:9" x14ac:dyDescent="0.2">
      <c r="A41" s="23">
        <v>37438</v>
      </c>
      <c r="D41" s="144">
        <f>+'[4]NGI Socal'!$F16+$D$33</f>
        <v>5.19</v>
      </c>
      <c r="F41" s="17">
        <f>27500*31</f>
        <v>852500</v>
      </c>
      <c r="H41" s="24">
        <f>+'[4]ELpaso SJ &amp; Prm'!$G22</f>
        <v>3.44</v>
      </c>
      <c r="I41" s="182">
        <f t="shared" si="2"/>
        <v>-1491875.0000000005</v>
      </c>
    </row>
    <row r="42" spans="1:9" x14ac:dyDescent="0.2">
      <c r="A42" s="23">
        <v>37469</v>
      </c>
      <c r="D42" s="144">
        <f>+'[4]NGI Socal'!$F17+$D$33</f>
        <v>5.21</v>
      </c>
      <c r="F42" s="17">
        <f>27500*31</f>
        <v>852500</v>
      </c>
      <c r="H42" s="24">
        <f>+'[4]ELpaso SJ &amp; Prm'!$G23</f>
        <v>3.46</v>
      </c>
      <c r="I42" s="182">
        <f t="shared" si="2"/>
        <v>-1491875</v>
      </c>
    </row>
    <row r="43" spans="1:9" x14ac:dyDescent="0.2">
      <c r="A43" s="23">
        <v>37500</v>
      </c>
      <c r="D43" s="144">
        <f>+'[4]NGI Socal'!$F18+$D$33</f>
        <v>5.2270000000000003</v>
      </c>
      <c r="F43" s="17">
        <f>27500*30</f>
        <v>825000</v>
      </c>
      <c r="H43" s="24">
        <f>+'[4]ELpaso SJ &amp; Prm'!$G24</f>
        <v>3.4769999999999999</v>
      </c>
      <c r="I43" s="182">
        <f t="shared" si="2"/>
        <v>-1443750.0000000005</v>
      </c>
    </row>
    <row r="44" spans="1:9" x14ac:dyDescent="0.2">
      <c r="A44" s="23">
        <v>37530</v>
      </c>
      <c r="D44" s="144">
        <f>+'[4]NGI Socal'!$F19+$D$33</f>
        <v>4.3940000000000001</v>
      </c>
      <c r="F44" s="17">
        <f>27500*31</f>
        <v>852500</v>
      </c>
      <c r="H44" s="24">
        <f>+'[4]ELpaso SJ &amp; Prm'!$G25</f>
        <v>3.4940000000000002</v>
      </c>
      <c r="I44" s="182">
        <f t="shared" si="2"/>
        <v>-767249.99999999988</v>
      </c>
    </row>
    <row r="45" spans="1:9" x14ac:dyDescent="0.2">
      <c r="A45" s="23">
        <v>37561</v>
      </c>
      <c r="D45" s="144">
        <f>+'[4]NGI Socal'!$F20+$D$33</f>
        <v>5.0140000000000002</v>
      </c>
      <c r="F45" s="17">
        <f>27500*30</f>
        <v>825000</v>
      </c>
      <c r="H45" s="24">
        <f>+'[4]ELpaso SJ &amp; Prm'!$G26</f>
        <v>3.8014999999999999</v>
      </c>
      <c r="I45" s="182">
        <f t="shared" si="2"/>
        <v>-1000312.5000000003</v>
      </c>
    </row>
    <row r="46" spans="1:9" x14ac:dyDescent="0.2">
      <c r="A46" s="23">
        <v>37591</v>
      </c>
      <c r="D46" s="144">
        <f>+'[4]NGI Socal'!$F21+$D$33</f>
        <v>5.1439999999999992</v>
      </c>
      <c r="F46" s="42">
        <f>27500*31</f>
        <v>852500</v>
      </c>
      <c r="H46" s="24">
        <f>+'[4]ELpaso SJ &amp; Prm'!$G27</f>
        <v>3.9314999999999998</v>
      </c>
      <c r="I46" s="182">
        <f t="shared" si="2"/>
        <v>-1033656.2499999995</v>
      </c>
    </row>
    <row r="47" spans="1:9" x14ac:dyDescent="0.2">
      <c r="I47" s="182">
        <f>SUM(I35:I46)</f>
        <v>-17990156.25</v>
      </c>
    </row>
  </sheetData>
  <mergeCells count="1">
    <mergeCell ref="A4:K4"/>
  </mergeCells>
  <phoneticPr fontId="0" type="noConversion"/>
  <pageMargins left="0.75" right="0.75" top="1" bottom="1" header="0.5" footer="0.5"/>
  <pageSetup scale="77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zoomScale="75" workbookViewId="0">
      <selection activeCell="H11" sqref="H11"/>
    </sheetView>
  </sheetViews>
  <sheetFormatPr defaultRowHeight="12.75" x14ac:dyDescent="0.2"/>
  <cols>
    <col min="1" max="1" width="8.85546875" customWidth="1"/>
    <col min="2" max="2" width="10.7109375" customWidth="1"/>
    <col min="3" max="3" width="12.140625" bestFit="1" customWidth="1"/>
    <col min="4" max="4" width="18.5703125" customWidth="1"/>
    <col min="5" max="5" width="0" hidden="1" customWidth="1"/>
    <col min="6" max="6" width="12.7109375" customWidth="1"/>
    <col min="7" max="7" width="9.28515625" customWidth="1"/>
    <col min="8" max="8" width="16.7109375" customWidth="1"/>
    <col min="9" max="9" width="12.28515625" bestFit="1" customWidth="1"/>
    <col min="10" max="10" width="9.85546875" bestFit="1" customWidth="1"/>
    <col min="11" max="11" width="13.42578125" bestFit="1" customWidth="1"/>
    <col min="12" max="12" width="17.28515625" bestFit="1" customWidth="1"/>
  </cols>
  <sheetData>
    <row r="1" spans="1:12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175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591"/>
      <c r="B4" s="591"/>
      <c r="C4" s="591"/>
      <c r="D4" s="591"/>
      <c r="E4" s="591"/>
      <c r="F4" s="591"/>
      <c r="G4" s="591"/>
      <c r="H4" s="591"/>
      <c r="I4" s="591"/>
      <c r="J4" s="591"/>
      <c r="K4" s="591"/>
    </row>
    <row r="5" spans="1:12" x14ac:dyDescent="0.2">
      <c r="G5" s="114"/>
      <c r="H5" s="114"/>
    </row>
    <row r="6" spans="1:12" s="7" customFormat="1" x14ac:dyDescent="0.2">
      <c r="A6" s="320" t="s">
        <v>39</v>
      </c>
      <c r="B6" s="290" t="s">
        <v>3</v>
      </c>
      <c r="C6" s="290" t="s">
        <v>3</v>
      </c>
      <c r="D6" s="290" t="s">
        <v>94</v>
      </c>
      <c r="E6" s="290"/>
      <c r="F6" s="290"/>
      <c r="G6" s="290"/>
      <c r="H6" s="290" t="s">
        <v>25</v>
      </c>
      <c r="I6" s="291" t="s">
        <v>42</v>
      </c>
      <c r="J6" s="292"/>
      <c r="K6" s="293"/>
    </row>
    <row r="7" spans="1:12" s="7" customFormat="1" x14ac:dyDescent="0.2">
      <c r="A7" s="320" t="s">
        <v>43</v>
      </c>
      <c r="B7" s="294" t="s">
        <v>9</v>
      </c>
      <c r="C7" s="294" t="s">
        <v>8</v>
      </c>
      <c r="D7" s="294" t="s">
        <v>86</v>
      </c>
      <c r="E7" s="294"/>
      <c r="F7" s="294"/>
      <c r="G7" s="294"/>
      <c r="H7" s="294" t="s">
        <v>122</v>
      </c>
      <c r="I7" s="294" t="s">
        <v>19</v>
      </c>
      <c r="J7" s="294" t="s">
        <v>20</v>
      </c>
      <c r="K7" s="294" t="s">
        <v>21</v>
      </c>
      <c r="L7" s="124"/>
    </row>
    <row r="8" spans="1:12" x14ac:dyDescent="0.2">
      <c r="A8" s="373"/>
      <c r="B8" s="374"/>
      <c r="C8" s="374"/>
      <c r="D8" s="294" t="s">
        <v>152</v>
      </c>
      <c r="E8" s="374"/>
      <c r="F8" s="374"/>
      <c r="G8" s="375"/>
      <c r="H8" s="294" t="s">
        <v>155</v>
      </c>
      <c r="I8" s="360" t="s">
        <v>24</v>
      </c>
      <c r="J8" s="360" t="s">
        <v>24</v>
      </c>
      <c r="K8" s="360" t="s">
        <v>24</v>
      </c>
      <c r="L8" s="19"/>
    </row>
    <row r="9" spans="1:12" x14ac:dyDescent="0.2">
      <c r="A9" s="321"/>
      <c r="B9" s="296"/>
      <c r="C9" s="296"/>
      <c r="D9" s="377">
        <v>0.85</v>
      </c>
      <c r="E9" s="296"/>
      <c r="F9" s="296"/>
      <c r="G9" s="297"/>
      <c r="H9" s="147"/>
      <c r="I9" s="298"/>
      <c r="J9" s="298"/>
      <c r="K9" s="299"/>
      <c r="L9" s="379" t="s">
        <v>207</v>
      </c>
    </row>
    <row r="10" spans="1:12" x14ac:dyDescent="0.2">
      <c r="A10" s="23">
        <v>37561</v>
      </c>
      <c r="B10" s="14"/>
      <c r="C10" s="15" t="s">
        <v>31</v>
      </c>
      <c r="D10" s="24">
        <f>+[4]NYMEX!$C25+$D$9</f>
        <v>4.8339999999999996</v>
      </c>
      <c r="E10" s="14"/>
      <c r="F10" s="17">
        <f>21500*30</f>
        <v>645000</v>
      </c>
      <c r="G10" s="17"/>
      <c r="H10" s="24">
        <f>+'[4]NGI Socal'!$E20</f>
        <v>4.9640000000000004</v>
      </c>
      <c r="I10" s="16">
        <f>SUM(-D10+H10)*F10</f>
        <v>83850.000000000509</v>
      </c>
      <c r="J10" s="30"/>
      <c r="K10" s="30">
        <f>+I10</f>
        <v>83850.000000000509</v>
      </c>
      <c r="L10" s="357">
        <f>IF(K10=0,0,IF(A10&lt;(Summary!$K$3+365),K10,0))</f>
        <v>0</v>
      </c>
    </row>
    <row r="11" spans="1:12" x14ac:dyDescent="0.2">
      <c r="A11" s="23">
        <v>37591</v>
      </c>
      <c r="B11" s="14"/>
      <c r="C11" s="15" t="s">
        <v>31</v>
      </c>
      <c r="D11" s="24">
        <f>+[4]NYMEX!$C26+$D$9</f>
        <v>4.9639999999999995</v>
      </c>
      <c r="E11" s="14"/>
      <c r="F11" s="17">
        <f>21500*31</f>
        <v>666500</v>
      </c>
      <c r="G11" s="17"/>
      <c r="H11" s="24">
        <f>+'[4]NGI Socal'!$E21</f>
        <v>5.0939999999999994</v>
      </c>
      <c r="I11" s="16">
        <f>SUM(-D11+H11)*F11</f>
        <v>86644.999999999927</v>
      </c>
      <c r="J11" s="30"/>
      <c r="K11" s="30">
        <f>+I11</f>
        <v>86644.999999999927</v>
      </c>
      <c r="L11" s="357">
        <f>IF(K11=0,0,IF(A11&lt;(Summary!$K$3+365),K11,0))</f>
        <v>0</v>
      </c>
    </row>
    <row r="12" spans="1:12" x14ac:dyDescent="0.2">
      <c r="A12" s="23"/>
      <c r="B12" s="14"/>
      <c r="C12" s="15"/>
      <c r="D12" s="123"/>
      <c r="E12" s="14"/>
      <c r="F12" s="42"/>
      <c r="G12" s="17"/>
      <c r="H12" s="123"/>
      <c r="I12" s="43"/>
      <c r="J12" s="43"/>
      <c r="K12" s="92"/>
      <c r="L12" s="14"/>
    </row>
    <row r="13" spans="1:12" x14ac:dyDescent="0.2">
      <c r="A13" s="23"/>
      <c r="B13" s="14"/>
      <c r="C13" s="15"/>
      <c r="D13" s="24">
        <f>SUM(D10:D12)/2</f>
        <v>4.8989999999999991</v>
      </c>
      <c r="E13" s="14"/>
      <c r="F13" s="17">
        <f>SUM(F10:F12)</f>
        <v>1311500</v>
      </c>
      <c r="G13" s="14"/>
      <c r="H13" s="24">
        <f>SUM(H10:H12)/2</f>
        <v>5.0289999999999999</v>
      </c>
      <c r="I13" s="16">
        <f>SUM(I10:I12)</f>
        <v>170495.00000000044</v>
      </c>
      <c r="J13" s="16">
        <f>SUM(J10:J12)</f>
        <v>0</v>
      </c>
      <c r="K13" s="16">
        <f>SUM(K10:K12)</f>
        <v>170495.00000000044</v>
      </c>
      <c r="L13" s="16">
        <f>SUM(L10:L12)</f>
        <v>0</v>
      </c>
    </row>
    <row r="14" spans="1:12" x14ac:dyDescent="0.2">
      <c r="A14" s="23"/>
      <c r="B14" s="14"/>
      <c r="C14" s="15"/>
      <c r="D14" s="24"/>
      <c r="E14" s="14"/>
      <c r="F14" s="17"/>
      <c r="G14" s="208"/>
      <c r="H14" s="24"/>
      <c r="I14" s="16"/>
      <c r="J14" s="28"/>
      <c r="K14" s="18"/>
      <c r="L14" s="16"/>
    </row>
    <row r="15" spans="1:12" x14ac:dyDescent="0.2">
      <c r="A15" s="23"/>
      <c r="B15" s="14"/>
      <c r="C15" s="15"/>
      <c r="D15" s="24"/>
      <c r="E15" s="14"/>
      <c r="F15" s="17"/>
      <c r="G15" s="14"/>
      <c r="H15" s="24"/>
      <c r="I15" s="16"/>
      <c r="J15" s="28"/>
      <c r="K15" s="18"/>
      <c r="L15" s="16"/>
    </row>
    <row r="16" spans="1:12" ht="13.5" thickBot="1" x14ac:dyDescent="0.25">
      <c r="A16" s="23"/>
      <c r="B16" s="14"/>
      <c r="C16" s="15"/>
      <c r="D16" s="24"/>
      <c r="E16" s="14"/>
      <c r="F16" s="89">
        <f>+F13</f>
        <v>1311500</v>
      </c>
      <c r="G16" s="14"/>
      <c r="H16" s="24"/>
      <c r="I16" s="90">
        <f>+I13</f>
        <v>170495.00000000044</v>
      </c>
      <c r="J16" s="90">
        <f>+J13</f>
        <v>0</v>
      </c>
      <c r="K16" s="90">
        <f>+K13</f>
        <v>170495.00000000044</v>
      </c>
      <c r="L16" s="90">
        <f>+L13</f>
        <v>0</v>
      </c>
    </row>
    <row r="17" spans="1:12" ht="13.5" thickTop="1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9"/>
      <c r="K17" s="29"/>
      <c r="L17" s="20"/>
    </row>
    <row r="19" spans="1:12" x14ac:dyDescent="0.2">
      <c r="A19" s="22" t="s">
        <v>37</v>
      </c>
    </row>
  </sheetData>
  <mergeCells count="1">
    <mergeCell ref="A4:K4"/>
  </mergeCells>
  <phoneticPr fontId="0" type="noConversion"/>
  <pageMargins left="0.75" right="0.75" top="1" bottom="1" header="0.5" footer="0.5"/>
  <pageSetup scale="87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zoomScale="75" workbookViewId="0">
      <selection activeCell="H12" sqref="H12"/>
    </sheetView>
  </sheetViews>
  <sheetFormatPr defaultRowHeight="12.75" x14ac:dyDescent="0.2"/>
  <cols>
    <col min="1" max="2" width="10.7109375" customWidth="1"/>
    <col min="3" max="3" width="13.7109375" customWidth="1"/>
    <col min="4" max="4" width="18.5703125" customWidth="1"/>
    <col min="5" max="5" width="0" hidden="1" customWidth="1"/>
    <col min="6" max="6" width="12.7109375" customWidth="1"/>
    <col min="7" max="7" width="13.140625" customWidth="1"/>
    <col min="8" max="8" width="16.7109375" customWidth="1"/>
    <col min="9" max="9" width="18.42578125" customWidth="1"/>
    <col min="10" max="10" width="13.42578125" customWidth="1"/>
    <col min="11" max="11" width="15.42578125" customWidth="1"/>
    <col min="12" max="12" width="15" bestFit="1" customWidth="1"/>
  </cols>
  <sheetData>
    <row r="1" spans="1:12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173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591"/>
      <c r="B4" s="591"/>
      <c r="C4" s="591"/>
      <c r="D4" s="591"/>
      <c r="E4" s="591"/>
      <c r="F4" s="591"/>
      <c r="G4" s="591"/>
      <c r="H4" s="591"/>
      <c r="I4" s="591"/>
      <c r="J4" s="591"/>
      <c r="K4" s="591"/>
    </row>
    <row r="5" spans="1:12" x14ac:dyDescent="0.2">
      <c r="G5" s="114"/>
      <c r="H5" s="114"/>
    </row>
    <row r="6" spans="1:12" s="7" customFormat="1" x14ac:dyDescent="0.2">
      <c r="A6" s="320" t="s">
        <v>39</v>
      </c>
      <c r="B6" s="290" t="s">
        <v>3</v>
      </c>
      <c r="C6" s="290" t="s">
        <v>3</v>
      </c>
      <c r="D6" s="290" t="s">
        <v>25</v>
      </c>
      <c r="E6" s="290"/>
      <c r="F6" s="290"/>
      <c r="G6" s="290"/>
      <c r="H6" s="290" t="s">
        <v>94</v>
      </c>
      <c r="I6" s="291" t="s">
        <v>42</v>
      </c>
      <c r="J6" s="292"/>
      <c r="K6" s="293"/>
    </row>
    <row r="7" spans="1:12" s="7" customFormat="1" x14ac:dyDescent="0.2">
      <c r="A7" s="320" t="s">
        <v>43</v>
      </c>
      <c r="B7" s="294" t="s">
        <v>9</v>
      </c>
      <c r="C7" s="294" t="s">
        <v>8</v>
      </c>
      <c r="D7" s="294" t="s">
        <v>86</v>
      </c>
      <c r="E7" s="294"/>
      <c r="F7" s="294"/>
      <c r="G7" s="294"/>
      <c r="H7" s="294" t="s">
        <v>174</v>
      </c>
      <c r="I7" s="294" t="s">
        <v>19</v>
      </c>
      <c r="J7" s="294" t="s">
        <v>20</v>
      </c>
      <c r="K7" s="294" t="s">
        <v>21</v>
      </c>
      <c r="L7" s="124"/>
    </row>
    <row r="8" spans="1:12" x14ac:dyDescent="0.2">
      <c r="A8" s="373"/>
      <c r="B8" s="374"/>
      <c r="C8" s="374"/>
      <c r="D8" s="294" t="s">
        <v>152</v>
      </c>
      <c r="E8" s="374"/>
      <c r="F8" s="374"/>
      <c r="G8" s="375"/>
      <c r="H8" s="294" t="s">
        <v>168</v>
      </c>
      <c r="I8" s="360" t="s">
        <v>24</v>
      </c>
      <c r="J8" s="360" t="s">
        <v>24</v>
      </c>
      <c r="K8" s="360" t="s">
        <v>24</v>
      </c>
      <c r="L8" s="19"/>
    </row>
    <row r="9" spans="1:12" x14ac:dyDescent="0.2">
      <c r="A9" s="321"/>
      <c r="B9" s="296"/>
      <c r="C9" s="296"/>
      <c r="D9" s="377">
        <v>-0.15</v>
      </c>
      <c r="E9" s="296"/>
      <c r="F9" s="296"/>
      <c r="G9" s="297"/>
      <c r="H9" s="147"/>
      <c r="I9" s="298"/>
      <c r="J9" s="298"/>
      <c r="K9" s="299"/>
      <c r="L9" s="356" t="s">
        <v>207</v>
      </c>
    </row>
    <row r="10" spans="1:12" x14ac:dyDescent="0.2">
      <c r="A10" s="23">
        <v>37562</v>
      </c>
      <c r="B10" s="14"/>
      <c r="C10" s="15" t="s">
        <v>31</v>
      </c>
      <c r="D10" s="24">
        <f>+[4]NYMEX!$C25+$D$9</f>
        <v>3.8340000000000001</v>
      </c>
      <c r="E10" s="14"/>
      <c r="F10" s="17">
        <f>-21500*30</f>
        <v>-645000</v>
      </c>
      <c r="G10" s="17"/>
      <c r="H10" s="24">
        <f>+'[4]ELpaso SJ &amp; Prm'!$F26</f>
        <v>3.794</v>
      </c>
      <c r="I10" s="16">
        <f>SUM(-D10+H10)*F10</f>
        <v>25800.000000000022</v>
      </c>
      <c r="J10" s="30"/>
      <c r="K10" s="30">
        <f>+I10</f>
        <v>25800.000000000022</v>
      </c>
      <c r="L10" s="355">
        <f>IF(K10=0,0,IF(A10&lt;(Summary!$K$3+365),K10,0))</f>
        <v>0</v>
      </c>
    </row>
    <row r="11" spans="1:12" x14ac:dyDescent="0.2">
      <c r="A11" s="23">
        <v>37591</v>
      </c>
      <c r="B11" s="14"/>
      <c r="C11" s="15" t="s">
        <v>31</v>
      </c>
      <c r="D11" s="24">
        <f>+[4]NYMEX!$C26+$D$9</f>
        <v>3.964</v>
      </c>
      <c r="E11" s="14"/>
      <c r="F11" s="17">
        <f>-21500*31</f>
        <v>-666500</v>
      </c>
      <c r="G11" s="17"/>
      <c r="H11" s="24">
        <f>+'[4]ELpaso SJ &amp; Prm'!$F27</f>
        <v>3.9239999999999999</v>
      </c>
      <c r="I11" s="16">
        <f>SUM(-D11+H11)*F11</f>
        <v>26660.000000000025</v>
      </c>
      <c r="J11" s="30"/>
      <c r="K11" s="30">
        <f>+I11</f>
        <v>26660.000000000025</v>
      </c>
      <c r="L11" s="355">
        <f>IF(K11=0,0,IF(A11&lt;(Summary!$K$3+365),K11,0))</f>
        <v>0</v>
      </c>
    </row>
    <row r="12" spans="1:12" x14ac:dyDescent="0.2">
      <c r="A12" s="23"/>
      <c r="B12" s="14"/>
      <c r="C12" s="15"/>
      <c r="D12" s="123"/>
      <c r="E12" s="14"/>
      <c r="F12" s="42"/>
      <c r="G12" s="17"/>
      <c r="H12" s="123"/>
      <c r="I12" s="43"/>
      <c r="J12" s="43"/>
      <c r="K12" s="92"/>
    </row>
    <row r="13" spans="1:12" x14ac:dyDescent="0.2">
      <c r="A13" s="23"/>
      <c r="B13" s="14"/>
      <c r="C13" s="15"/>
      <c r="D13" s="24">
        <f>SUM(D10:D12)/2</f>
        <v>3.899</v>
      </c>
      <c r="E13" s="14"/>
      <c r="F13" s="17">
        <f>SUM(F10:F12)</f>
        <v>-1311500</v>
      </c>
      <c r="G13" s="14"/>
      <c r="H13" s="24">
        <f>SUM(H10:H12)/2</f>
        <v>3.859</v>
      </c>
      <c r="I13" s="16">
        <f>SUM(I10:I12)</f>
        <v>52460.000000000044</v>
      </c>
      <c r="J13" s="16">
        <f>SUM(J10:J12)</f>
        <v>0</v>
      </c>
      <c r="K13" s="16">
        <f>SUM(K10:K12)</f>
        <v>52460.000000000044</v>
      </c>
      <c r="L13" s="16">
        <f>SUM(L10:L12)</f>
        <v>0</v>
      </c>
    </row>
    <row r="14" spans="1:12" x14ac:dyDescent="0.2">
      <c r="A14" s="23"/>
      <c r="B14" s="14"/>
      <c r="C14" s="15"/>
      <c r="D14" s="24"/>
      <c r="E14" s="14"/>
      <c r="F14" s="17"/>
      <c r="G14" s="208"/>
      <c r="H14" s="24"/>
      <c r="I14" s="16"/>
      <c r="J14" s="28"/>
      <c r="K14" s="18"/>
      <c r="L14" s="18"/>
    </row>
    <row r="15" spans="1:12" x14ac:dyDescent="0.2">
      <c r="A15" s="23"/>
      <c r="B15" s="14"/>
      <c r="C15" s="15"/>
      <c r="D15" s="24"/>
      <c r="E15" s="14"/>
      <c r="F15" s="17"/>
      <c r="G15" s="14"/>
      <c r="H15" s="24"/>
      <c r="I15" s="16"/>
      <c r="J15" s="28"/>
      <c r="K15" s="18"/>
      <c r="L15" s="18"/>
    </row>
    <row r="16" spans="1:12" ht="13.5" thickBot="1" x14ac:dyDescent="0.25">
      <c r="A16" s="23"/>
      <c r="B16" s="14"/>
      <c r="C16" s="15"/>
      <c r="D16" s="24"/>
      <c r="E16" s="14"/>
      <c r="F16" s="89">
        <f>+F13</f>
        <v>-1311500</v>
      </c>
      <c r="G16" s="14"/>
      <c r="H16" s="24"/>
      <c r="I16" s="90">
        <f>+I13</f>
        <v>52460.000000000044</v>
      </c>
      <c r="J16" s="90">
        <f>+J13</f>
        <v>0</v>
      </c>
      <c r="K16" s="90">
        <f>+K13</f>
        <v>52460.000000000044</v>
      </c>
      <c r="L16" s="90">
        <f>+L13</f>
        <v>0</v>
      </c>
    </row>
    <row r="17" spans="1:12" ht="13.5" thickTop="1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9"/>
      <c r="K17" s="29"/>
      <c r="L17" s="29"/>
    </row>
    <row r="19" spans="1:12" x14ac:dyDescent="0.2">
      <c r="A19" s="22" t="s">
        <v>37</v>
      </c>
    </row>
  </sheetData>
  <mergeCells count="1">
    <mergeCell ref="A4:K4"/>
  </mergeCells>
  <phoneticPr fontId="0" type="noConversion"/>
  <pageMargins left="0.75" right="0.75" top="1" bottom="1" header="0.5" footer="0.5"/>
  <pageSetup scale="78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zoomScale="75" workbookViewId="0">
      <selection activeCell="H25" sqref="H25"/>
    </sheetView>
  </sheetViews>
  <sheetFormatPr defaultRowHeight="12.75" x14ac:dyDescent="0.2"/>
  <cols>
    <col min="1" max="2" width="10.7109375" customWidth="1"/>
    <col min="3" max="3" width="13.7109375" customWidth="1"/>
    <col min="4" max="4" width="18.5703125" customWidth="1"/>
    <col min="5" max="5" width="0" hidden="1" customWidth="1"/>
    <col min="6" max="6" width="12.7109375" customWidth="1"/>
    <col min="7" max="7" width="13.140625" customWidth="1"/>
    <col min="8" max="8" width="16.7109375" customWidth="1"/>
    <col min="9" max="9" width="18.42578125" customWidth="1"/>
    <col min="10" max="10" width="13.42578125" customWidth="1"/>
    <col min="11" max="11" width="15.42578125" customWidth="1"/>
    <col min="12" max="12" width="15" bestFit="1" customWidth="1"/>
  </cols>
  <sheetData>
    <row r="1" spans="1:12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154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591"/>
      <c r="B4" s="591"/>
      <c r="C4" s="591"/>
      <c r="D4" s="591"/>
      <c r="E4" s="591"/>
      <c r="F4" s="591"/>
      <c r="G4" s="591"/>
      <c r="H4" s="591"/>
      <c r="I4" s="591"/>
      <c r="J4" s="591"/>
      <c r="K4" s="591"/>
    </row>
    <row r="5" spans="1:12" x14ac:dyDescent="0.2">
      <c r="G5" s="114"/>
      <c r="H5" s="114"/>
    </row>
    <row r="6" spans="1:12" s="7" customFormat="1" x14ac:dyDescent="0.2">
      <c r="A6" s="320" t="s">
        <v>39</v>
      </c>
      <c r="B6" s="290" t="s">
        <v>3</v>
      </c>
      <c r="C6" s="290" t="s">
        <v>3</v>
      </c>
      <c r="D6" s="290" t="s">
        <v>94</v>
      </c>
      <c r="E6" s="290"/>
      <c r="F6" s="290"/>
      <c r="G6" s="290"/>
      <c r="H6" s="290" t="s">
        <v>25</v>
      </c>
      <c r="I6" s="291" t="s">
        <v>42</v>
      </c>
      <c r="J6" s="292"/>
      <c r="K6" s="293"/>
    </row>
    <row r="7" spans="1:12" s="7" customFormat="1" x14ac:dyDescent="0.2">
      <c r="A7" s="320" t="s">
        <v>43</v>
      </c>
      <c r="B7" s="294" t="s">
        <v>9</v>
      </c>
      <c r="C7" s="294" t="s">
        <v>8</v>
      </c>
      <c r="D7" s="294" t="s">
        <v>86</v>
      </c>
      <c r="E7" s="294"/>
      <c r="F7" s="294"/>
      <c r="G7" s="294"/>
      <c r="H7" s="294" t="s">
        <v>122</v>
      </c>
      <c r="I7" s="294" t="s">
        <v>19</v>
      </c>
      <c r="J7" s="294" t="s">
        <v>20</v>
      </c>
      <c r="K7" s="294" t="s">
        <v>21</v>
      </c>
      <c r="L7" s="124"/>
    </row>
    <row r="8" spans="1:12" x14ac:dyDescent="0.2">
      <c r="A8" s="373"/>
      <c r="B8" s="374"/>
      <c r="C8" s="374"/>
      <c r="D8" s="294" t="s">
        <v>152</v>
      </c>
      <c r="E8" s="374"/>
      <c r="F8" s="374"/>
      <c r="G8" s="375"/>
      <c r="H8" s="294" t="s">
        <v>155</v>
      </c>
      <c r="I8" s="360" t="s">
        <v>24</v>
      </c>
      <c r="J8" s="360" t="s">
        <v>24</v>
      </c>
      <c r="K8" s="360" t="s">
        <v>24</v>
      </c>
      <c r="L8" s="19"/>
    </row>
    <row r="9" spans="1:12" x14ac:dyDescent="0.2">
      <c r="A9" s="321"/>
      <c r="B9" s="296"/>
      <c r="C9" s="296"/>
      <c r="D9" s="377">
        <v>1.03</v>
      </c>
      <c r="E9" s="296"/>
      <c r="F9" s="296"/>
      <c r="G9" s="297"/>
      <c r="H9" s="147"/>
      <c r="I9" s="298"/>
      <c r="J9" s="298"/>
      <c r="K9" s="299"/>
      <c r="L9" s="356" t="s">
        <v>207</v>
      </c>
    </row>
    <row r="10" spans="1:12" x14ac:dyDescent="0.2">
      <c r="A10" s="23">
        <v>37622</v>
      </c>
      <c r="B10" s="14"/>
      <c r="C10" s="15" t="s">
        <v>31</v>
      </c>
      <c r="D10" s="24">
        <f>+'[4]Henry Hub'!$E16+$D$9</f>
        <v>5.2040000000000006</v>
      </c>
      <c r="E10" s="14"/>
      <c r="F10" s="17">
        <f>37500*31</f>
        <v>1162500</v>
      </c>
      <c r="G10" s="17">
        <f>+F10/31</f>
        <v>37500</v>
      </c>
      <c r="H10" s="24">
        <f>+'[4]NGI Socal'!$E22</f>
        <v>4.9540000000000006</v>
      </c>
      <c r="I10" s="16">
        <f>SUM(-D10+H10)*F10</f>
        <v>-290625</v>
      </c>
      <c r="J10" s="30"/>
      <c r="K10" s="30">
        <f>+I10</f>
        <v>-290625</v>
      </c>
      <c r="L10" s="355">
        <f>IF(K10=0,0,IF(A10&lt;(Summary!$K$3+365),K10,0))</f>
        <v>0</v>
      </c>
    </row>
    <row r="11" spans="1:12" x14ac:dyDescent="0.2">
      <c r="A11" s="23">
        <v>37653</v>
      </c>
      <c r="B11" s="14"/>
      <c r="C11" s="15" t="s">
        <v>31</v>
      </c>
      <c r="D11" s="24">
        <f>+'[4]Henry Hub'!$E17+$D$9</f>
        <v>5.0840000000000005</v>
      </c>
      <c r="E11" s="24">
        <f>+'[4]Henry Hub'!$E17+$D$9</f>
        <v>5.0840000000000005</v>
      </c>
      <c r="F11" s="17">
        <f>37500*28</f>
        <v>1050000</v>
      </c>
      <c r="G11" s="17">
        <f>+F11/28</f>
        <v>37500</v>
      </c>
      <c r="H11" s="24">
        <f>+'[4]NGI Socal'!$E23</f>
        <v>4.8340000000000005</v>
      </c>
      <c r="I11" s="16">
        <f t="shared" ref="I11:I21" si="0">SUM(-D11+H11)*F11</f>
        <v>-262500</v>
      </c>
      <c r="J11" s="30"/>
      <c r="K11" s="30">
        <f t="shared" ref="K11:L21" si="1">+I11</f>
        <v>-262500</v>
      </c>
      <c r="L11" s="355">
        <f>IF(K11=0,0,IF(A11&lt;(Summary!$K$3+365),K11,0))</f>
        <v>0</v>
      </c>
    </row>
    <row r="12" spans="1:12" x14ac:dyDescent="0.2">
      <c r="A12" s="23">
        <v>37681</v>
      </c>
      <c r="B12" s="14"/>
      <c r="C12" s="15" t="s">
        <v>31</v>
      </c>
      <c r="D12" s="24">
        <f>+'[4]Henry Hub'!$E18+$D$9</f>
        <v>4.9370000000000003</v>
      </c>
      <c r="E12" s="14"/>
      <c r="F12" s="17">
        <f t="shared" ref="F12:F21" si="2">37500*31</f>
        <v>1162500</v>
      </c>
      <c r="G12" s="17">
        <f t="shared" ref="G12:G21" si="3">+F12/31</f>
        <v>37500</v>
      </c>
      <c r="H12" s="24">
        <f>+'[4]NGI Socal'!$E24</f>
        <v>4.6870000000000003</v>
      </c>
      <c r="I12" s="16">
        <f t="shared" si="0"/>
        <v>-290625</v>
      </c>
      <c r="J12" s="30"/>
      <c r="K12" s="30">
        <f t="shared" si="1"/>
        <v>-290625</v>
      </c>
      <c r="L12" s="355">
        <f>IF(K12=0,0,IF(A12&lt;(Summary!$K$3+365),K12,0))</f>
        <v>0</v>
      </c>
    </row>
    <row r="13" spans="1:12" x14ac:dyDescent="0.2">
      <c r="A13" s="23">
        <v>37712</v>
      </c>
      <c r="B13" s="14"/>
      <c r="C13" s="15" t="s">
        <v>31</v>
      </c>
      <c r="D13" s="24">
        <f>+'[4]Henry Hub'!$E19+$D$9</f>
        <v>4.6740000000000004</v>
      </c>
      <c r="E13" s="14"/>
      <c r="F13" s="17">
        <f>37500*30</f>
        <v>1125000</v>
      </c>
      <c r="G13" s="17">
        <f>+F13/30</f>
        <v>37500</v>
      </c>
      <c r="H13" s="24">
        <f>+'[4]NGI Socal'!$E25</f>
        <v>4.0640000000000001</v>
      </c>
      <c r="I13" s="16">
        <f t="shared" si="0"/>
        <v>-686250.00000000035</v>
      </c>
      <c r="J13" s="14"/>
      <c r="K13" s="30">
        <f t="shared" si="1"/>
        <v>-686250.00000000035</v>
      </c>
      <c r="L13" s="355">
        <f>IF(K13=0,0,IF(A13&lt;(Summary!$K$3+365),K13,0))</f>
        <v>0</v>
      </c>
    </row>
    <row r="14" spans="1:12" x14ac:dyDescent="0.2">
      <c r="A14" s="23">
        <v>37742</v>
      </c>
      <c r="B14" s="14"/>
      <c r="C14" s="15" t="s">
        <v>31</v>
      </c>
      <c r="D14" s="24">
        <f>+'[4]Henry Hub'!$E20+$D$9</f>
        <v>4.6589999999999998</v>
      </c>
      <c r="E14" s="14"/>
      <c r="F14" s="17">
        <f t="shared" si="2"/>
        <v>1162500</v>
      </c>
      <c r="G14" s="17">
        <f t="shared" si="3"/>
        <v>37500</v>
      </c>
      <c r="H14" s="24">
        <f>+'[4]NGI Socal'!$E26</f>
        <v>4.0490000000000004</v>
      </c>
      <c r="I14" s="16">
        <f t="shared" si="0"/>
        <v>-709124.9999999993</v>
      </c>
      <c r="J14" s="14"/>
      <c r="K14" s="30">
        <f t="shared" si="1"/>
        <v>-709124.9999999993</v>
      </c>
      <c r="L14" s="355">
        <f>IF(K14=0,0,IF(A14&lt;(Summary!$K$3+365),K14,0))</f>
        <v>0</v>
      </c>
    </row>
    <row r="15" spans="1:12" x14ac:dyDescent="0.2">
      <c r="A15" s="23">
        <v>37773</v>
      </c>
      <c r="B15" s="14"/>
      <c r="C15" s="15" t="s">
        <v>31</v>
      </c>
      <c r="D15" s="24">
        <f>+'[4]Henry Hub'!$E21+$D$9</f>
        <v>4.6989999999999998</v>
      </c>
      <c r="E15" s="14"/>
      <c r="F15" s="17">
        <f>37500*30</f>
        <v>1125000</v>
      </c>
      <c r="G15" s="17">
        <f>+F15/30</f>
        <v>37500</v>
      </c>
      <c r="H15" s="24">
        <f>+'[4]NGI Socal'!$E27</f>
        <v>4.0890000000000004</v>
      </c>
      <c r="I15" s="16">
        <f t="shared" si="0"/>
        <v>-686249.99999999942</v>
      </c>
      <c r="J15" s="14"/>
      <c r="K15" s="30">
        <f t="shared" si="1"/>
        <v>-686249.99999999942</v>
      </c>
      <c r="L15" s="355">
        <f>IF(K15=0,0,IF(A15&lt;(Summary!$K$3+365),K15,0))</f>
        <v>0</v>
      </c>
    </row>
    <row r="16" spans="1:12" x14ac:dyDescent="0.2">
      <c r="A16" s="23">
        <v>37803</v>
      </c>
      <c r="B16" s="14"/>
      <c r="C16" s="15" t="s">
        <v>31</v>
      </c>
      <c r="D16" s="24">
        <f>+'[4]Henry Hub'!$E22+$D$9</f>
        <v>4.7540000000000004</v>
      </c>
      <c r="E16" s="14"/>
      <c r="F16" s="17">
        <f t="shared" si="2"/>
        <v>1162500</v>
      </c>
      <c r="G16" s="17">
        <f t="shared" si="3"/>
        <v>37500</v>
      </c>
      <c r="H16" s="24">
        <f>+'[4]NGI Socal'!$E28</f>
        <v>4.1440000000000001</v>
      </c>
      <c r="I16" s="16">
        <f t="shared" si="0"/>
        <v>-709125.00000000035</v>
      </c>
      <c r="J16" s="14"/>
      <c r="K16" s="30">
        <f t="shared" si="1"/>
        <v>-709125.00000000035</v>
      </c>
      <c r="L16" s="355">
        <f>IF(K16=0,0,IF(A16&lt;(Summary!$K$3+365),K16,0))</f>
        <v>0</v>
      </c>
    </row>
    <row r="17" spans="1:12" x14ac:dyDescent="0.2">
      <c r="A17" s="23">
        <v>37834</v>
      </c>
      <c r="B17" s="14"/>
      <c r="C17" s="15" t="s">
        <v>31</v>
      </c>
      <c r="D17" s="24">
        <f>+'[4]Henry Hub'!$E23+$D$9</f>
        <v>4.7839999999999998</v>
      </c>
      <c r="E17" s="14"/>
      <c r="F17" s="17">
        <f t="shared" si="2"/>
        <v>1162500</v>
      </c>
      <c r="G17" s="17">
        <f t="shared" si="3"/>
        <v>37500</v>
      </c>
      <c r="H17" s="24">
        <f>+'[4]NGI Socal'!$E29</f>
        <v>4.1740000000000004</v>
      </c>
      <c r="I17" s="16">
        <f t="shared" si="0"/>
        <v>-709124.9999999993</v>
      </c>
      <c r="J17" s="14"/>
      <c r="K17" s="30">
        <f t="shared" si="1"/>
        <v>-709124.9999999993</v>
      </c>
      <c r="L17" s="355">
        <f>IF(K17=0,0,IF(A17&lt;(Summary!$K$3+365),K17,0))</f>
        <v>0</v>
      </c>
    </row>
    <row r="18" spans="1:12" x14ac:dyDescent="0.2">
      <c r="A18" s="23">
        <v>37865</v>
      </c>
      <c r="B18" s="14"/>
      <c r="C18" s="15" t="s">
        <v>31</v>
      </c>
      <c r="D18" s="24">
        <f>+'[4]Henry Hub'!$E24+$D$9</f>
        <v>4.7960000000000003</v>
      </c>
      <c r="E18" s="14"/>
      <c r="F18" s="17">
        <f>37500*30</f>
        <v>1125000</v>
      </c>
      <c r="G18" s="17">
        <f>+F18/30</f>
        <v>37500</v>
      </c>
      <c r="H18" s="24">
        <f>+'[4]NGI Socal'!$E30</f>
        <v>4.1859999999999999</v>
      </c>
      <c r="I18" s="16">
        <f t="shared" si="0"/>
        <v>-686250.00000000035</v>
      </c>
      <c r="J18" s="14"/>
      <c r="K18" s="30">
        <f t="shared" si="1"/>
        <v>-686250.00000000035</v>
      </c>
      <c r="L18" s="355">
        <f>IF(K18=0,0,IF(A18&lt;(Summary!$K$3+365),K18,0))</f>
        <v>0</v>
      </c>
    </row>
    <row r="19" spans="1:12" x14ac:dyDescent="0.2">
      <c r="A19" s="23">
        <v>37895</v>
      </c>
      <c r="B19" s="14"/>
      <c r="C19" s="15" t="s">
        <v>31</v>
      </c>
      <c r="D19" s="24">
        <f>+'[4]Henry Hub'!$E25+$D$9</f>
        <v>4.819</v>
      </c>
      <c r="E19" s="14"/>
      <c r="F19" s="17">
        <f t="shared" si="2"/>
        <v>1162500</v>
      </c>
      <c r="G19" s="17">
        <f t="shared" si="3"/>
        <v>37500</v>
      </c>
      <c r="H19" s="24">
        <f>+'[4]NGI Socal'!$E31</f>
        <v>4.2090000000000005</v>
      </c>
      <c r="I19" s="16">
        <f t="shared" si="0"/>
        <v>-709124.9999999993</v>
      </c>
      <c r="J19" s="14"/>
      <c r="K19" s="30">
        <f t="shared" si="1"/>
        <v>-709124.9999999993</v>
      </c>
      <c r="L19" s="355">
        <f>IF(K19=0,0,IF(A19&lt;(Summary!$K$3+365),K19,0))</f>
        <v>0</v>
      </c>
    </row>
    <row r="20" spans="1:12" x14ac:dyDescent="0.2">
      <c r="A20" s="23">
        <v>37926</v>
      </c>
      <c r="B20" s="14"/>
      <c r="C20" s="15" t="s">
        <v>31</v>
      </c>
      <c r="D20" s="24">
        <f>+'[4]Henry Hub'!$E26+$D$9</f>
        <v>4.9539999999999997</v>
      </c>
      <c r="E20" s="14"/>
      <c r="F20" s="17">
        <f>37500*30</f>
        <v>1125000</v>
      </c>
      <c r="G20" s="17">
        <f>+F20/30</f>
        <v>37500</v>
      </c>
      <c r="H20" s="24">
        <f>+'[4]NGI Socal'!$E32</f>
        <v>4.274</v>
      </c>
      <c r="I20" s="16">
        <f t="shared" si="0"/>
        <v>-764999.99999999965</v>
      </c>
      <c r="J20" s="14"/>
      <c r="K20" s="30">
        <f t="shared" si="1"/>
        <v>-764999.99999999965</v>
      </c>
      <c r="L20" s="355">
        <f>IF(K20=0,0,IF(A20&lt;(Summary!$K$3+365),K20,0))</f>
        <v>0</v>
      </c>
    </row>
    <row r="21" spans="1:12" x14ac:dyDescent="0.2">
      <c r="A21" s="23">
        <v>37956</v>
      </c>
      <c r="B21" s="14"/>
      <c r="C21" s="15" t="s">
        <v>31</v>
      </c>
      <c r="D21" s="123">
        <f>+'[4]Henry Hub'!$E27+$D$9</f>
        <v>5.0940000000000003</v>
      </c>
      <c r="E21" s="14"/>
      <c r="F21" s="42">
        <f t="shared" si="2"/>
        <v>1162500</v>
      </c>
      <c r="G21" s="17">
        <f t="shared" si="3"/>
        <v>37500</v>
      </c>
      <c r="H21" s="123">
        <f>+'[4]NGI Socal'!$E33</f>
        <v>4.4139999999999997</v>
      </c>
      <c r="I21" s="43">
        <f t="shared" si="0"/>
        <v>-790500.0000000007</v>
      </c>
      <c r="J21" s="43"/>
      <c r="K21" s="92">
        <f t="shared" si="1"/>
        <v>-790500.0000000007</v>
      </c>
      <c r="L21" s="359">
        <f t="shared" si="1"/>
        <v>0</v>
      </c>
    </row>
    <row r="22" spans="1:12" x14ac:dyDescent="0.2">
      <c r="A22" s="23"/>
      <c r="B22" s="14"/>
      <c r="C22" s="15"/>
      <c r="D22" s="24">
        <f>SUM(D10:D21)/12</f>
        <v>4.8715000000000002</v>
      </c>
      <c r="E22" s="14"/>
      <c r="F22" s="17">
        <f>SUM(F10:F21)</f>
        <v>13687500</v>
      </c>
      <c r="G22" s="14"/>
      <c r="H22" s="24">
        <f>SUM(H10:H21)/12</f>
        <v>4.3398333333333339</v>
      </c>
      <c r="I22" s="16">
        <f>SUM(I10:I21)</f>
        <v>-7294499.9999999991</v>
      </c>
      <c r="J22" s="16">
        <f>SUM(J10:J21)</f>
        <v>0</v>
      </c>
      <c r="K22" s="16">
        <f>SUM(K10:K21)</f>
        <v>-7294499.9999999991</v>
      </c>
      <c r="L22" s="16">
        <f>SUM(L10:L21)</f>
        <v>0</v>
      </c>
    </row>
    <row r="23" spans="1:12" x14ac:dyDescent="0.2">
      <c r="A23" s="23"/>
      <c r="B23" s="14"/>
      <c r="C23" s="15"/>
      <c r="D23" s="24"/>
      <c r="E23" s="14"/>
      <c r="F23" s="17"/>
      <c r="G23" s="208"/>
      <c r="H23" s="24"/>
      <c r="I23" s="16"/>
      <c r="J23" s="28"/>
      <c r="K23" s="18"/>
      <c r="L23" s="18"/>
    </row>
    <row r="24" spans="1:12" x14ac:dyDescent="0.2">
      <c r="A24" s="23"/>
      <c r="B24" s="14"/>
      <c r="C24" s="15"/>
      <c r="D24" s="24"/>
      <c r="E24" s="14"/>
      <c r="F24" s="17"/>
      <c r="G24" s="14"/>
      <c r="H24" s="24"/>
      <c r="I24" s="16"/>
      <c r="J24" s="28"/>
      <c r="K24" s="18"/>
      <c r="L24" s="18"/>
    </row>
    <row r="25" spans="1:12" ht="13.5" thickBot="1" x14ac:dyDescent="0.25">
      <c r="A25" s="23"/>
      <c r="B25" s="14"/>
      <c r="C25" s="15"/>
      <c r="D25" s="24"/>
      <c r="E25" s="14"/>
      <c r="F25" s="89">
        <f>+F22</f>
        <v>13687500</v>
      </c>
      <c r="G25" s="14"/>
      <c r="H25" s="24"/>
      <c r="I25" s="90">
        <f>+I22</f>
        <v>-7294499.9999999991</v>
      </c>
      <c r="J25" s="90">
        <f>+J22</f>
        <v>0</v>
      </c>
      <c r="K25" s="90">
        <f>+K22</f>
        <v>-7294499.9999999991</v>
      </c>
      <c r="L25" s="90">
        <f>+L22</f>
        <v>0</v>
      </c>
    </row>
    <row r="26" spans="1:12" ht="13.5" thickTop="1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9"/>
      <c r="K26" s="29"/>
      <c r="L26" s="29"/>
    </row>
    <row r="28" spans="1:12" x14ac:dyDescent="0.2">
      <c r="A28" s="22" t="s">
        <v>37</v>
      </c>
    </row>
  </sheetData>
  <mergeCells count="1">
    <mergeCell ref="A4:K4"/>
  </mergeCells>
  <phoneticPr fontId="0" type="noConversion"/>
  <pageMargins left="0.75" right="0.75" top="1" bottom="1" header="0.5" footer="0.5"/>
  <pageSetup scale="78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zoomScale="75" workbookViewId="0">
      <selection activeCell="H15" sqref="H15"/>
    </sheetView>
  </sheetViews>
  <sheetFormatPr defaultRowHeight="12.75" x14ac:dyDescent="0.2"/>
  <cols>
    <col min="1" max="2" width="10.7109375" customWidth="1"/>
    <col min="3" max="3" width="13.7109375" customWidth="1"/>
    <col min="4" max="4" width="18.5703125" customWidth="1"/>
    <col min="5" max="5" width="0" hidden="1" customWidth="1"/>
    <col min="6" max="6" width="12.7109375" customWidth="1"/>
    <col min="7" max="7" width="13.140625" customWidth="1"/>
    <col min="8" max="8" width="16.7109375" customWidth="1"/>
    <col min="9" max="9" width="18.42578125" customWidth="1"/>
    <col min="10" max="10" width="13.42578125" customWidth="1"/>
    <col min="11" max="11" width="15.42578125" customWidth="1"/>
    <col min="12" max="12" width="17.28515625" bestFit="1" customWidth="1"/>
  </cols>
  <sheetData>
    <row r="1" spans="1:12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151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591"/>
      <c r="B4" s="591"/>
      <c r="C4" s="591"/>
      <c r="D4" s="591"/>
      <c r="E4" s="591"/>
      <c r="F4" s="591"/>
      <c r="G4" s="591"/>
      <c r="H4" s="591"/>
      <c r="I4" s="591"/>
      <c r="J4" s="591"/>
      <c r="K4" s="591"/>
    </row>
    <row r="5" spans="1:12" x14ac:dyDescent="0.2">
      <c r="G5" s="114"/>
      <c r="H5" s="114"/>
    </row>
    <row r="6" spans="1:12" s="7" customFormat="1" x14ac:dyDescent="0.2">
      <c r="A6" s="320" t="s">
        <v>39</v>
      </c>
      <c r="B6" s="290" t="s">
        <v>3</v>
      </c>
      <c r="C6" s="290" t="s">
        <v>3</v>
      </c>
      <c r="D6" s="290" t="s">
        <v>25</v>
      </c>
      <c r="E6" s="290"/>
      <c r="F6" s="290"/>
      <c r="G6" s="290"/>
      <c r="H6" s="290" t="s">
        <v>94</v>
      </c>
      <c r="I6" s="291" t="s">
        <v>42</v>
      </c>
      <c r="J6" s="292"/>
      <c r="K6" s="293"/>
    </row>
    <row r="7" spans="1:12" s="7" customFormat="1" x14ac:dyDescent="0.2">
      <c r="A7" s="320" t="s">
        <v>43</v>
      </c>
      <c r="B7" s="294" t="s">
        <v>9</v>
      </c>
      <c r="C7" s="294" t="s">
        <v>8</v>
      </c>
      <c r="D7" s="294" t="s">
        <v>86</v>
      </c>
      <c r="E7" s="294"/>
      <c r="F7" s="294"/>
      <c r="G7" s="294"/>
      <c r="H7" s="294" t="s">
        <v>153</v>
      </c>
      <c r="I7" s="294" t="s">
        <v>19</v>
      </c>
      <c r="J7" s="294" t="s">
        <v>20</v>
      </c>
      <c r="K7" s="294" t="s">
        <v>21</v>
      </c>
      <c r="L7" s="124"/>
    </row>
    <row r="8" spans="1:12" x14ac:dyDescent="0.2">
      <c r="A8" s="373"/>
      <c r="B8" s="374"/>
      <c r="C8" s="374"/>
      <c r="D8" s="294" t="s">
        <v>152</v>
      </c>
      <c r="E8" s="374"/>
      <c r="F8" s="374"/>
      <c r="G8" s="375"/>
      <c r="H8" s="294" t="s">
        <v>127</v>
      </c>
      <c r="I8" s="360" t="s">
        <v>24</v>
      </c>
      <c r="J8" s="360" t="s">
        <v>24</v>
      </c>
      <c r="K8" s="360" t="s">
        <v>24</v>
      </c>
      <c r="L8" s="19"/>
    </row>
    <row r="9" spans="1:12" x14ac:dyDescent="0.2">
      <c r="A9" s="321"/>
      <c r="B9" s="296"/>
      <c r="C9" s="296"/>
      <c r="D9" s="377">
        <v>-0.15</v>
      </c>
      <c r="E9" s="296"/>
      <c r="F9" s="296"/>
      <c r="G9" s="297"/>
      <c r="H9" s="147"/>
      <c r="I9" s="298"/>
      <c r="J9" s="298"/>
      <c r="K9" s="299"/>
      <c r="L9" s="379" t="s">
        <v>207</v>
      </c>
    </row>
    <row r="10" spans="1:12" x14ac:dyDescent="0.2">
      <c r="A10" s="23">
        <v>37622</v>
      </c>
      <c r="B10" s="14"/>
      <c r="C10" s="15" t="s">
        <v>31</v>
      </c>
      <c r="D10" s="24">
        <f>+'[4]Henry Hub'!$E16+$D$9</f>
        <v>4.024</v>
      </c>
      <c r="E10" s="14"/>
      <c r="F10" s="17">
        <f>-37500*31</f>
        <v>-1162500</v>
      </c>
      <c r="G10" s="17">
        <f>+F10/31</f>
        <v>-37500</v>
      </c>
      <c r="H10" s="24">
        <f>+'[4]ELpaso SJ &amp; Prm'!$F28</f>
        <v>3.9840000000000004</v>
      </c>
      <c r="I10" s="16">
        <f>SUM(H10-D10)*F10</f>
        <v>46499.999999999527</v>
      </c>
      <c r="J10" s="30"/>
      <c r="K10" s="30">
        <f>+I10</f>
        <v>46499.999999999527</v>
      </c>
      <c r="L10" s="357">
        <f>IF(K10=0,0,IF(A10&lt;(Summary!$K$3+365),K10,0))</f>
        <v>0</v>
      </c>
    </row>
    <row r="11" spans="1:12" x14ac:dyDescent="0.2">
      <c r="A11" s="23">
        <v>37653</v>
      </c>
      <c r="B11" s="14"/>
      <c r="C11" s="15" t="s">
        <v>31</v>
      </c>
      <c r="D11" s="24">
        <f>+'[4]Henry Hub'!$E17+$D$9</f>
        <v>3.9040000000000004</v>
      </c>
      <c r="E11" s="14"/>
      <c r="F11" s="17">
        <f>-37500*28</f>
        <v>-1050000</v>
      </c>
      <c r="G11" s="17">
        <f>+F11/28</f>
        <v>-37500</v>
      </c>
      <c r="H11" s="24">
        <f>+'[4]ELpaso SJ &amp; Prm'!$F29</f>
        <v>3.8640000000000003</v>
      </c>
      <c r="I11" s="16">
        <f t="shared" ref="I11:I21" si="0">SUM(H11-D11)*F11</f>
        <v>42000.000000000036</v>
      </c>
      <c r="J11" s="30"/>
      <c r="K11" s="30">
        <f t="shared" ref="K11:L21" si="1">+I11</f>
        <v>42000.000000000036</v>
      </c>
      <c r="L11" s="357">
        <f>IF(K11=0,0,IF(A11&lt;(Summary!$K$3+365),K11,0))</f>
        <v>0</v>
      </c>
    </row>
    <row r="12" spans="1:12" x14ac:dyDescent="0.2">
      <c r="A12" s="23">
        <v>37681</v>
      </c>
      <c r="B12" s="14"/>
      <c r="C12" s="15" t="s">
        <v>31</v>
      </c>
      <c r="D12" s="24">
        <f>+'[4]Henry Hub'!$E18+$D$9</f>
        <v>3.7570000000000001</v>
      </c>
      <c r="E12" s="14"/>
      <c r="F12" s="17">
        <f>-37500*31</f>
        <v>-1162500</v>
      </c>
      <c r="G12" s="17">
        <f t="shared" ref="G12:G21" si="2">+F12/31</f>
        <v>-37500</v>
      </c>
      <c r="H12" s="24">
        <f>+'[4]ELpaso SJ &amp; Prm'!$F30</f>
        <v>3.7170000000000001</v>
      </c>
      <c r="I12" s="16">
        <f t="shared" si="0"/>
        <v>46500.000000000044</v>
      </c>
      <c r="J12" s="19"/>
      <c r="K12" s="30">
        <f t="shared" si="1"/>
        <v>46500.000000000044</v>
      </c>
      <c r="L12" s="357">
        <f>IF(K12=0,0,IF(A12&lt;(Summary!$K$3+365),K12,0))</f>
        <v>0</v>
      </c>
    </row>
    <row r="13" spans="1:12" x14ac:dyDescent="0.2">
      <c r="A13" s="23">
        <v>37712</v>
      </c>
      <c r="B13" s="14"/>
      <c r="C13" s="15" t="s">
        <v>31</v>
      </c>
      <c r="D13" s="24">
        <f>+'[4]Henry Hub'!$E19+$D$9</f>
        <v>3.4940000000000002</v>
      </c>
      <c r="E13" s="14"/>
      <c r="F13" s="17">
        <f>-37500*30</f>
        <v>-1125000</v>
      </c>
      <c r="G13" s="17">
        <f>+F13/30</f>
        <v>-37500</v>
      </c>
      <c r="H13" s="24">
        <f>+'[4]ELpaso SJ &amp; Prm'!$F31</f>
        <v>3.4890000000000003</v>
      </c>
      <c r="I13" s="16">
        <f t="shared" si="0"/>
        <v>5624.9999999998799</v>
      </c>
      <c r="J13" s="14"/>
      <c r="K13" s="30">
        <f t="shared" si="1"/>
        <v>5624.9999999998799</v>
      </c>
      <c r="L13" s="357">
        <f>IF(K13=0,0,IF(A13&lt;(Summary!$K$3+365),K13,0))</f>
        <v>0</v>
      </c>
    </row>
    <row r="14" spans="1:12" x14ac:dyDescent="0.2">
      <c r="A14" s="23">
        <v>37742</v>
      </c>
      <c r="B14" s="14"/>
      <c r="C14" s="15" t="s">
        <v>31</v>
      </c>
      <c r="D14" s="24">
        <f>+'[4]Henry Hub'!$E20+$D$9</f>
        <v>3.4790000000000001</v>
      </c>
      <c r="E14" s="14"/>
      <c r="F14" s="17">
        <f>-37500*31</f>
        <v>-1162500</v>
      </c>
      <c r="G14" s="17">
        <f t="shared" si="2"/>
        <v>-37500</v>
      </c>
      <c r="H14" s="24">
        <f>+'[4]ELpaso SJ &amp; Prm'!$F32</f>
        <v>3.4740000000000002</v>
      </c>
      <c r="I14" s="16">
        <f t="shared" si="0"/>
        <v>5812.4999999998763</v>
      </c>
      <c r="J14" s="14"/>
      <c r="K14" s="30">
        <f t="shared" si="1"/>
        <v>5812.4999999998763</v>
      </c>
      <c r="L14" s="357">
        <f>IF(K14=0,0,IF(A14&lt;(Summary!$K$3+365),K14,0))</f>
        <v>0</v>
      </c>
    </row>
    <row r="15" spans="1:12" x14ac:dyDescent="0.2">
      <c r="A15" s="23">
        <v>37773</v>
      </c>
      <c r="B15" s="14"/>
      <c r="C15" s="15" t="s">
        <v>31</v>
      </c>
      <c r="D15" s="24">
        <f>+'[4]Henry Hub'!$E21+$D$9</f>
        <v>3.5190000000000001</v>
      </c>
      <c r="E15" s="14"/>
      <c r="F15" s="17">
        <f>-37500*30</f>
        <v>-1125000</v>
      </c>
      <c r="G15" s="17">
        <f>+F15/30</f>
        <v>-37500</v>
      </c>
      <c r="H15" s="24">
        <f>+'[4]ELpaso SJ &amp; Prm'!$F33</f>
        <v>3.5140000000000002</v>
      </c>
      <c r="I15" s="16">
        <f t="shared" si="0"/>
        <v>5624.9999999998799</v>
      </c>
      <c r="J15" s="14"/>
      <c r="K15" s="30">
        <f t="shared" si="1"/>
        <v>5624.9999999998799</v>
      </c>
      <c r="L15" s="357">
        <f>IF(K15=0,0,IF(A15&lt;(Summary!$K$3+365),K15,0))</f>
        <v>0</v>
      </c>
    </row>
    <row r="16" spans="1:12" x14ac:dyDescent="0.2">
      <c r="A16" s="23">
        <v>37803</v>
      </c>
      <c r="B16" s="14"/>
      <c r="C16" s="15" t="s">
        <v>31</v>
      </c>
      <c r="D16" s="24">
        <f>+'[4]Henry Hub'!$E22+$D$9</f>
        <v>3.5740000000000003</v>
      </c>
      <c r="E16" s="14"/>
      <c r="F16" s="17">
        <f>-37500*31</f>
        <v>-1162500</v>
      </c>
      <c r="G16" s="17">
        <f t="shared" si="2"/>
        <v>-37500</v>
      </c>
      <c r="H16" s="24">
        <f>+'[4]ELpaso SJ &amp; Prm'!$F34</f>
        <v>3.5690000000000004</v>
      </c>
      <c r="I16" s="16">
        <f t="shared" si="0"/>
        <v>5812.4999999998763</v>
      </c>
      <c r="J16" s="14"/>
      <c r="K16" s="30">
        <f t="shared" si="1"/>
        <v>5812.4999999998763</v>
      </c>
      <c r="L16" s="357">
        <f>IF(K16=0,0,IF(A16&lt;(Summary!$K$3+365),K16,0))</f>
        <v>0</v>
      </c>
    </row>
    <row r="17" spans="1:12" x14ac:dyDescent="0.2">
      <c r="A17" s="23">
        <v>37834</v>
      </c>
      <c r="B17" s="14"/>
      <c r="C17" s="15" t="s">
        <v>31</v>
      </c>
      <c r="D17" s="24">
        <f>+'[4]Henry Hub'!$E23+$D$9</f>
        <v>3.6040000000000001</v>
      </c>
      <c r="E17" s="14"/>
      <c r="F17" s="17">
        <f>-37500*31</f>
        <v>-1162500</v>
      </c>
      <c r="G17" s="17">
        <f t="shared" si="2"/>
        <v>-37500</v>
      </c>
      <c r="H17" s="24">
        <f>+'[4]ELpaso SJ &amp; Prm'!$F35</f>
        <v>3.5990000000000002</v>
      </c>
      <c r="I17" s="16">
        <f t="shared" si="0"/>
        <v>5812.4999999998763</v>
      </c>
      <c r="J17" s="14"/>
      <c r="K17" s="30">
        <f t="shared" si="1"/>
        <v>5812.4999999998763</v>
      </c>
      <c r="L17" s="357">
        <f>IF(K17=0,0,IF(A17&lt;(Summary!$K$3+365),K17,0))</f>
        <v>0</v>
      </c>
    </row>
    <row r="18" spans="1:12" x14ac:dyDescent="0.2">
      <c r="A18" s="23">
        <v>37865</v>
      </c>
      <c r="B18" s="14"/>
      <c r="C18" s="15" t="s">
        <v>31</v>
      </c>
      <c r="D18" s="24">
        <f>+'[4]Henry Hub'!$E24+$D$9</f>
        <v>3.6160000000000001</v>
      </c>
      <c r="E18" s="14"/>
      <c r="F18" s="17">
        <f>-37500*30</f>
        <v>-1125000</v>
      </c>
      <c r="G18" s="17">
        <f>+F18/30</f>
        <v>-37500</v>
      </c>
      <c r="H18" s="24">
        <f>+'[4]ELpaso SJ &amp; Prm'!$F36</f>
        <v>3.6110000000000002</v>
      </c>
      <c r="I18" s="16">
        <f t="shared" si="0"/>
        <v>5624.9999999998799</v>
      </c>
      <c r="J18" s="14"/>
      <c r="K18" s="30">
        <f t="shared" si="1"/>
        <v>5624.9999999998799</v>
      </c>
      <c r="L18" s="357">
        <f>IF(K18=0,0,IF(A18&lt;(Summary!$K$3+365),K18,0))</f>
        <v>0</v>
      </c>
    </row>
    <row r="19" spans="1:12" x14ac:dyDescent="0.2">
      <c r="A19" s="23">
        <v>37895</v>
      </c>
      <c r="B19" s="14"/>
      <c r="C19" s="15" t="s">
        <v>31</v>
      </c>
      <c r="D19" s="24">
        <f>+'[4]Henry Hub'!$E25+$D$9</f>
        <v>3.6390000000000002</v>
      </c>
      <c r="E19" s="14"/>
      <c r="F19" s="17">
        <f>-37500*31</f>
        <v>-1162500</v>
      </c>
      <c r="G19" s="17">
        <f t="shared" si="2"/>
        <v>-37500</v>
      </c>
      <c r="H19" s="24">
        <f>+'[4]ELpaso SJ &amp; Prm'!$F37</f>
        <v>3.6340000000000003</v>
      </c>
      <c r="I19" s="16">
        <f t="shared" si="0"/>
        <v>5812.4999999998763</v>
      </c>
      <c r="J19" s="14"/>
      <c r="K19" s="30">
        <f t="shared" si="1"/>
        <v>5812.4999999998763</v>
      </c>
      <c r="L19" s="357">
        <f>IF(K19=0,0,IF(A19&lt;(Summary!$K$3+365),K19,0))</f>
        <v>0</v>
      </c>
    </row>
    <row r="20" spans="1:12" x14ac:dyDescent="0.2">
      <c r="A20" s="23">
        <v>37926</v>
      </c>
      <c r="B20" s="14"/>
      <c r="C20" s="15" t="s">
        <v>31</v>
      </c>
      <c r="D20" s="24">
        <f>+'[4]Henry Hub'!$E26+$D$9</f>
        <v>3.774</v>
      </c>
      <c r="E20" s="14"/>
      <c r="F20" s="17">
        <f>-37500*30</f>
        <v>-1125000</v>
      </c>
      <c r="G20" s="17">
        <f>+F20/30</f>
        <v>-37500</v>
      </c>
      <c r="H20" s="24">
        <f>+'[4]ELpaso SJ &amp; Prm'!$F38</f>
        <v>3.8039999999999998</v>
      </c>
      <c r="I20" s="16">
        <f t="shared" si="0"/>
        <v>-33749.999999999782</v>
      </c>
      <c r="J20" s="14"/>
      <c r="K20" s="30">
        <f t="shared" si="1"/>
        <v>-33749.999999999782</v>
      </c>
      <c r="L20" s="357">
        <f>IF(K20=0,0,IF(A20&lt;(Summary!$K$3+365),K20,0))</f>
        <v>0</v>
      </c>
    </row>
    <row r="21" spans="1:12" x14ac:dyDescent="0.2">
      <c r="A21" s="23">
        <v>37956</v>
      </c>
      <c r="B21" s="14"/>
      <c r="C21" s="15" t="s">
        <v>31</v>
      </c>
      <c r="D21" s="123">
        <f>+'[4]Henry Hub'!$E27+$D$9</f>
        <v>3.9140000000000001</v>
      </c>
      <c r="E21" s="14"/>
      <c r="F21" s="42">
        <f>-37500*31</f>
        <v>-1162500</v>
      </c>
      <c r="G21" s="17">
        <f t="shared" si="2"/>
        <v>-37500</v>
      </c>
      <c r="H21" s="123">
        <f>+'[4]ELpaso SJ &amp; Prm'!$F39</f>
        <v>3.944</v>
      </c>
      <c r="I21" s="43">
        <f t="shared" si="0"/>
        <v>-34874.999999999774</v>
      </c>
      <c r="J21" s="43"/>
      <c r="K21" s="92">
        <f t="shared" si="1"/>
        <v>-34874.999999999774</v>
      </c>
      <c r="L21" s="380">
        <f t="shared" si="1"/>
        <v>0</v>
      </c>
    </row>
    <row r="22" spans="1:12" x14ac:dyDescent="0.2">
      <c r="A22" s="23"/>
      <c r="B22" s="14"/>
      <c r="C22" s="15"/>
      <c r="D22" s="24">
        <f>SUM(D10:D21)/12</f>
        <v>3.6915000000000009</v>
      </c>
      <c r="E22" s="14"/>
      <c r="F22" s="17">
        <f>SUM(F10:F21)</f>
        <v>-13687500</v>
      </c>
      <c r="G22" s="14"/>
      <c r="H22" s="24">
        <f>SUM(H10:H21)/12</f>
        <v>3.6835833333333334</v>
      </c>
      <c r="I22" s="16">
        <f>SUM(I10:I21)</f>
        <v>106499.99999999924</v>
      </c>
      <c r="J22" s="16">
        <f>SUM(J10:J21)</f>
        <v>0</v>
      </c>
      <c r="K22" s="16">
        <f>SUM(K10:K21)</f>
        <v>106499.99999999924</v>
      </c>
      <c r="L22" s="16">
        <f>SUM(L10:L21)</f>
        <v>0</v>
      </c>
    </row>
    <row r="23" spans="1:12" x14ac:dyDescent="0.2">
      <c r="A23" s="23"/>
      <c r="B23" s="14"/>
      <c r="C23" s="15"/>
      <c r="D23" s="24"/>
      <c r="E23" s="14"/>
      <c r="F23" s="17"/>
      <c r="G23" s="208"/>
      <c r="H23" s="24"/>
      <c r="I23" s="16"/>
      <c r="J23" s="28"/>
      <c r="K23" s="18"/>
      <c r="L23" s="18"/>
    </row>
    <row r="24" spans="1:12" x14ac:dyDescent="0.2">
      <c r="A24" s="23"/>
      <c r="B24" s="14"/>
      <c r="C24" s="15"/>
      <c r="D24" s="24"/>
      <c r="E24" s="14"/>
      <c r="F24" s="17"/>
      <c r="G24" s="14"/>
      <c r="H24" s="24"/>
      <c r="I24" s="16"/>
      <c r="J24" s="28"/>
      <c r="K24" s="18"/>
      <c r="L24" s="18"/>
    </row>
    <row r="25" spans="1:12" ht="13.5" thickBot="1" x14ac:dyDescent="0.25">
      <c r="A25" s="23"/>
      <c r="B25" s="14"/>
      <c r="C25" s="15"/>
      <c r="D25" s="24"/>
      <c r="E25" s="14"/>
      <c r="F25" s="89">
        <f>+F22</f>
        <v>-13687500</v>
      </c>
      <c r="G25" s="14"/>
      <c r="H25" s="24"/>
      <c r="I25" s="90">
        <f>+I22</f>
        <v>106499.99999999924</v>
      </c>
      <c r="J25" s="90">
        <f>+J22</f>
        <v>0</v>
      </c>
      <c r="K25" s="90">
        <f>+K22</f>
        <v>106499.99999999924</v>
      </c>
      <c r="L25" s="90">
        <f>+L22</f>
        <v>0</v>
      </c>
    </row>
    <row r="26" spans="1:12" ht="13.5" thickTop="1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9"/>
      <c r="K26" s="29"/>
    </row>
    <row r="28" spans="1:12" x14ac:dyDescent="0.2">
      <c r="A28" s="22" t="s">
        <v>37</v>
      </c>
    </row>
  </sheetData>
  <mergeCells count="1">
    <mergeCell ref="A4:K4"/>
  </mergeCells>
  <phoneticPr fontId="0" type="noConversion"/>
  <pageMargins left="0.75" right="0.75" top="1" bottom="1" header="0.5" footer="0.5"/>
  <pageSetup scale="76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zoomScale="75" workbookViewId="0">
      <selection activeCell="H10" sqref="H10"/>
    </sheetView>
  </sheetViews>
  <sheetFormatPr defaultRowHeight="12.75" x14ac:dyDescent="0.2"/>
  <cols>
    <col min="1" max="2" width="10.7109375" customWidth="1"/>
    <col min="3" max="3" width="13.7109375" customWidth="1"/>
    <col min="4" max="4" width="18.5703125" customWidth="1"/>
    <col min="5" max="5" width="0" hidden="1" customWidth="1"/>
    <col min="6" max="6" width="12.7109375" customWidth="1"/>
    <col min="7" max="7" width="13.140625" customWidth="1"/>
    <col min="8" max="8" width="16.7109375" customWidth="1"/>
    <col min="9" max="9" width="18.42578125" customWidth="1"/>
    <col min="10" max="10" width="13.42578125" customWidth="1"/>
    <col min="11" max="11" width="15.42578125" customWidth="1"/>
    <col min="12" max="12" width="17.28515625" bestFit="1" customWidth="1"/>
  </cols>
  <sheetData>
    <row r="1" spans="1:12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161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591"/>
      <c r="B4" s="591"/>
      <c r="C4" s="591"/>
      <c r="D4" s="591"/>
      <c r="E4" s="591"/>
      <c r="F4" s="591"/>
      <c r="G4" s="591"/>
      <c r="H4" s="591"/>
      <c r="I4" s="591"/>
      <c r="J4" s="591"/>
      <c r="K4" s="591"/>
    </row>
    <row r="5" spans="1:12" x14ac:dyDescent="0.2">
      <c r="G5" s="114"/>
      <c r="H5" s="114"/>
    </row>
    <row r="6" spans="1:12" s="7" customFormat="1" x14ac:dyDescent="0.2">
      <c r="A6" s="319" t="s">
        <v>39</v>
      </c>
      <c r="B6" s="290" t="s">
        <v>3</v>
      </c>
      <c r="C6" s="290" t="s">
        <v>3</v>
      </c>
      <c r="D6" s="290" t="s">
        <v>31</v>
      </c>
      <c r="E6" s="290"/>
      <c r="F6" s="290"/>
      <c r="G6" s="290"/>
      <c r="H6" s="290" t="s">
        <v>25</v>
      </c>
      <c r="I6" s="291" t="s">
        <v>42</v>
      </c>
      <c r="J6" s="292"/>
      <c r="K6" s="293"/>
    </row>
    <row r="7" spans="1:12" s="7" customFormat="1" x14ac:dyDescent="0.2">
      <c r="A7" s="320" t="s">
        <v>43</v>
      </c>
      <c r="B7" s="294" t="s">
        <v>9</v>
      </c>
      <c r="C7" s="294" t="s">
        <v>8</v>
      </c>
      <c r="D7" s="294" t="s">
        <v>86</v>
      </c>
      <c r="E7" s="294"/>
      <c r="F7" s="294"/>
      <c r="G7" s="294"/>
      <c r="H7" s="294" t="s">
        <v>122</v>
      </c>
      <c r="I7" s="294" t="s">
        <v>19</v>
      </c>
      <c r="J7" s="294" t="s">
        <v>20</v>
      </c>
      <c r="K7" s="294" t="s">
        <v>21</v>
      </c>
      <c r="L7" s="124"/>
    </row>
    <row r="8" spans="1:12" x14ac:dyDescent="0.2">
      <c r="A8" s="373"/>
      <c r="B8" s="374"/>
      <c r="C8" s="374"/>
      <c r="D8" s="294" t="s">
        <v>152</v>
      </c>
      <c r="E8" s="374"/>
      <c r="F8" s="374"/>
      <c r="G8" s="375"/>
      <c r="H8" s="294" t="s">
        <v>155</v>
      </c>
      <c r="I8" s="360" t="s">
        <v>24</v>
      </c>
      <c r="J8" s="360" t="s">
        <v>24</v>
      </c>
      <c r="K8" s="360" t="s">
        <v>24</v>
      </c>
      <c r="L8" s="19"/>
    </row>
    <row r="9" spans="1:12" x14ac:dyDescent="0.2">
      <c r="A9" s="321"/>
      <c r="B9" s="296"/>
      <c r="C9" s="296"/>
      <c r="D9" s="377">
        <v>1.1599999999999999</v>
      </c>
      <c r="E9" s="296"/>
      <c r="F9" s="296"/>
      <c r="G9" s="297"/>
      <c r="H9" s="147"/>
      <c r="I9" s="298"/>
      <c r="J9" s="298"/>
      <c r="K9" s="299"/>
      <c r="L9" s="379" t="s">
        <v>207</v>
      </c>
    </row>
    <row r="10" spans="1:12" x14ac:dyDescent="0.2">
      <c r="A10" s="23">
        <v>37622</v>
      </c>
      <c r="B10" s="14"/>
      <c r="C10" s="15" t="s">
        <v>31</v>
      </c>
      <c r="D10" s="24">
        <f>+'[4]Henry Hub'!$E16+$D$9</f>
        <v>5.3340000000000005</v>
      </c>
      <c r="E10" s="14"/>
      <c r="F10" s="17">
        <f>11500*31</f>
        <v>356500</v>
      </c>
      <c r="G10" s="17">
        <f>+F10/31</f>
        <v>11500</v>
      </c>
      <c r="H10" s="24">
        <f>+'[4]NGI Socal'!$E22</f>
        <v>4.9540000000000006</v>
      </c>
      <c r="I10" s="16">
        <f>SUM(-D10+H10)*F10</f>
        <v>-135469.99999999997</v>
      </c>
      <c r="J10" s="30"/>
      <c r="K10" s="30">
        <f>+I10</f>
        <v>-135469.99999999997</v>
      </c>
      <c r="L10" s="357">
        <f>IF(K10=0,0,IF(A10&lt;(Summary!$K$3+365),K10,0))</f>
        <v>0</v>
      </c>
    </row>
    <row r="11" spans="1:12" x14ac:dyDescent="0.2">
      <c r="A11" s="23">
        <v>37653</v>
      </c>
      <c r="B11" s="14"/>
      <c r="C11" s="15" t="s">
        <v>31</v>
      </c>
      <c r="D11" s="24">
        <f>+'[4]Henry Hub'!$E17+$D$9</f>
        <v>5.2140000000000004</v>
      </c>
      <c r="E11" s="14"/>
      <c r="F11" s="17">
        <f>11500*28</f>
        <v>322000</v>
      </c>
      <c r="G11" s="17">
        <f>+F11/28</f>
        <v>11500</v>
      </c>
      <c r="H11" s="24">
        <f>+'[4]NGI Socal'!$E23</f>
        <v>4.8340000000000005</v>
      </c>
      <c r="I11" s="16">
        <f t="shared" ref="I11:I21" si="0">SUM(-D11+H11)*F11</f>
        <v>-122359.99999999997</v>
      </c>
      <c r="J11" s="30"/>
      <c r="K11" s="30">
        <f t="shared" ref="K11:L21" si="1">+I11</f>
        <v>-122359.99999999997</v>
      </c>
      <c r="L11" s="357">
        <f>IF(K11=0,0,IF(A11&lt;(Summary!$K$3+365),K11,0))</f>
        <v>0</v>
      </c>
    </row>
    <row r="12" spans="1:12" x14ac:dyDescent="0.2">
      <c r="A12" s="23">
        <v>37681</v>
      </c>
      <c r="B12" s="14"/>
      <c r="C12" s="15" t="s">
        <v>31</v>
      </c>
      <c r="D12" s="24">
        <f>+'[4]Henry Hub'!$E18+$D$9</f>
        <v>5.0670000000000002</v>
      </c>
      <c r="E12" s="14"/>
      <c r="F12" s="17">
        <f>11500*31</f>
        <v>356500</v>
      </c>
      <c r="G12" s="17">
        <f t="shared" ref="G12:G21" si="2">+F12/31</f>
        <v>11500</v>
      </c>
      <c r="H12" s="24">
        <f>+'[4]NGI Socal'!$E24</f>
        <v>4.6870000000000003</v>
      </c>
      <c r="I12" s="16">
        <f t="shared" si="0"/>
        <v>-135469.99999999997</v>
      </c>
      <c r="J12" s="30"/>
      <c r="K12" s="30">
        <f t="shared" si="1"/>
        <v>-135469.99999999997</v>
      </c>
      <c r="L12" s="357">
        <f>IF(K12=0,0,IF(A12&lt;(Summary!$K$3+365),K12,0))</f>
        <v>0</v>
      </c>
    </row>
    <row r="13" spans="1:12" x14ac:dyDescent="0.2">
      <c r="A13" s="23">
        <v>37712</v>
      </c>
      <c r="B13" s="14"/>
      <c r="C13" s="15" t="s">
        <v>31</v>
      </c>
      <c r="D13" s="24">
        <f>+'[4]Henry Hub'!$E19+$D$9</f>
        <v>4.8040000000000003</v>
      </c>
      <c r="E13" s="14"/>
      <c r="F13" s="17">
        <f>11500*30</f>
        <v>345000</v>
      </c>
      <c r="G13" s="17">
        <f>+F13/30</f>
        <v>11500</v>
      </c>
      <c r="H13" s="24">
        <f>+'[4]NGI Socal'!$E25</f>
        <v>4.0640000000000001</v>
      </c>
      <c r="I13" s="16">
        <f t="shared" si="0"/>
        <v>-255300.00000000009</v>
      </c>
      <c r="J13" s="14"/>
      <c r="K13" s="30">
        <f t="shared" si="1"/>
        <v>-255300.00000000009</v>
      </c>
      <c r="L13" s="357">
        <f>IF(K13=0,0,IF(A13&lt;(Summary!$K$3+365),K13,0))</f>
        <v>0</v>
      </c>
    </row>
    <row r="14" spans="1:12" x14ac:dyDescent="0.2">
      <c r="A14" s="23">
        <v>37742</v>
      </c>
      <c r="B14" s="14"/>
      <c r="C14" s="15" t="s">
        <v>31</v>
      </c>
      <c r="D14" s="24">
        <f>+'[4]Henry Hub'!$E20+$D$9</f>
        <v>4.7889999999999997</v>
      </c>
      <c r="E14" s="14"/>
      <c r="F14" s="17">
        <f>11500*31</f>
        <v>356500</v>
      </c>
      <c r="G14" s="17">
        <f t="shared" si="2"/>
        <v>11500</v>
      </c>
      <c r="H14" s="24">
        <f>+'[4]NGI Socal'!$E26</f>
        <v>4.0490000000000004</v>
      </c>
      <c r="I14" s="16">
        <f t="shared" si="0"/>
        <v>-263809.99999999977</v>
      </c>
      <c r="J14" s="14"/>
      <c r="K14" s="30">
        <f t="shared" si="1"/>
        <v>-263809.99999999977</v>
      </c>
      <c r="L14" s="357">
        <f>IF(K14=0,0,IF(A14&lt;(Summary!$K$3+365),K14,0))</f>
        <v>0</v>
      </c>
    </row>
    <row r="15" spans="1:12" x14ac:dyDescent="0.2">
      <c r="A15" s="23">
        <v>37773</v>
      </c>
      <c r="B15" s="14"/>
      <c r="C15" s="15" t="s">
        <v>31</v>
      </c>
      <c r="D15" s="24">
        <f>+'[4]Henry Hub'!$E21+$D$9</f>
        <v>4.8289999999999997</v>
      </c>
      <c r="E15" s="14"/>
      <c r="F15" s="17">
        <f>11500*30</f>
        <v>345000</v>
      </c>
      <c r="G15" s="17">
        <f>+F15/30</f>
        <v>11500</v>
      </c>
      <c r="H15" s="24">
        <f>+'[4]NGI Socal'!$E27</f>
        <v>4.0890000000000004</v>
      </c>
      <c r="I15" s="16">
        <f t="shared" si="0"/>
        <v>-255299.99999999977</v>
      </c>
      <c r="J15" s="14"/>
      <c r="K15" s="30">
        <f t="shared" si="1"/>
        <v>-255299.99999999977</v>
      </c>
      <c r="L15" s="357">
        <f>IF(K15=0,0,IF(A15&lt;(Summary!$K$3+365),K15,0))</f>
        <v>0</v>
      </c>
    </row>
    <row r="16" spans="1:12" x14ac:dyDescent="0.2">
      <c r="A16" s="23">
        <v>37803</v>
      </c>
      <c r="B16" s="14"/>
      <c r="C16" s="15" t="s">
        <v>31</v>
      </c>
      <c r="D16" s="24">
        <f>+'[4]Henry Hub'!$E22+$D$9</f>
        <v>4.8840000000000003</v>
      </c>
      <c r="E16" s="14"/>
      <c r="F16" s="17">
        <f>11500*31</f>
        <v>356500</v>
      </c>
      <c r="G16" s="17">
        <f t="shared" si="2"/>
        <v>11500</v>
      </c>
      <c r="H16" s="24">
        <f>+'[4]NGI Socal'!$E28</f>
        <v>4.1440000000000001</v>
      </c>
      <c r="I16" s="16">
        <f t="shared" si="0"/>
        <v>-263810.00000000006</v>
      </c>
      <c r="J16" s="14"/>
      <c r="K16" s="30">
        <f t="shared" si="1"/>
        <v>-263810.00000000006</v>
      </c>
      <c r="L16" s="357">
        <f>IF(K16=0,0,IF(A16&lt;(Summary!$K$3+365),K16,0))</f>
        <v>0</v>
      </c>
    </row>
    <row r="17" spans="1:12" x14ac:dyDescent="0.2">
      <c r="A17" s="23">
        <v>37834</v>
      </c>
      <c r="B17" s="14"/>
      <c r="C17" s="15" t="s">
        <v>31</v>
      </c>
      <c r="D17" s="24">
        <f>+'[4]Henry Hub'!$E23+$D$9</f>
        <v>4.9139999999999997</v>
      </c>
      <c r="E17" s="14"/>
      <c r="F17" s="17">
        <f>11500*31</f>
        <v>356500</v>
      </c>
      <c r="G17" s="17">
        <f t="shared" si="2"/>
        <v>11500</v>
      </c>
      <c r="H17" s="24">
        <f>+'[4]NGI Socal'!$E29</f>
        <v>4.1740000000000004</v>
      </c>
      <c r="I17" s="16">
        <f t="shared" si="0"/>
        <v>-263809.99999999977</v>
      </c>
      <c r="J17" s="14"/>
      <c r="K17" s="30">
        <f t="shared" si="1"/>
        <v>-263809.99999999977</v>
      </c>
      <c r="L17" s="357">
        <f>IF(K17=0,0,IF(A17&lt;(Summary!$K$3+365),K17,0))</f>
        <v>0</v>
      </c>
    </row>
    <row r="18" spans="1:12" x14ac:dyDescent="0.2">
      <c r="A18" s="23">
        <v>37865</v>
      </c>
      <c r="B18" s="14"/>
      <c r="C18" s="15" t="s">
        <v>31</v>
      </c>
      <c r="D18" s="24">
        <f>+'[4]Henry Hub'!$E24+$D$9</f>
        <v>4.9260000000000002</v>
      </c>
      <c r="E18" s="14"/>
      <c r="F18" s="17">
        <f>11500*30</f>
        <v>345000</v>
      </c>
      <c r="G18" s="17">
        <f>+F18/30</f>
        <v>11500</v>
      </c>
      <c r="H18" s="24">
        <f>+'[4]NGI Socal'!$E30</f>
        <v>4.1859999999999999</v>
      </c>
      <c r="I18" s="16">
        <f t="shared" si="0"/>
        <v>-255300.00000000009</v>
      </c>
      <c r="J18" s="14"/>
      <c r="K18" s="30">
        <f t="shared" si="1"/>
        <v>-255300.00000000009</v>
      </c>
      <c r="L18" s="357">
        <f>IF(K18=0,0,IF(A18&lt;(Summary!$K$3+365),K18,0))</f>
        <v>0</v>
      </c>
    </row>
    <row r="19" spans="1:12" x14ac:dyDescent="0.2">
      <c r="A19" s="23">
        <v>37895</v>
      </c>
      <c r="B19" s="14"/>
      <c r="C19" s="15" t="s">
        <v>31</v>
      </c>
      <c r="D19" s="24">
        <f>+'[4]Henry Hub'!$E25+$D$9</f>
        <v>4.9489999999999998</v>
      </c>
      <c r="E19" s="14"/>
      <c r="F19" s="17">
        <f>11500*31</f>
        <v>356500</v>
      </c>
      <c r="G19" s="17">
        <f t="shared" si="2"/>
        <v>11500</v>
      </c>
      <c r="H19" s="24">
        <f>+'[4]NGI Socal'!$E31</f>
        <v>4.2090000000000005</v>
      </c>
      <c r="I19" s="16">
        <f t="shared" si="0"/>
        <v>-263809.99999999977</v>
      </c>
      <c r="J19" s="14"/>
      <c r="K19" s="30">
        <f t="shared" si="1"/>
        <v>-263809.99999999977</v>
      </c>
      <c r="L19" s="357">
        <f>IF(K19=0,0,IF(A19&lt;(Summary!$K$3+365),K19,0))</f>
        <v>0</v>
      </c>
    </row>
    <row r="20" spans="1:12" x14ac:dyDescent="0.2">
      <c r="A20" s="23">
        <v>37926</v>
      </c>
      <c r="B20" s="14"/>
      <c r="C20" s="15" t="s">
        <v>31</v>
      </c>
      <c r="D20" s="24">
        <f>+'[4]Henry Hub'!$E26+$D$9</f>
        <v>5.0839999999999996</v>
      </c>
      <c r="E20" s="14"/>
      <c r="F20" s="17">
        <f>11500*30</f>
        <v>345000</v>
      </c>
      <c r="G20" s="17">
        <f>+F20/30</f>
        <v>11500</v>
      </c>
      <c r="H20" s="24">
        <f>+'[4]NGI Socal'!$E32</f>
        <v>4.274</v>
      </c>
      <c r="I20" s="16">
        <f t="shared" si="0"/>
        <v>-279449.99999999988</v>
      </c>
      <c r="J20" s="14"/>
      <c r="K20" s="30">
        <f t="shared" si="1"/>
        <v>-279449.99999999988</v>
      </c>
      <c r="L20" s="357">
        <f>IF(K20=0,0,IF(A20&lt;(Summary!$K$3+365),K20,0))</f>
        <v>0</v>
      </c>
    </row>
    <row r="21" spans="1:12" x14ac:dyDescent="0.2">
      <c r="A21" s="23">
        <v>37956</v>
      </c>
      <c r="B21" s="14"/>
      <c r="C21" s="15" t="s">
        <v>31</v>
      </c>
      <c r="D21" s="123">
        <f>+'[4]Henry Hub'!$E27+$D$9</f>
        <v>5.2240000000000002</v>
      </c>
      <c r="E21" s="14"/>
      <c r="F21" s="42">
        <f>11500*31</f>
        <v>356500</v>
      </c>
      <c r="G21" s="17">
        <f t="shared" si="2"/>
        <v>11500</v>
      </c>
      <c r="H21" s="123">
        <f>+'[4]NGI Socal'!$E33</f>
        <v>4.4139999999999997</v>
      </c>
      <c r="I21" s="43">
        <f t="shared" si="0"/>
        <v>-288765.00000000017</v>
      </c>
      <c r="J21" s="43"/>
      <c r="K21" s="92">
        <f t="shared" si="1"/>
        <v>-288765.00000000017</v>
      </c>
      <c r="L21" s="380">
        <f t="shared" si="1"/>
        <v>0</v>
      </c>
    </row>
    <row r="22" spans="1:12" x14ac:dyDescent="0.2">
      <c r="A22" s="23"/>
      <c r="B22" s="14"/>
      <c r="C22" s="15"/>
      <c r="D22" s="24">
        <f>SUM(D10:D21)/12</f>
        <v>5.0015000000000009</v>
      </c>
      <c r="E22" s="14"/>
      <c r="F22" s="17">
        <f>SUM(F10:F21)</f>
        <v>4197500</v>
      </c>
      <c r="G22" s="14"/>
      <c r="H22" s="24">
        <f>SUM(H10:H21)/12</f>
        <v>4.3398333333333339</v>
      </c>
      <c r="I22" s="16">
        <f>SUM(I10:I21)</f>
        <v>-2782654.9999999991</v>
      </c>
      <c r="J22" s="16">
        <f>SUM(J10:J21)</f>
        <v>0</v>
      </c>
      <c r="K22" s="16">
        <f>SUM(K10:K21)</f>
        <v>-2782654.9999999991</v>
      </c>
      <c r="L22" s="16">
        <f>SUM(L10:L21)</f>
        <v>0</v>
      </c>
    </row>
    <row r="23" spans="1:12" x14ac:dyDescent="0.2">
      <c r="A23" s="23"/>
      <c r="B23" s="14"/>
      <c r="C23" s="15"/>
      <c r="D23" s="24"/>
      <c r="E23" s="14"/>
      <c r="F23" s="17"/>
      <c r="G23" s="208"/>
      <c r="H23" s="24"/>
      <c r="I23" s="16"/>
      <c r="J23" s="28"/>
      <c r="K23" s="18"/>
      <c r="L23" s="16"/>
    </row>
    <row r="24" spans="1:12" x14ac:dyDescent="0.2">
      <c r="A24" s="23"/>
      <c r="B24" s="14"/>
      <c r="C24" s="15"/>
      <c r="D24" s="24"/>
      <c r="E24" s="14"/>
      <c r="F24" s="17"/>
      <c r="G24" s="14"/>
      <c r="H24" s="24"/>
      <c r="I24" s="16"/>
      <c r="J24" s="28"/>
      <c r="K24" s="18"/>
      <c r="L24" s="16"/>
    </row>
    <row r="25" spans="1:12" ht="13.5" thickBot="1" x14ac:dyDescent="0.25">
      <c r="A25" s="23"/>
      <c r="B25" s="14"/>
      <c r="C25" s="15"/>
      <c r="D25" s="24"/>
      <c r="E25" s="14"/>
      <c r="F25" s="89">
        <f>+F22</f>
        <v>4197500</v>
      </c>
      <c r="G25" s="14"/>
      <c r="H25" s="24"/>
      <c r="I25" s="90">
        <f>+I22</f>
        <v>-2782654.9999999991</v>
      </c>
      <c r="J25" s="90">
        <f>+J22</f>
        <v>0</v>
      </c>
      <c r="K25" s="90">
        <f>+K22</f>
        <v>-2782654.9999999991</v>
      </c>
      <c r="L25" s="90">
        <f>+L22</f>
        <v>0</v>
      </c>
    </row>
    <row r="26" spans="1:12" ht="13.5" thickTop="1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9"/>
      <c r="K26" s="29"/>
    </row>
    <row r="28" spans="1:12" x14ac:dyDescent="0.2">
      <c r="A28" s="22" t="s">
        <v>37</v>
      </c>
    </row>
  </sheetData>
  <mergeCells count="1">
    <mergeCell ref="A4:K4"/>
  </mergeCells>
  <phoneticPr fontId="0" type="noConversion"/>
  <pageMargins left="0.75" right="0.75" top="1" bottom="1" header="0.5" footer="0.5"/>
  <pageSetup scale="76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topLeftCell="A5" zoomScale="75" workbookViewId="0">
      <selection activeCell="H18" sqref="H18"/>
    </sheetView>
  </sheetViews>
  <sheetFormatPr defaultRowHeight="12.75" x14ac:dyDescent="0.2"/>
  <cols>
    <col min="1" max="2" width="10.7109375" customWidth="1"/>
    <col min="3" max="3" width="13.7109375" customWidth="1"/>
    <col min="4" max="4" width="18.5703125" customWidth="1"/>
    <col min="5" max="5" width="0" hidden="1" customWidth="1"/>
    <col min="6" max="6" width="12.7109375" customWidth="1"/>
    <col min="7" max="7" width="13.140625" customWidth="1"/>
    <col min="8" max="8" width="16.7109375" customWidth="1"/>
    <col min="9" max="9" width="18.42578125" customWidth="1"/>
    <col min="10" max="10" width="13.42578125" customWidth="1"/>
    <col min="11" max="11" width="15.42578125" customWidth="1"/>
    <col min="12" max="12" width="17.28515625" bestFit="1" customWidth="1"/>
  </cols>
  <sheetData>
    <row r="1" spans="1:12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160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591"/>
      <c r="B4" s="591"/>
      <c r="C4" s="591"/>
      <c r="D4" s="591"/>
      <c r="E4" s="591"/>
      <c r="F4" s="591"/>
      <c r="G4" s="591"/>
      <c r="H4" s="591"/>
      <c r="I4" s="591"/>
      <c r="J4" s="591"/>
      <c r="K4" s="591"/>
    </row>
    <row r="5" spans="1:12" x14ac:dyDescent="0.2">
      <c r="G5" s="114"/>
      <c r="H5" s="114"/>
    </row>
    <row r="6" spans="1:12" s="7" customFormat="1" x14ac:dyDescent="0.2">
      <c r="A6" s="320" t="s">
        <v>39</v>
      </c>
      <c r="B6" s="290" t="s">
        <v>3</v>
      </c>
      <c r="C6" s="290" t="s">
        <v>3</v>
      </c>
      <c r="D6" s="290" t="s">
        <v>25</v>
      </c>
      <c r="E6" s="290"/>
      <c r="F6" s="290"/>
      <c r="G6" s="290"/>
      <c r="H6" s="290" t="s">
        <v>94</v>
      </c>
      <c r="I6" s="291" t="s">
        <v>42</v>
      </c>
      <c r="J6" s="292"/>
      <c r="K6" s="293"/>
    </row>
    <row r="7" spans="1:12" s="7" customFormat="1" x14ac:dyDescent="0.2">
      <c r="A7" s="320" t="s">
        <v>43</v>
      </c>
      <c r="B7" s="294" t="s">
        <v>9</v>
      </c>
      <c r="C7" s="294" t="s">
        <v>8</v>
      </c>
      <c r="D7" s="294" t="s">
        <v>86</v>
      </c>
      <c r="E7" s="294"/>
      <c r="F7" s="294"/>
      <c r="G7" s="294"/>
      <c r="H7" s="294" t="s">
        <v>162</v>
      </c>
      <c r="I7" s="294" t="s">
        <v>19</v>
      </c>
      <c r="J7" s="294" t="s">
        <v>20</v>
      </c>
      <c r="K7" s="294" t="s">
        <v>21</v>
      </c>
      <c r="L7" s="124"/>
    </row>
    <row r="8" spans="1:12" x14ac:dyDescent="0.2">
      <c r="A8" s="373"/>
      <c r="B8" s="374"/>
      <c r="C8" s="374"/>
      <c r="D8" s="294" t="s">
        <v>152</v>
      </c>
      <c r="E8" s="374"/>
      <c r="F8" s="374"/>
      <c r="G8" s="375"/>
      <c r="H8" s="294"/>
      <c r="I8" s="360" t="s">
        <v>24</v>
      </c>
      <c r="J8" s="360" t="s">
        <v>24</v>
      </c>
      <c r="K8" s="360" t="s">
        <v>24</v>
      </c>
      <c r="L8" s="14"/>
    </row>
    <row r="9" spans="1:12" x14ac:dyDescent="0.2">
      <c r="A9" s="321"/>
      <c r="B9" s="296"/>
      <c r="C9" s="296"/>
      <c r="D9" s="377">
        <v>-0.14000000000000001</v>
      </c>
      <c r="E9" s="296"/>
      <c r="F9" s="296"/>
      <c r="G9" s="297"/>
      <c r="H9" s="147"/>
      <c r="I9" s="298"/>
      <c r="J9" s="298"/>
      <c r="K9" s="299"/>
      <c r="L9" s="379" t="s">
        <v>207</v>
      </c>
    </row>
    <row r="10" spans="1:12" x14ac:dyDescent="0.2">
      <c r="A10" s="23">
        <v>37622</v>
      </c>
      <c r="B10" s="14"/>
      <c r="C10" s="15" t="s">
        <v>31</v>
      </c>
      <c r="D10" s="24">
        <f>+'[4]Henry Hub'!$E16+$D$9</f>
        <v>4.0340000000000007</v>
      </c>
      <c r="E10" s="14"/>
      <c r="F10" s="17">
        <f>-11500*31</f>
        <v>-356500</v>
      </c>
      <c r="G10" s="17">
        <f>+F10/31</f>
        <v>-11500</v>
      </c>
      <c r="H10" s="24">
        <f>+'[4]ELpaso SJ &amp; Prm'!$F28</f>
        <v>3.9840000000000004</v>
      </c>
      <c r="I10" s="16">
        <f>SUM(-D10+H10)*F10</f>
        <v>17825.000000000095</v>
      </c>
      <c r="J10" s="30"/>
      <c r="K10" s="30">
        <f>+I10</f>
        <v>17825.000000000095</v>
      </c>
      <c r="L10" s="357">
        <f>IF(K10=0,0,IF(A10&lt;(Summary!$K$3+365),K10,0))</f>
        <v>0</v>
      </c>
    </row>
    <row r="11" spans="1:12" x14ac:dyDescent="0.2">
      <c r="A11" s="23">
        <v>37653</v>
      </c>
      <c r="B11" s="14"/>
      <c r="C11" s="15" t="s">
        <v>31</v>
      </c>
      <c r="D11" s="24">
        <f>+'[4]Henry Hub'!$E17+$D$9</f>
        <v>3.9140000000000001</v>
      </c>
      <c r="E11" s="14"/>
      <c r="F11" s="17">
        <f>-11500*28</f>
        <v>-322000</v>
      </c>
      <c r="G11" s="17">
        <f>+F11/28</f>
        <v>-11500</v>
      </c>
      <c r="H11" s="24">
        <f>+'[4]ELpaso SJ &amp; Prm'!$F29</f>
        <v>3.8640000000000003</v>
      </c>
      <c r="I11" s="16">
        <f t="shared" ref="I11:I21" si="0">SUM(-D11+H11)*F11</f>
        <v>16099.999999999944</v>
      </c>
      <c r="J11" s="30"/>
      <c r="K11" s="30">
        <f t="shared" ref="K11:L21" si="1">+I11</f>
        <v>16099.999999999944</v>
      </c>
      <c r="L11" s="357">
        <f>IF(K11=0,0,IF(A11&lt;(Summary!$K$3+365),K11,0))</f>
        <v>0</v>
      </c>
    </row>
    <row r="12" spans="1:12" x14ac:dyDescent="0.2">
      <c r="A12" s="23">
        <v>37681</v>
      </c>
      <c r="B12" s="14"/>
      <c r="C12" s="15" t="s">
        <v>31</v>
      </c>
      <c r="D12" s="24">
        <f>+'[4]Henry Hub'!$E18+$D$9</f>
        <v>3.7669999999999999</v>
      </c>
      <c r="E12" s="14"/>
      <c r="F12" s="17">
        <f>-11500*31</f>
        <v>-356500</v>
      </c>
      <c r="G12" s="17">
        <f t="shared" ref="G12:G21" si="2">+F12/31</f>
        <v>-11500</v>
      </c>
      <c r="H12" s="24">
        <f>+'[4]ELpaso SJ &amp; Prm'!$F30</f>
        <v>3.7170000000000001</v>
      </c>
      <c r="I12" s="16">
        <f t="shared" si="0"/>
        <v>17824.999999999938</v>
      </c>
      <c r="J12" s="19"/>
      <c r="K12" s="30">
        <f t="shared" si="1"/>
        <v>17824.999999999938</v>
      </c>
      <c r="L12" s="357">
        <f>IF(K12=0,0,IF(A12&lt;(Summary!$K$3+365),K12,0))</f>
        <v>0</v>
      </c>
    </row>
    <row r="13" spans="1:12" x14ac:dyDescent="0.2">
      <c r="A13" s="23">
        <v>37712</v>
      </c>
      <c r="B13" s="14"/>
      <c r="C13" s="15" t="s">
        <v>31</v>
      </c>
      <c r="D13" s="24">
        <f>+'[4]Henry Hub'!$E19+$D$9</f>
        <v>3.504</v>
      </c>
      <c r="E13" s="14"/>
      <c r="F13" s="17">
        <f>-11500*30</f>
        <v>-345000</v>
      </c>
      <c r="G13" s="17">
        <f>+F13/30</f>
        <v>-11500</v>
      </c>
      <c r="H13" s="24">
        <f>+'[4]ELpaso SJ &amp; Prm'!$F31</f>
        <v>3.4890000000000003</v>
      </c>
      <c r="I13" s="16">
        <f t="shared" si="0"/>
        <v>5174.99999999989</v>
      </c>
      <c r="J13" s="14"/>
      <c r="K13" s="30">
        <f t="shared" si="1"/>
        <v>5174.99999999989</v>
      </c>
      <c r="L13" s="357">
        <f>IF(K13=0,0,IF(A13&lt;(Summary!$K$3+365),K13,0))</f>
        <v>0</v>
      </c>
    </row>
    <row r="14" spans="1:12" x14ac:dyDescent="0.2">
      <c r="A14" s="23">
        <v>37742</v>
      </c>
      <c r="B14" s="14"/>
      <c r="C14" s="15" t="s">
        <v>31</v>
      </c>
      <c r="D14" s="24">
        <f>+'[4]Henry Hub'!$E20+$D$9</f>
        <v>3.4889999999999999</v>
      </c>
      <c r="E14" s="14"/>
      <c r="F14" s="17">
        <f>-11500*31</f>
        <v>-356500</v>
      </c>
      <c r="G14" s="17">
        <f t="shared" si="2"/>
        <v>-11500</v>
      </c>
      <c r="H14" s="24">
        <f>+'[4]ELpaso SJ &amp; Prm'!$F32</f>
        <v>3.4740000000000002</v>
      </c>
      <c r="I14" s="16">
        <f t="shared" si="0"/>
        <v>5347.4999999998863</v>
      </c>
      <c r="J14" s="14"/>
      <c r="K14" s="30">
        <f t="shared" si="1"/>
        <v>5347.4999999998863</v>
      </c>
      <c r="L14" s="357">
        <f>IF(K14=0,0,IF(A14&lt;(Summary!$K$3+365),K14,0))</f>
        <v>0</v>
      </c>
    </row>
    <row r="15" spans="1:12" x14ac:dyDescent="0.2">
      <c r="A15" s="23">
        <v>37773</v>
      </c>
      <c r="B15" s="14"/>
      <c r="C15" s="15" t="s">
        <v>31</v>
      </c>
      <c r="D15" s="24">
        <f>+'[4]Henry Hub'!$E21+$D$9</f>
        <v>3.5289999999999999</v>
      </c>
      <c r="E15" s="14"/>
      <c r="F15" s="17">
        <f>-11500*30</f>
        <v>-345000</v>
      </c>
      <c r="G15" s="17">
        <f>+F15/30</f>
        <v>-11500</v>
      </c>
      <c r="H15" s="24">
        <f>+'[4]ELpaso SJ &amp; Prm'!$F33</f>
        <v>3.5140000000000002</v>
      </c>
      <c r="I15" s="16">
        <f t="shared" si="0"/>
        <v>5174.99999999989</v>
      </c>
      <c r="J15" s="14"/>
      <c r="K15" s="30">
        <f t="shared" si="1"/>
        <v>5174.99999999989</v>
      </c>
      <c r="L15" s="357">
        <f>IF(K15=0,0,IF(A15&lt;(Summary!$K$3+365),K15,0))</f>
        <v>0</v>
      </c>
    </row>
    <row r="16" spans="1:12" x14ac:dyDescent="0.2">
      <c r="A16" s="23">
        <v>37803</v>
      </c>
      <c r="B16" s="14"/>
      <c r="C16" s="15" t="s">
        <v>31</v>
      </c>
      <c r="D16" s="24">
        <f>+'[4]Henry Hub'!$E22+$D$9</f>
        <v>3.5840000000000001</v>
      </c>
      <c r="E16" s="14"/>
      <c r="F16" s="17">
        <f>-11500*31</f>
        <v>-356500</v>
      </c>
      <c r="G16" s="17">
        <f t="shared" si="2"/>
        <v>-11500</v>
      </c>
      <c r="H16" s="24">
        <f>+'[4]ELpaso SJ &amp; Prm'!$F34</f>
        <v>3.5690000000000004</v>
      </c>
      <c r="I16" s="16">
        <f t="shared" si="0"/>
        <v>5347.4999999998863</v>
      </c>
      <c r="J16" s="14"/>
      <c r="K16" s="30">
        <f t="shared" si="1"/>
        <v>5347.4999999998863</v>
      </c>
      <c r="L16" s="357">
        <f>IF(K16=0,0,IF(A16&lt;(Summary!$K$3+365),K16,0))</f>
        <v>0</v>
      </c>
    </row>
    <row r="17" spans="1:12" x14ac:dyDescent="0.2">
      <c r="A17" s="23">
        <v>37834</v>
      </c>
      <c r="B17" s="14"/>
      <c r="C17" s="15" t="s">
        <v>31</v>
      </c>
      <c r="D17" s="24">
        <f>+'[4]Henry Hub'!$E23+$D$9</f>
        <v>3.6139999999999999</v>
      </c>
      <c r="E17" s="14"/>
      <c r="F17" s="17">
        <f>-11500*31</f>
        <v>-356500</v>
      </c>
      <c r="G17" s="17">
        <f t="shared" si="2"/>
        <v>-11500</v>
      </c>
      <c r="H17" s="24">
        <f>+'[4]ELpaso SJ &amp; Prm'!$F35</f>
        <v>3.5990000000000002</v>
      </c>
      <c r="I17" s="16">
        <f t="shared" si="0"/>
        <v>5347.4999999998863</v>
      </c>
      <c r="J17" s="14"/>
      <c r="K17" s="30">
        <f t="shared" si="1"/>
        <v>5347.4999999998863</v>
      </c>
      <c r="L17" s="357">
        <f>IF(K17=0,0,IF(A17&lt;(Summary!$K$3+365),K17,0))</f>
        <v>0</v>
      </c>
    </row>
    <row r="18" spans="1:12" x14ac:dyDescent="0.2">
      <c r="A18" s="23">
        <v>37865</v>
      </c>
      <c r="B18" s="14"/>
      <c r="C18" s="15" t="s">
        <v>31</v>
      </c>
      <c r="D18" s="24">
        <f>+'[4]Henry Hub'!$E24+$D$9</f>
        <v>3.6259999999999999</v>
      </c>
      <c r="E18" s="14"/>
      <c r="F18" s="17">
        <f>-11500*30</f>
        <v>-345000</v>
      </c>
      <c r="G18" s="17">
        <f>+F18/30</f>
        <v>-11500</v>
      </c>
      <c r="H18" s="24">
        <f>+'[4]ELpaso SJ &amp; Prm'!$F36</f>
        <v>3.6110000000000002</v>
      </c>
      <c r="I18" s="16">
        <f t="shared" si="0"/>
        <v>5174.99999999989</v>
      </c>
      <c r="J18" s="14"/>
      <c r="K18" s="30">
        <f t="shared" si="1"/>
        <v>5174.99999999989</v>
      </c>
      <c r="L18" s="357">
        <f>IF(K18=0,0,IF(A18&lt;(Summary!$K$3+365),K18,0))</f>
        <v>0</v>
      </c>
    </row>
    <row r="19" spans="1:12" x14ac:dyDescent="0.2">
      <c r="A19" s="23">
        <v>37895</v>
      </c>
      <c r="B19" s="14"/>
      <c r="C19" s="15" t="s">
        <v>31</v>
      </c>
      <c r="D19" s="24">
        <f>+'[4]Henry Hub'!$E25+$D$9</f>
        <v>3.649</v>
      </c>
      <c r="E19" s="14"/>
      <c r="F19" s="17">
        <f>-11500*31</f>
        <v>-356500</v>
      </c>
      <c r="G19" s="17">
        <f t="shared" si="2"/>
        <v>-11500</v>
      </c>
      <c r="H19" s="24">
        <f>+'[4]ELpaso SJ &amp; Prm'!$F37</f>
        <v>3.6340000000000003</v>
      </c>
      <c r="I19" s="16">
        <f t="shared" si="0"/>
        <v>5347.4999999998863</v>
      </c>
      <c r="J19" s="14"/>
      <c r="K19" s="30">
        <f t="shared" si="1"/>
        <v>5347.4999999998863</v>
      </c>
      <c r="L19" s="357">
        <f>IF(K19=0,0,IF(A19&lt;(Summary!$K$3+365),K19,0))</f>
        <v>0</v>
      </c>
    </row>
    <row r="20" spans="1:12" x14ac:dyDescent="0.2">
      <c r="A20" s="23">
        <v>37926</v>
      </c>
      <c r="B20" s="14"/>
      <c r="C20" s="15" t="s">
        <v>31</v>
      </c>
      <c r="D20" s="24">
        <f>+'[4]Henry Hub'!$E26+$D$9</f>
        <v>3.7839999999999998</v>
      </c>
      <c r="E20" s="14"/>
      <c r="F20" s="17">
        <f>-11500*30</f>
        <v>-345000</v>
      </c>
      <c r="G20" s="17">
        <f>+F20/30</f>
        <v>-11500</v>
      </c>
      <c r="H20" s="24">
        <f>+'[4]ELpaso SJ &amp; Prm'!$F38</f>
        <v>3.8039999999999998</v>
      </c>
      <c r="I20" s="16">
        <f t="shared" si="0"/>
        <v>-6900.0000000000064</v>
      </c>
      <c r="J20" s="14"/>
      <c r="K20" s="30">
        <f t="shared" si="1"/>
        <v>-6900.0000000000064</v>
      </c>
      <c r="L20" s="357">
        <f>IF(K20=0,0,IF(A20&lt;(Summary!$K$3+365),K20,0))</f>
        <v>0</v>
      </c>
    </row>
    <row r="21" spans="1:12" x14ac:dyDescent="0.2">
      <c r="A21" s="23">
        <v>37956</v>
      </c>
      <c r="B21" s="14"/>
      <c r="C21" s="15" t="s">
        <v>31</v>
      </c>
      <c r="D21" s="24">
        <f>+'[4]Henry Hub'!$E27+$D$9</f>
        <v>3.9239999999999999</v>
      </c>
      <c r="E21" s="14"/>
      <c r="F21" s="42">
        <f>-11500*31</f>
        <v>-356500</v>
      </c>
      <c r="G21" s="17">
        <f t="shared" si="2"/>
        <v>-11500</v>
      </c>
      <c r="H21" s="123">
        <f>+'[4]ELpaso SJ &amp; Prm'!$F39</f>
        <v>3.944</v>
      </c>
      <c r="I21" s="43">
        <f t="shared" si="0"/>
        <v>-7130.0000000000064</v>
      </c>
      <c r="J21" s="43"/>
      <c r="K21" s="92">
        <f t="shared" si="1"/>
        <v>-7130.0000000000064</v>
      </c>
      <c r="L21" s="380">
        <f t="shared" si="1"/>
        <v>0</v>
      </c>
    </row>
    <row r="22" spans="1:12" x14ac:dyDescent="0.2">
      <c r="A22" s="23"/>
      <c r="B22" s="14"/>
      <c r="C22" s="15"/>
      <c r="D22" s="24">
        <f>SUM(D10:D21)/12</f>
        <v>3.7014999999999998</v>
      </c>
      <c r="E22" s="14"/>
      <c r="F22" s="17">
        <f>SUM(F10:F21)</f>
        <v>-4197500</v>
      </c>
      <c r="G22" s="14"/>
      <c r="H22" s="24">
        <f>SUM(H10:H21)/12</f>
        <v>3.6835833333333334</v>
      </c>
      <c r="I22" s="16">
        <f>SUM(I10:I21)</f>
        <v>74634.999999999171</v>
      </c>
      <c r="J22" s="16">
        <f>SUM(J10:J21)</f>
        <v>0</v>
      </c>
      <c r="K22" s="16">
        <f>SUM(K10:K21)</f>
        <v>74634.999999999171</v>
      </c>
      <c r="L22" s="16">
        <f>SUM(L10:L21)</f>
        <v>0</v>
      </c>
    </row>
    <row r="23" spans="1:12" x14ac:dyDescent="0.2">
      <c r="A23" s="23"/>
      <c r="B23" s="14"/>
      <c r="C23" s="15"/>
      <c r="D23" s="24"/>
      <c r="E23" s="14"/>
      <c r="F23" s="17"/>
      <c r="G23" s="208"/>
      <c r="H23" s="24"/>
      <c r="I23" s="16"/>
      <c r="J23" s="28"/>
      <c r="K23" s="18"/>
      <c r="L23" s="18"/>
    </row>
    <row r="24" spans="1:12" x14ac:dyDescent="0.2">
      <c r="A24" s="23"/>
      <c r="B24" s="14"/>
      <c r="C24" s="15"/>
      <c r="D24" s="24"/>
      <c r="E24" s="14"/>
      <c r="F24" s="17"/>
      <c r="G24" s="14"/>
      <c r="H24" s="24"/>
      <c r="I24" s="16"/>
      <c r="J24" s="28"/>
      <c r="K24" s="18"/>
      <c r="L24" s="18"/>
    </row>
    <row r="25" spans="1:12" ht="13.5" thickBot="1" x14ac:dyDescent="0.25">
      <c r="A25" s="23"/>
      <c r="B25" s="14"/>
      <c r="C25" s="15"/>
      <c r="D25" s="24"/>
      <c r="E25" s="14"/>
      <c r="F25" s="89">
        <f>+F22</f>
        <v>-4197500</v>
      </c>
      <c r="G25" s="14"/>
      <c r="H25" s="24"/>
      <c r="I25" s="90">
        <f>+I22</f>
        <v>74634.999999999171</v>
      </c>
      <c r="J25" s="90">
        <f>+J22</f>
        <v>0</v>
      </c>
      <c r="K25" s="90">
        <f>+K22</f>
        <v>74634.999999999171</v>
      </c>
      <c r="L25" s="90">
        <f>+L22</f>
        <v>0</v>
      </c>
    </row>
    <row r="26" spans="1:12" ht="13.5" thickTop="1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9"/>
      <c r="K26" s="29"/>
    </row>
    <row r="28" spans="1:12" x14ac:dyDescent="0.2">
      <c r="A28" s="22" t="s">
        <v>37</v>
      </c>
    </row>
  </sheetData>
  <mergeCells count="1">
    <mergeCell ref="A4:K4"/>
  </mergeCells>
  <phoneticPr fontId="0" type="noConversion"/>
  <pageMargins left="0.75" right="0.75" top="1" bottom="1" header="0.5" footer="0.5"/>
  <pageSetup scale="76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zoomScale="75" workbookViewId="0">
      <selection activeCell="H12" sqref="H12"/>
    </sheetView>
  </sheetViews>
  <sheetFormatPr defaultRowHeight="12.75" x14ac:dyDescent="0.2"/>
  <cols>
    <col min="1" max="2" width="10.7109375" customWidth="1"/>
    <col min="3" max="3" width="12.140625" bestFit="1" customWidth="1"/>
    <col min="4" max="4" width="15.7109375" bestFit="1" customWidth="1"/>
    <col min="5" max="5" width="0" hidden="1" customWidth="1"/>
    <col min="6" max="6" width="12.7109375" customWidth="1"/>
    <col min="7" max="7" width="13.140625" customWidth="1"/>
    <col min="8" max="8" width="10.7109375" customWidth="1"/>
    <col min="9" max="9" width="16.7109375" bestFit="1" customWidth="1"/>
    <col min="10" max="10" width="13.42578125" customWidth="1"/>
    <col min="11" max="12" width="16.7109375" bestFit="1" customWidth="1"/>
  </cols>
  <sheetData>
    <row r="1" spans="1:12" s="2" customFormat="1" ht="15" x14ac:dyDescent="0.2">
      <c r="A1" s="1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47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591"/>
      <c r="B4" s="591"/>
      <c r="C4" s="591"/>
      <c r="D4" s="591"/>
      <c r="E4" s="591"/>
      <c r="F4" s="591"/>
      <c r="G4" s="591"/>
      <c r="H4" s="591"/>
      <c r="I4" s="591"/>
      <c r="J4" s="591"/>
      <c r="K4" s="591"/>
    </row>
    <row r="5" spans="1:12" x14ac:dyDescent="0.2">
      <c r="G5" s="114"/>
      <c r="H5" s="114"/>
    </row>
    <row r="6" spans="1:12" s="7" customFormat="1" x14ac:dyDescent="0.2">
      <c r="A6" s="319" t="s">
        <v>39</v>
      </c>
      <c r="B6" s="290" t="s">
        <v>3</v>
      </c>
      <c r="C6" s="290" t="s">
        <v>3</v>
      </c>
      <c r="D6" s="290" t="s">
        <v>40</v>
      </c>
      <c r="E6" s="290"/>
      <c r="F6" s="290" t="s">
        <v>7</v>
      </c>
      <c r="G6" s="290" t="s">
        <v>41</v>
      </c>
      <c r="H6" s="290" t="s">
        <v>17</v>
      </c>
      <c r="I6" s="291" t="s">
        <v>42</v>
      </c>
      <c r="J6" s="292"/>
      <c r="K6" s="293"/>
    </row>
    <row r="7" spans="1:12" s="7" customFormat="1" x14ac:dyDescent="0.2">
      <c r="A7" s="320" t="s">
        <v>43</v>
      </c>
      <c r="B7" s="294" t="s">
        <v>9</v>
      </c>
      <c r="C7" s="294" t="s">
        <v>8</v>
      </c>
      <c r="D7" s="294" t="s">
        <v>12</v>
      </c>
      <c r="E7" s="294"/>
      <c r="F7" s="294" t="s">
        <v>44</v>
      </c>
      <c r="G7" s="294" t="s">
        <v>12</v>
      </c>
      <c r="H7" s="294" t="s">
        <v>12</v>
      </c>
      <c r="I7" s="294" t="s">
        <v>19</v>
      </c>
      <c r="J7" s="294" t="s">
        <v>20</v>
      </c>
      <c r="K7" s="295" t="s">
        <v>21</v>
      </c>
    </row>
    <row r="8" spans="1:12" x14ac:dyDescent="0.2">
      <c r="A8" s="321"/>
      <c r="B8" s="296"/>
      <c r="C8" s="296"/>
      <c r="D8" s="296"/>
      <c r="E8" s="296"/>
      <c r="F8" s="296"/>
      <c r="G8" s="297" t="s">
        <v>48</v>
      </c>
      <c r="H8" s="147"/>
      <c r="I8" s="298" t="s">
        <v>24</v>
      </c>
      <c r="J8" s="298" t="s">
        <v>24</v>
      </c>
      <c r="K8" s="299" t="s">
        <v>24</v>
      </c>
      <c r="L8" s="379" t="s">
        <v>207</v>
      </c>
    </row>
    <row r="9" spans="1:12" x14ac:dyDescent="0.2">
      <c r="A9" s="23">
        <v>37408</v>
      </c>
      <c r="B9" s="14"/>
      <c r="C9" s="15" t="s">
        <v>61</v>
      </c>
      <c r="D9" s="24">
        <v>3.3</v>
      </c>
      <c r="E9" s="14"/>
      <c r="F9" s="17">
        <v>-2000000</v>
      </c>
      <c r="G9" s="24"/>
      <c r="H9" s="24">
        <f>+[4]Elpaso!$F9</f>
        <v>3.71</v>
      </c>
      <c r="I9" s="16">
        <f>(-H9+D9)*F9</f>
        <v>820000.00000000023</v>
      </c>
      <c r="J9" s="30"/>
      <c r="K9" s="30">
        <f>+I9</f>
        <v>820000.00000000023</v>
      </c>
      <c r="L9" s="357">
        <f>IF(K9=0,0,IF(A9&lt;(Summary!$K$3+365),K9,0))</f>
        <v>0</v>
      </c>
    </row>
    <row r="10" spans="1:12" x14ac:dyDescent="0.2">
      <c r="A10" s="23">
        <v>37438</v>
      </c>
      <c r="B10" s="14"/>
      <c r="C10" s="15" t="s">
        <v>61</v>
      </c>
      <c r="D10" s="24">
        <v>3.3</v>
      </c>
      <c r="E10" s="14"/>
      <c r="F10" s="17">
        <v>-3000000</v>
      </c>
      <c r="G10" s="24"/>
      <c r="H10" s="24">
        <f>+[4]Elpaso!$F10</f>
        <v>3.7450000000000001</v>
      </c>
      <c r="I10" s="16">
        <f>(-H10+D10)*F10</f>
        <v>1335000.0000000009</v>
      </c>
      <c r="J10" s="30"/>
      <c r="K10" s="30">
        <f>+I10</f>
        <v>1335000.0000000009</v>
      </c>
      <c r="L10" s="357">
        <f>IF(K10=0,0,IF(A10&lt;(Summary!$K$3+365),K10,0))</f>
        <v>0</v>
      </c>
    </row>
    <row r="11" spans="1:12" x14ac:dyDescent="0.2">
      <c r="A11" s="23">
        <v>37469</v>
      </c>
      <c r="B11" s="14"/>
      <c r="C11" s="15" t="s">
        <v>61</v>
      </c>
      <c r="D11" s="24">
        <v>3.3</v>
      </c>
      <c r="E11" s="14"/>
      <c r="F11" s="17">
        <v>-3000000</v>
      </c>
      <c r="G11" s="14"/>
      <c r="H11" s="24">
        <f>+[4]Elpaso!$F11</f>
        <v>3.7650000000000001</v>
      </c>
      <c r="I11" s="16">
        <f>(-H11+D11)*F11</f>
        <v>1395000.0000000009</v>
      </c>
      <c r="J11" s="28"/>
      <c r="K11" s="30">
        <f>+I11</f>
        <v>1395000.0000000009</v>
      </c>
      <c r="L11" s="357">
        <f>IF(K11=0,0,IF(A11&lt;(Summary!$K$3+365),K11,0))</f>
        <v>0</v>
      </c>
    </row>
    <row r="12" spans="1:12" x14ac:dyDescent="0.2">
      <c r="A12" s="23">
        <v>37500</v>
      </c>
      <c r="B12" s="14"/>
      <c r="C12" s="15" t="s">
        <v>61</v>
      </c>
      <c r="D12" s="24">
        <v>3.3</v>
      </c>
      <c r="E12" s="14"/>
      <c r="F12" s="17">
        <v>-3000000</v>
      </c>
      <c r="G12" s="14"/>
      <c r="H12" s="24">
        <f>+[4]Elpaso!$F12</f>
        <v>3.782</v>
      </c>
      <c r="I12" s="16">
        <f>(-H12+D12)*F12</f>
        <v>1446000.0000000007</v>
      </c>
      <c r="J12" s="28"/>
      <c r="K12" s="30">
        <f>+I12</f>
        <v>1446000.0000000007</v>
      </c>
      <c r="L12" s="357">
        <f>IF(K12=0,0,IF(A12&lt;(Summary!$K$3+365),K12,0))</f>
        <v>0</v>
      </c>
    </row>
    <row r="13" spans="1:12" x14ac:dyDescent="0.2">
      <c r="A13" s="23">
        <v>37530</v>
      </c>
      <c r="B13" s="14"/>
      <c r="C13" s="15" t="s">
        <v>61</v>
      </c>
      <c r="D13" s="24">
        <v>3.3</v>
      </c>
      <c r="E13" s="14"/>
      <c r="F13" s="17">
        <v>-4000000</v>
      </c>
      <c r="G13" s="14"/>
      <c r="H13" s="24">
        <f>+[4]Elpaso!$F13</f>
        <v>3.7990000000000004</v>
      </c>
      <c r="I13" s="26">
        <f>(-H13+D13)*F13</f>
        <v>1996000.0000000023</v>
      </c>
      <c r="J13" s="303"/>
      <c r="K13" s="302">
        <f>+I13</f>
        <v>1996000.0000000023</v>
      </c>
      <c r="L13" s="357">
        <f>IF(K13=0,0,IF(A13&lt;(Summary!$K$3+365),K13,0))</f>
        <v>0</v>
      </c>
    </row>
    <row r="14" spans="1:12" x14ac:dyDescent="0.2">
      <c r="A14" s="23"/>
      <c r="B14" s="14"/>
      <c r="C14" s="15"/>
      <c r="D14" s="24"/>
      <c r="E14" s="14"/>
      <c r="F14" s="42"/>
      <c r="G14" s="14"/>
      <c r="H14" s="24"/>
      <c r="I14" s="329"/>
      <c r="J14" s="303"/>
      <c r="K14" s="330"/>
      <c r="L14" s="14"/>
    </row>
    <row r="15" spans="1:12" x14ac:dyDescent="0.2">
      <c r="A15" s="23"/>
      <c r="B15" s="14"/>
      <c r="C15" s="15"/>
      <c r="D15" s="24"/>
      <c r="E15" s="14"/>
      <c r="F15" s="17">
        <f>SUM(F9:F14)</f>
        <v>-15000000</v>
      </c>
      <c r="G15" s="14"/>
      <c r="H15" s="24"/>
      <c r="I15" s="26">
        <f>SUM(I9:I14)</f>
        <v>6992000.0000000056</v>
      </c>
      <c r="J15" s="303"/>
      <c r="K15" s="26">
        <f>SUM(K9:K14)</f>
        <v>6992000.0000000056</v>
      </c>
      <c r="L15" s="26">
        <f>SUM(L9:L14)</f>
        <v>0</v>
      </c>
    </row>
    <row r="16" spans="1:12" x14ac:dyDescent="0.2">
      <c r="A16" s="23"/>
      <c r="B16" s="14"/>
      <c r="C16" s="15"/>
      <c r="D16" s="24"/>
      <c r="E16" s="14"/>
      <c r="F16" s="17"/>
      <c r="G16" s="14"/>
      <c r="H16" s="24"/>
      <c r="I16" s="26"/>
      <c r="J16" s="303"/>
      <c r="K16" s="331"/>
      <c r="L16" s="14"/>
    </row>
    <row r="17" spans="1:12" x14ac:dyDescent="0.2">
      <c r="A17" s="23">
        <v>37408</v>
      </c>
      <c r="B17" s="14"/>
      <c r="C17" s="15" t="s">
        <v>49</v>
      </c>
      <c r="D17" s="24">
        <v>2.3199999999999998</v>
      </c>
      <c r="E17" s="14"/>
      <c r="F17" s="17">
        <v>-2000000</v>
      </c>
      <c r="G17" s="14"/>
      <c r="H17" s="24">
        <f>+[4]Elpaso!$F9</f>
        <v>3.71</v>
      </c>
      <c r="I17" s="26">
        <f>(+H17-D17)*F17</f>
        <v>-2780000.0000000005</v>
      </c>
      <c r="J17" s="303"/>
      <c r="K17" s="302">
        <f>+I17</f>
        <v>-2780000.0000000005</v>
      </c>
      <c r="L17" s="357">
        <f>IF(K17=0,0,IF(A17&lt;(Summary!$K$3+365),K17,0))</f>
        <v>0</v>
      </c>
    </row>
    <row r="18" spans="1:12" x14ac:dyDescent="0.2">
      <c r="A18" s="23">
        <v>37438</v>
      </c>
      <c r="B18" s="14"/>
      <c r="C18" s="15" t="s">
        <v>49</v>
      </c>
      <c r="D18" s="24">
        <v>2.3199999999999998</v>
      </c>
      <c r="E18" s="14"/>
      <c r="F18" s="17">
        <v>-3000000</v>
      </c>
      <c r="G18" s="14"/>
      <c r="H18" s="24">
        <f>+[4]Elpaso!$F10</f>
        <v>3.7450000000000001</v>
      </c>
      <c r="I18" s="26">
        <f>(+H18-D18)*F18</f>
        <v>-4275000.0000000009</v>
      </c>
      <c r="J18" s="303"/>
      <c r="K18" s="302">
        <f>+I18</f>
        <v>-4275000.0000000009</v>
      </c>
      <c r="L18" s="357">
        <f>IF(K18=0,0,IF(A18&lt;(Summary!$K$3+365),K18,0))</f>
        <v>0</v>
      </c>
    </row>
    <row r="19" spans="1:12" x14ac:dyDescent="0.2">
      <c r="A19" s="23">
        <v>37469</v>
      </c>
      <c r="B19" s="14"/>
      <c r="C19" s="15" t="s">
        <v>49</v>
      </c>
      <c r="D19" s="24">
        <v>2.3199999999999998</v>
      </c>
      <c r="E19" s="14"/>
      <c r="F19" s="17">
        <v>-3000000</v>
      </c>
      <c r="G19" s="14"/>
      <c r="H19" s="24">
        <f>+[4]Elpaso!$F11</f>
        <v>3.7650000000000001</v>
      </c>
      <c r="I19" s="26">
        <f>(+H19-D19)*F19</f>
        <v>-4335000.0000000009</v>
      </c>
      <c r="J19" s="303"/>
      <c r="K19" s="302">
        <f>+I19</f>
        <v>-4335000.0000000009</v>
      </c>
      <c r="L19" s="357">
        <f>IF(K19=0,0,IF(A19&lt;(Summary!$K$3+365),K19,0))</f>
        <v>0</v>
      </c>
    </row>
    <row r="20" spans="1:12" x14ac:dyDescent="0.2">
      <c r="A20" s="23">
        <v>37500</v>
      </c>
      <c r="B20" s="14"/>
      <c r="C20" s="15" t="s">
        <v>49</v>
      </c>
      <c r="D20" s="24">
        <v>2.3199999999999998</v>
      </c>
      <c r="E20" s="14"/>
      <c r="F20" s="17">
        <v>-3000000</v>
      </c>
      <c r="G20" s="14"/>
      <c r="H20" s="24">
        <f>+[4]Elpaso!$F12</f>
        <v>3.782</v>
      </c>
      <c r="I20" s="26">
        <f>(+H20-D20)*F20</f>
        <v>-4386000.0000000009</v>
      </c>
      <c r="J20" s="303"/>
      <c r="K20" s="302">
        <f>+I20</f>
        <v>-4386000.0000000009</v>
      </c>
      <c r="L20" s="357">
        <f>IF(K20=0,0,IF(A20&lt;(Summary!$K$3+365),K20,0))</f>
        <v>0</v>
      </c>
    </row>
    <row r="21" spans="1:12" x14ac:dyDescent="0.2">
      <c r="A21" s="23">
        <v>37530</v>
      </c>
      <c r="B21" s="14"/>
      <c r="C21" s="15" t="s">
        <v>49</v>
      </c>
      <c r="D21" s="24">
        <v>2.3199999999999998</v>
      </c>
      <c r="E21" s="14"/>
      <c r="F21" s="17">
        <v>-4000000</v>
      </c>
      <c r="G21" s="14"/>
      <c r="H21" s="24">
        <f>+[4]Elpaso!$F13</f>
        <v>3.7990000000000004</v>
      </c>
      <c r="I21" s="26">
        <f>(+H21-D21)*F21</f>
        <v>-5916000.0000000019</v>
      </c>
      <c r="J21" s="303"/>
      <c r="K21" s="302">
        <f>+I21</f>
        <v>-5916000.0000000019</v>
      </c>
      <c r="L21" s="357">
        <f>IF(K21=0,0,IF(A21&lt;(Summary!$K$3+365),K21,0))</f>
        <v>0</v>
      </c>
    </row>
    <row r="22" spans="1:12" x14ac:dyDescent="0.2">
      <c r="A22" s="23"/>
      <c r="B22" s="14"/>
      <c r="C22" s="15"/>
      <c r="D22" s="24"/>
      <c r="E22" s="14"/>
      <c r="F22" s="42"/>
      <c r="G22" s="14"/>
      <c r="H22" s="24"/>
      <c r="I22" s="329"/>
      <c r="J22" s="303"/>
      <c r="K22" s="330"/>
      <c r="L22" s="14"/>
    </row>
    <row r="23" spans="1:12" x14ac:dyDescent="0.2">
      <c r="A23" s="23"/>
      <c r="B23" s="14"/>
      <c r="C23" s="15"/>
      <c r="D23" s="24"/>
      <c r="E23" s="14"/>
      <c r="F23" s="17">
        <f>SUM(F17:F22)</f>
        <v>-15000000</v>
      </c>
      <c r="G23" s="14"/>
      <c r="H23" s="24"/>
      <c r="I23" s="26">
        <f>SUM(I17:I22)</f>
        <v>-21692000.000000007</v>
      </c>
      <c r="J23" s="303"/>
      <c r="K23" s="26">
        <f>SUM(K17:K22)</f>
        <v>-21692000.000000007</v>
      </c>
      <c r="L23" s="26">
        <f>SUM(L17:L22)</f>
        <v>0</v>
      </c>
    </row>
    <row r="24" spans="1:12" x14ac:dyDescent="0.2">
      <c r="A24" s="23"/>
      <c r="B24" s="14"/>
      <c r="C24" s="15"/>
      <c r="D24" s="24"/>
      <c r="E24" s="14"/>
      <c r="F24" s="17"/>
      <c r="G24" s="14"/>
      <c r="H24" s="24"/>
      <c r="I24" s="26"/>
      <c r="J24" s="303"/>
      <c r="K24" s="331"/>
      <c r="L24" s="26"/>
    </row>
    <row r="25" spans="1:12" ht="13.5" thickBot="1" x14ac:dyDescent="0.25">
      <c r="A25" s="23"/>
      <c r="B25" s="14"/>
      <c r="C25" s="15"/>
      <c r="D25" s="24"/>
      <c r="E25" s="14"/>
      <c r="F25" s="89"/>
      <c r="G25" s="14"/>
      <c r="H25" s="24"/>
      <c r="I25" s="332">
        <f>+I23+I15</f>
        <v>-14700000.000000002</v>
      </c>
      <c r="J25" s="303"/>
      <c r="K25" s="332">
        <f>+K23+K15</f>
        <v>-14700000.000000002</v>
      </c>
      <c r="L25" s="332">
        <f>+L23+L15</f>
        <v>0</v>
      </c>
    </row>
    <row r="26" spans="1:12" ht="13.5" thickTop="1" x14ac:dyDescent="0.2">
      <c r="A26" s="20"/>
      <c r="B26" s="20"/>
      <c r="C26" s="20"/>
      <c r="D26" s="20"/>
      <c r="E26" s="20"/>
      <c r="F26" s="20"/>
      <c r="G26" s="20"/>
      <c r="H26" s="20"/>
      <c r="I26" s="314"/>
      <c r="J26" s="315"/>
      <c r="K26" s="315"/>
      <c r="L26" s="315"/>
    </row>
    <row r="28" spans="1:12" x14ac:dyDescent="0.2">
      <c r="A28" s="22" t="s">
        <v>37</v>
      </c>
    </row>
  </sheetData>
  <mergeCells count="1">
    <mergeCell ref="A4:K4"/>
  </mergeCells>
  <phoneticPr fontId="0" type="noConversion"/>
  <pageMargins left="0.75" right="0.75" top="1" bottom="1" header="0.5" footer="0.5"/>
  <pageSetup scale="82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zoomScale="85" workbookViewId="0">
      <selection activeCell="G28" sqref="G28"/>
    </sheetView>
  </sheetViews>
  <sheetFormatPr defaultRowHeight="11.25" x14ac:dyDescent="0.2"/>
  <cols>
    <col min="1" max="2" width="10.7109375" style="45" customWidth="1"/>
    <col min="3" max="3" width="13.7109375" style="45" customWidth="1"/>
    <col min="4" max="4" width="10.7109375" style="45" customWidth="1"/>
    <col min="5" max="5" width="0" style="45" hidden="1" customWidth="1"/>
    <col min="6" max="6" width="12.7109375" style="45" customWidth="1"/>
    <col min="7" max="7" width="14.28515625" style="45" customWidth="1"/>
    <col min="8" max="8" width="10.7109375" style="45" customWidth="1"/>
    <col min="9" max="11" width="16.85546875" style="45" customWidth="1"/>
    <col min="12" max="12" width="17.28515625" style="45" bestFit="1" customWidth="1"/>
    <col min="13" max="16384" width="9.140625" style="45"/>
  </cols>
  <sheetData>
    <row r="1" spans="1:12" s="44" customFormat="1" ht="10.5" x14ac:dyDescent="0.15">
      <c r="A1" s="154" t="s">
        <v>46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2" s="44" customFormat="1" ht="10.5" x14ac:dyDescent="0.15">
      <c r="A2" s="154" t="s">
        <v>101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</row>
    <row r="3" spans="1:12" s="112" customFormat="1" x14ac:dyDescent="0.2">
      <c r="A3" s="154" t="s">
        <v>115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</row>
    <row r="4" spans="1:12" s="112" customFormat="1" x14ac:dyDescent="0.2">
      <c r="A4" s="588" t="s">
        <v>116</v>
      </c>
      <c r="B4" s="588"/>
      <c r="C4" s="588"/>
      <c r="D4" s="588"/>
      <c r="E4" s="588"/>
      <c r="F4" s="588"/>
      <c r="G4" s="588"/>
      <c r="H4" s="588"/>
      <c r="I4" s="588"/>
      <c r="J4" s="588"/>
      <c r="K4" s="588"/>
    </row>
    <row r="6" spans="1:12" s="46" customFormat="1" ht="10.5" x14ac:dyDescent="0.15">
      <c r="A6" s="156" t="s">
        <v>39</v>
      </c>
      <c r="B6" s="157" t="s">
        <v>3</v>
      </c>
      <c r="C6" s="157" t="s">
        <v>3</v>
      </c>
      <c r="D6" s="157" t="s">
        <v>117</v>
      </c>
      <c r="E6" s="157"/>
      <c r="F6" s="157" t="s">
        <v>78</v>
      </c>
      <c r="G6" s="157" t="s">
        <v>32</v>
      </c>
      <c r="H6" s="157"/>
      <c r="I6" s="158" t="s">
        <v>42</v>
      </c>
      <c r="J6" s="159"/>
      <c r="K6" s="160"/>
    </row>
    <row r="7" spans="1:12" s="46" customFormat="1" ht="10.5" x14ac:dyDescent="0.15">
      <c r="A7" s="161" t="s">
        <v>43</v>
      </c>
      <c r="B7" s="47" t="s">
        <v>9</v>
      </c>
      <c r="C7" s="47" t="s">
        <v>8</v>
      </c>
      <c r="D7" s="47" t="s">
        <v>104</v>
      </c>
      <c r="E7" s="47"/>
      <c r="F7" s="47" t="s">
        <v>107</v>
      </c>
      <c r="G7" s="47" t="s">
        <v>108</v>
      </c>
      <c r="H7" s="47"/>
      <c r="I7" s="47" t="s">
        <v>19</v>
      </c>
      <c r="J7" s="47" t="s">
        <v>20</v>
      </c>
      <c r="K7" s="48" t="s">
        <v>21</v>
      </c>
    </row>
    <row r="8" spans="1:12" x14ac:dyDescent="0.2">
      <c r="A8" s="169"/>
      <c r="B8" s="170"/>
      <c r="C8" s="170"/>
      <c r="D8" s="47"/>
      <c r="E8" s="170"/>
      <c r="F8" s="170"/>
      <c r="G8" s="171" t="s">
        <v>105</v>
      </c>
      <c r="H8" s="47"/>
      <c r="I8" s="333" t="s">
        <v>24</v>
      </c>
      <c r="J8" s="333" t="s">
        <v>24</v>
      </c>
      <c r="K8" s="334" t="s">
        <v>24</v>
      </c>
    </row>
    <row r="9" spans="1:12" ht="12.75" x14ac:dyDescent="0.2">
      <c r="A9" s="162"/>
      <c r="B9" s="163"/>
      <c r="C9" s="163"/>
      <c r="D9" s="172"/>
      <c r="E9" s="163"/>
      <c r="F9" s="163"/>
      <c r="G9" s="164"/>
      <c r="H9" s="165"/>
      <c r="I9" s="335"/>
      <c r="J9" s="335"/>
      <c r="K9" s="336"/>
      <c r="L9" s="379" t="s">
        <v>207</v>
      </c>
    </row>
    <row r="10" spans="1:12" ht="12.75" x14ac:dyDescent="0.2">
      <c r="A10" s="166">
        <v>36923</v>
      </c>
      <c r="B10" s="58"/>
      <c r="C10" s="57" t="s">
        <v>117</v>
      </c>
      <c r="D10" s="53">
        <v>6.298</v>
      </c>
      <c r="E10" s="58"/>
      <c r="F10" s="64">
        <f>-20000*28</f>
        <v>-560000</v>
      </c>
      <c r="G10" s="53"/>
      <c r="H10" s="53"/>
      <c r="I10" s="79">
        <f>+F10*D10</f>
        <v>-3526880</v>
      </c>
      <c r="J10" s="56">
        <f>+I10</f>
        <v>-3526880</v>
      </c>
      <c r="K10" s="56"/>
      <c r="L10" s="357">
        <f>IF(K10=0,0,IF(A10&lt;(Summary!$K$3+365),K10,0))</f>
        <v>0</v>
      </c>
    </row>
    <row r="11" spans="1:12" ht="12.75" x14ac:dyDescent="0.2">
      <c r="A11" s="166">
        <v>36951</v>
      </c>
      <c r="B11" s="58"/>
      <c r="C11" s="57" t="s">
        <v>117</v>
      </c>
      <c r="D11" s="53">
        <v>6.298</v>
      </c>
      <c r="E11" s="58"/>
      <c r="F11" s="64">
        <f>-20000*31</f>
        <v>-620000</v>
      </c>
      <c r="G11" s="53"/>
      <c r="H11" s="53"/>
      <c r="I11" s="79">
        <f t="shared" ref="I11:I20" si="0">+F11*D11</f>
        <v>-3904760</v>
      </c>
      <c r="J11" s="56">
        <f>+I11</f>
        <v>-3904760</v>
      </c>
      <c r="K11" s="56"/>
      <c r="L11" s="357">
        <f>IF(K11=0,0,IF(A11&lt;(Summary!$K$3+365),K11,0))</f>
        <v>0</v>
      </c>
    </row>
    <row r="12" spans="1:12" ht="12.75" x14ac:dyDescent="0.2">
      <c r="A12" s="166">
        <v>36982</v>
      </c>
      <c r="B12" s="58"/>
      <c r="C12" s="57" t="s">
        <v>117</v>
      </c>
      <c r="D12" s="53">
        <v>6.298</v>
      </c>
      <c r="E12" s="58"/>
      <c r="F12" s="64">
        <f>-20000*30</f>
        <v>-600000</v>
      </c>
      <c r="G12" s="53"/>
      <c r="H12" s="53"/>
      <c r="I12" s="79">
        <f t="shared" si="0"/>
        <v>-3778800</v>
      </c>
      <c r="J12" s="56">
        <f>+I12</f>
        <v>-3778800</v>
      </c>
      <c r="K12" s="56"/>
      <c r="L12" s="357">
        <f>IF(K12=0,0,IF(A12&lt;(Summary!$K$3+365),K12,0))</f>
        <v>0</v>
      </c>
    </row>
    <row r="13" spans="1:12" ht="12.75" x14ac:dyDescent="0.2">
      <c r="A13" s="166">
        <v>37012</v>
      </c>
      <c r="B13" s="58"/>
      <c r="C13" s="57" t="s">
        <v>117</v>
      </c>
      <c r="D13" s="53">
        <v>6.298</v>
      </c>
      <c r="E13" s="58"/>
      <c r="F13" s="64">
        <f>-20000*31</f>
        <v>-620000</v>
      </c>
      <c r="G13" s="53"/>
      <c r="H13" s="53"/>
      <c r="I13" s="79">
        <f t="shared" si="0"/>
        <v>-3904760</v>
      </c>
      <c r="J13" s="56">
        <f>+I13</f>
        <v>-3904760</v>
      </c>
      <c r="K13" s="56"/>
      <c r="L13" s="357">
        <f>IF(K13=0,0,IF(A13&lt;(Summary!$K$3+365),K13,0))</f>
        <v>0</v>
      </c>
    </row>
    <row r="14" spans="1:12" ht="12.75" x14ac:dyDescent="0.2">
      <c r="A14" s="166">
        <v>37043</v>
      </c>
      <c r="B14" s="58"/>
      <c r="C14" s="57" t="s">
        <v>117</v>
      </c>
      <c r="D14" s="53">
        <v>6.298</v>
      </c>
      <c r="E14" s="58"/>
      <c r="F14" s="64">
        <f>-20000*30</f>
        <v>-600000</v>
      </c>
      <c r="G14" s="53"/>
      <c r="H14" s="53"/>
      <c r="I14" s="79">
        <f t="shared" si="0"/>
        <v>-3778800</v>
      </c>
      <c r="J14" s="56"/>
      <c r="K14" s="56">
        <f t="shared" ref="K14:K20" si="1">+I14</f>
        <v>-3778800</v>
      </c>
      <c r="L14" s="357">
        <f>IF(K14=0,0,IF(A14&lt;(Summary!$K$3+365),K14,0))</f>
        <v>-3778800</v>
      </c>
    </row>
    <row r="15" spans="1:12" ht="12.75" x14ac:dyDescent="0.2">
      <c r="A15" s="166">
        <v>37073</v>
      </c>
      <c r="B15" s="58"/>
      <c r="C15" s="57" t="s">
        <v>117</v>
      </c>
      <c r="D15" s="53">
        <v>6.298</v>
      </c>
      <c r="E15" s="58"/>
      <c r="F15" s="64">
        <f>-20000*31</f>
        <v>-620000</v>
      </c>
      <c r="G15" s="53"/>
      <c r="H15" s="53"/>
      <c r="I15" s="79">
        <f t="shared" si="0"/>
        <v>-3904760</v>
      </c>
      <c r="J15" s="56"/>
      <c r="K15" s="56">
        <f t="shared" si="1"/>
        <v>-3904760</v>
      </c>
      <c r="L15" s="357">
        <f>IF(K15=0,0,IF(A15&lt;(Summary!$K$3+365),K15,0))</f>
        <v>-3904760</v>
      </c>
    </row>
    <row r="16" spans="1:12" ht="12.75" x14ac:dyDescent="0.2">
      <c r="A16" s="166">
        <v>37104</v>
      </c>
      <c r="B16" s="58"/>
      <c r="C16" s="57" t="s">
        <v>117</v>
      </c>
      <c r="D16" s="53">
        <v>6.298</v>
      </c>
      <c r="E16" s="58"/>
      <c r="F16" s="64">
        <f>-20000*31</f>
        <v>-620000</v>
      </c>
      <c r="G16" s="53"/>
      <c r="H16" s="53"/>
      <c r="I16" s="79">
        <f t="shared" si="0"/>
        <v>-3904760</v>
      </c>
      <c r="J16" s="56"/>
      <c r="K16" s="56">
        <f t="shared" si="1"/>
        <v>-3904760</v>
      </c>
      <c r="L16" s="357">
        <f>IF(K16=0,0,IF(A16&lt;(Summary!$K$3+365),K16,0))</f>
        <v>-3904760</v>
      </c>
    </row>
    <row r="17" spans="1:12" ht="12.75" x14ac:dyDescent="0.2">
      <c r="A17" s="166">
        <v>37135</v>
      </c>
      <c r="B17" s="58"/>
      <c r="C17" s="57" t="s">
        <v>117</v>
      </c>
      <c r="D17" s="53">
        <v>6.298</v>
      </c>
      <c r="E17" s="58"/>
      <c r="F17" s="64">
        <f>-20000*30</f>
        <v>-600000</v>
      </c>
      <c r="G17" s="53"/>
      <c r="H17" s="53"/>
      <c r="I17" s="79">
        <f t="shared" si="0"/>
        <v>-3778800</v>
      </c>
      <c r="J17" s="56"/>
      <c r="K17" s="56">
        <f t="shared" si="1"/>
        <v>-3778800</v>
      </c>
      <c r="L17" s="357">
        <f>IF(K17=0,0,IF(A17&lt;(Summary!$K$3+365),K17,0))</f>
        <v>-3778800</v>
      </c>
    </row>
    <row r="18" spans="1:12" ht="12.75" x14ac:dyDescent="0.2">
      <c r="A18" s="166">
        <v>37165</v>
      </c>
      <c r="B18" s="58"/>
      <c r="C18" s="57" t="s">
        <v>117</v>
      </c>
      <c r="D18" s="53">
        <v>6.298</v>
      </c>
      <c r="E18" s="58"/>
      <c r="F18" s="64">
        <f>-20000*31</f>
        <v>-620000</v>
      </c>
      <c r="G18" s="53"/>
      <c r="H18" s="53"/>
      <c r="I18" s="79">
        <f t="shared" si="0"/>
        <v>-3904760</v>
      </c>
      <c r="J18" s="56"/>
      <c r="K18" s="56">
        <f t="shared" si="1"/>
        <v>-3904760</v>
      </c>
      <c r="L18" s="357">
        <f>IF(K18=0,0,IF(A18&lt;(Summary!$K$3+365),K18,0))</f>
        <v>-3904760</v>
      </c>
    </row>
    <row r="19" spans="1:12" ht="12.75" x14ac:dyDescent="0.2">
      <c r="A19" s="166">
        <v>37196</v>
      </c>
      <c r="B19" s="58"/>
      <c r="C19" s="57" t="s">
        <v>117</v>
      </c>
      <c r="D19" s="53">
        <v>6.298</v>
      </c>
      <c r="E19" s="58"/>
      <c r="F19" s="64">
        <f>-20000*30</f>
        <v>-600000</v>
      </c>
      <c r="G19" s="53"/>
      <c r="H19" s="53"/>
      <c r="I19" s="79">
        <f t="shared" si="0"/>
        <v>-3778800</v>
      </c>
      <c r="J19" s="56"/>
      <c r="K19" s="56">
        <f t="shared" si="1"/>
        <v>-3778800</v>
      </c>
      <c r="L19" s="357">
        <f>IF(K19=0,0,IF(A19&lt;(Summary!$K$3+365),K19,0))</f>
        <v>-3778800</v>
      </c>
    </row>
    <row r="20" spans="1:12" ht="12.75" x14ac:dyDescent="0.2">
      <c r="A20" s="166">
        <v>37226</v>
      </c>
      <c r="B20" s="58"/>
      <c r="C20" s="57" t="s">
        <v>117</v>
      </c>
      <c r="D20" s="53">
        <v>6.298</v>
      </c>
      <c r="E20" s="58"/>
      <c r="F20" s="71">
        <f>-20000*31</f>
        <v>-620000</v>
      </c>
      <c r="G20" s="53"/>
      <c r="H20" s="53"/>
      <c r="I20" s="86">
        <f t="shared" si="0"/>
        <v>-3904760</v>
      </c>
      <c r="J20" s="72"/>
      <c r="K20" s="72">
        <f t="shared" si="1"/>
        <v>-3904760</v>
      </c>
      <c r="L20" s="357">
        <f>IF(K20=0,0,IF(A20&lt;(Summary!$K$3+365),K20,0))</f>
        <v>-3904760</v>
      </c>
    </row>
    <row r="21" spans="1:12" x14ac:dyDescent="0.2">
      <c r="A21" s="166"/>
      <c r="B21" s="58"/>
      <c r="C21" s="57"/>
      <c r="D21" s="53"/>
      <c r="E21" s="58"/>
      <c r="F21" s="64">
        <f>SUM(F10:F20)</f>
        <v>-6680000</v>
      </c>
      <c r="G21" s="53"/>
      <c r="H21" s="53"/>
      <c r="I21" s="79">
        <f>SUM(I10:I20)</f>
        <v>-42070640</v>
      </c>
      <c r="J21" s="79">
        <f>SUM(J10:J20)</f>
        <v>-15115200</v>
      </c>
      <c r="K21" s="56">
        <f>SUM(K10:K20)</f>
        <v>-26955440</v>
      </c>
      <c r="L21" s="65">
        <f>SUM(L10:L20)</f>
        <v>-26955440</v>
      </c>
    </row>
    <row r="22" spans="1:12" x14ac:dyDescent="0.2">
      <c r="A22" s="166"/>
      <c r="B22" s="58"/>
      <c r="C22" s="57"/>
      <c r="D22" s="53"/>
      <c r="E22" s="58"/>
      <c r="F22" s="64"/>
      <c r="G22" s="53"/>
      <c r="H22" s="53"/>
      <c r="I22" s="79"/>
      <c r="J22" s="56"/>
      <c r="K22" s="56"/>
      <c r="L22" s="58"/>
    </row>
    <row r="23" spans="1:12" x14ac:dyDescent="0.2">
      <c r="A23" s="166"/>
      <c r="B23" s="58"/>
      <c r="C23" s="57"/>
      <c r="D23" s="53"/>
      <c r="E23" s="58"/>
      <c r="F23" s="64"/>
      <c r="G23" s="53"/>
      <c r="H23" s="53"/>
      <c r="I23" s="79"/>
      <c r="J23" s="56"/>
      <c r="K23" s="56"/>
      <c r="L23" s="58"/>
    </row>
    <row r="24" spans="1:12" ht="12.75" x14ac:dyDescent="0.2">
      <c r="A24" s="166">
        <v>36923</v>
      </c>
      <c r="B24" s="58"/>
      <c r="C24" s="57" t="s">
        <v>32</v>
      </c>
      <c r="D24" s="53"/>
      <c r="E24" s="58"/>
      <c r="F24" s="64">
        <f>20000*28</f>
        <v>560000</v>
      </c>
      <c r="G24" s="53">
        <v>6.2930000000000001</v>
      </c>
      <c r="H24" s="53"/>
      <c r="I24" s="79">
        <f>+G24*F24</f>
        <v>3524080</v>
      </c>
      <c r="J24" s="56">
        <f>+I24</f>
        <v>3524080</v>
      </c>
      <c r="K24" s="56"/>
      <c r="L24" s="357">
        <f>IF(K24=0,0,IF(A24&lt;(Summary!$K$3+365),K24,0))</f>
        <v>0</v>
      </c>
    </row>
    <row r="25" spans="1:12" ht="12.75" x14ac:dyDescent="0.2">
      <c r="A25" s="166">
        <v>36951</v>
      </c>
      <c r="B25" s="58"/>
      <c r="C25" s="57" t="s">
        <v>32</v>
      </c>
      <c r="D25" s="53"/>
      <c r="E25" s="58"/>
      <c r="F25" s="64">
        <f>20000*31</f>
        <v>620000</v>
      </c>
      <c r="G25" s="53">
        <v>4.9980000000000002</v>
      </c>
      <c r="H25" s="53"/>
      <c r="I25" s="79">
        <f t="shared" ref="I25:I34" si="2">+G25*F25</f>
        <v>3098760</v>
      </c>
      <c r="J25" s="56">
        <f>+I25</f>
        <v>3098760</v>
      </c>
      <c r="K25" s="56"/>
      <c r="L25" s="357">
        <f>IF(K25=0,0,IF(A25&lt;(Summary!$K$3+365),K25,0))</f>
        <v>0</v>
      </c>
    </row>
    <row r="26" spans="1:12" ht="12.75" x14ac:dyDescent="0.2">
      <c r="A26" s="166">
        <v>36982</v>
      </c>
      <c r="B26" s="58"/>
      <c r="C26" s="57" t="s">
        <v>32</v>
      </c>
      <c r="D26" s="53"/>
      <c r="E26" s="58"/>
      <c r="F26" s="64">
        <f>20000*30</f>
        <v>600000</v>
      </c>
      <c r="G26" s="53">
        <v>5.3840000000000003</v>
      </c>
      <c r="H26" s="53"/>
      <c r="I26" s="79">
        <f t="shared" si="2"/>
        <v>3230400</v>
      </c>
      <c r="J26" s="56">
        <f>+I26</f>
        <v>3230400</v>
      </c>
      <c r="K26" s="56"/>
      <c r="L26" s="357">
        <f>IF(K26=0,0,IF(A26&lt;(Summary!$K$3+365),K26,0))</f>
        <v>0</v>
      </c>
    </row>
    <row r="27" spans="1:12" ht="12.75" x14ac:dyDescent="0.2">
      <c r="A27" s="166">
        <v>37012</v>
      </c>
      <c r="B27" s="58"/>
      <c r="C27" s="57" t="s">
        <v>32</v>
      </c>
      <c r="D27" s="53"/>
      <c r="E27" s="58"/>
      <c r="F27" s="64">
        <f>20000*31</f>
        <v>620000</v>
      </c>
      <c r="G27" s="53">
        <v>4.891</v>
      </c>
      <c r="H27" s="53"/>
      <c r="I27" s="79">
        <f t="shared" si="2"/>
        <v>3032420</v>
      </c>
      <c r="J27" s="56">
        <f>+I27</f>
        <v>3032420</v>
      </c>
      <c r="K27" s="56"/>
      <c r="L27" s="357">
        <f>IF(K27=0,0,IF(A27&lt;(Summary!$K$3+365),K27,0))</f>
        <v>0</v>
      </c>
    </row>
    <row r="28" spans="1:12" ht="12.75" x14ac:dyDescent="0.2">
      <c r="A28" s="166">
        <v>37043</v>
      </c>
      <c r="B28" s="58"/>
      <c r="C28" s="57" t="s">
        <v>32</v>
      </c>
      <c r="D28" s="53"/>
      <c r="E28" s="58"/>
      <c r="F28" s="64">
        <f>20000*30</f>
        <v>600000</v>
      </c>
      <c r="G28" s="53">
        <v>3.738</v>
      </c>
      <c r="H28" s="53"/>
      <c r="I28" s="79">
        <f t="shared" si="2"/>
        <v>2242800</v>
      </c>
      <c r="J28" s="56"/>
      <c r="K28" s="56">
        <f t="shared" ref="K28:K34" si="3">+J28+I28</f>
        <v>2242800</v>
      </c>
      <c r="L28" s="357">
        <f>IF(K28=0,0,IF(A28&lt;(Summary!$K$3+365),K28,0))</f>
        <v>2242800</v>
      </c>
    </row>
    <row r="29" spans="1:12" ht="12.75" x14ac:dyDescent="0.2">
      <c r="A29" s="166">
        <v>37073</v>
      </c>
      <c r="B29" s="58"/>
      <c r="C29" s="57" t="s">
        <v>32</v>
      </c>
      <c r="D29" s="53"/>
      <c r="E29" s="58"/>
      <c r="F29" s="64">
        <f>20000*31</f>
        <v>620000</v>
      </c>
      <c r="G29" s="53">
        <f>+[4]NYMEX!$C9</f>
        <v>3.9140000000000001</v>
      </c>
      <c r="H29" s="53"/>
      <c r="I29" s="79">
        <f t="shared" si="2"/>
        <v>2426680</v>
      </c>
      <c r="J29" s="56"/>
      <c r="K29" s="56">
        <f t="shared" si="3"/>
        <v>2426680</v>
      </c>
      <c r="L29" s="357">
        <f>IF(K29=0,0,IF(A29&lt;(Summary!$K$3+365),K29,0))</f>
        <v>2426680</v>
      </c>
    </row>
    <row r="30" spans="1:12" ht="12.75" x14ac:dyDescent="0.2">
      <c r="A30" s="166">
        <v>37104</v>
      </c>
      <c r="B30" s="58"/>
      <c r="C30" s="57" t="s">
        <v>32</v>
      </c>
      <c r="D30" s="53"/>
      <c r="E30" s="58"/>
      <c r="F30" s="64">
        <f>20000*31</f>
        <v>620000</v>
      </c>
      <c r="G30" s="53">
        <f>+[4]NYMEX!$C10</f>
        <v>3.99</v>
      </c>
      <c r="H30" s="53"/>
      <c r="I30" s="79">
        <f t="shared" si="2"/>
        <v>2473800</v>
      </c>
      <c r="J30" s="56"/>
      <c r="K30" s="56">
        <f t="shared" si="3"/>
        <v>2473800</v>
      </c>
      <c r="L30" s="357">
        <f>IF(K30=0,0,IF(A30&lt;(Summary!$K$3+365),K30,0))</f>
        <v>2473800</v>
      </c>
    </row>
    <row r="31" spans="1:12" ht="12.75" x14ac:dyDescent="0.2">
      <c r="A31" s="166">
        <v>37135</v>
      </c>
      <c r="B31" s="58"/>
      <c r="C31" s="57" t="s">
        <v>32</v>
      </c>
      <c r="D31" s="53"/>
      <c r="E31" s="58"/>
      <c r="F31" s="64">
        <f>20000*30</f>
        <v>600000</v>
      </c>
      <c r="G31" s="53">
        <f>+[4]NYMEX!$C11</f>
        <v>4.0220000000000002</v>
      </c>
      <c r="H31" s="53"/>
      <c r="I31" s="79">
        <f t="shared" si="2"/>
        <v>2413200</v>
      </c>
      <c r="J31" s="56"/>
      <c r="K31" s="56">
        <f t="shared" si="3"/>
        <v>2413200</v>
      </c>
      <c r="L31" s="357">
        <f>IF(K31=0,0,IF(A31&lt;(Summary!$K$3+365),K31,0))</f>
        <v>2413200</v>
      </c>
    </row>
    <row r="32" spans="1:12" ht="12.75" x14ac:dyDescent="0.2">
      <c r="A32" s="166">
        <v>37165</v>
      </c>
      <c r="B32" s="58"/>
      <c r="C32" s="57" t="s">
        <v>32</v>
      </c>
      <c r="D32" s="53"/>
      <c r="E32" s="58"/>
      <c r="F32" s="64">
        <f>20000*31</f>
        <v>620000</v>
      </c>
      <c r="G32" s="53">
        <f>+[4]NYMEX!$C12</f>
        <v>4.048</v>
      </c>
      <c r="H32" s="53"/>
      <c r="I32" s="79">
        <f t="shared" si="2"/>
        <v>2509760</v>
      </c>
      <c r="J32" s="56"/>
      <c r="K32" s="56">
        <f t="shared" si="3"/>
        <v>2509760</v>
      </c>
      <c r="L32" s="357">
        <f>IF(K32=0,0,IF(A32&lt;(Summary!$K$3+365),K32,0))</f>
        <v>2509760</v>
      </c>
    </row>
    <row r="33" spans="1:12" ht="12.75" x14ac:dyDescent="0.2">
      <c r="A33" s="166">
        <v>37196</v>
      </c>
      <c r="B33" s="58"/>
      <c r="C33" s="57" t="s">
        <v>32</v>
      </c>
      <c r="D33" s="53"/>
      <c r="E33" s="58"/>
      <c r="F33" s="64">
        <f>20000*30</f>
        <v>600000</v>
      </c>
      <c r="G33" s="53">
        <f>+[4]NYMEX!$C13</f>
        <v>4.21</v>
      </c>
      <c r="H33" s="53"/>
      <c r="I33" s="79">
        <f t="shared" si="2"/>
        <v>2526000</v>
      </c>
      <c r="J33" s="56"/>
      <c r="K33" s="56">
        <f t="shared" si="3"/>
        <v>2526000</v>
      </c>
      <c r="L33" s="357">
        <f>IF(K33=0,0,IF(A33&lt;(Summary!$K$3+365),K33,0))</f>
        <v>2526000</v>
      </c>
    </row>
    <row r="34" spans="1:12" ht="12.75" x14ac:dyDescent="0.2">
      <c r="A34" s="166">
        <v>37226</v>
      </c>
      <c r="B34" s="58"/>
      <c r="C34" s="57" t="s">
        <v>32</v>
      </c>
      <c r="D34" s="53"/>
      <c r="E34" s="58"/>
      <c r="F34" s="71">
        <f>20000*31</f>
        <v>620000</v>
      </c>
      <c r="G34" s="53">
        <f>+[4]NYMEX!$C14</f>
        <v>4.3730000000000002</v>
      </c>
      <c r="H34" s="53"/>
      <c r="I34" s="86">
        <f t="shared" si="2"/>
        <v>2711260</v>
      </c>
      <c r="J34" s="72"/>
      <c r="K34" s="73">
        <f t="shared" si="3"/>
        <v>2711260</v>
      </c>
      <c r="L34" s="357">
        <f>IF(K34=0,0,IF(A34&lt;(Summary!$K$3+365),K34,0))</f>
        <v>2711260</v>
      </c>
    </row>
    <row r="35" spans="1:12" x14ac:dyDescent="0.2">
      <c r="A35" s="166"/>
      <c r="B35" s="58"/>
      <c r="C35" s="57"/>
      <c r="D35" s="53"/>
      <c r="E35" s="58"/>
      <c r="F35" s="64">
        <f>SUM(F24:F34)</f>
        <v>6680000</v>
      </c>
      <c r="G35" s="53"/>
      <c r="H35" s="53"/>
      <c r="I35" s="79">
        <f>SUM(I24:I34)</f>
        <v>30189160</v>
      </c>
      <c r="J35" s="79">
        <f>SUM(J24:J34)</f>
        <v>12885660</v>
      </c>
      <c r="K35" s="79">
        <f>SUM(K24:K34)</f>
        <v>17303500</v>
      </c>
      <c r="L35" s="65">
        <f>SUM(L24:L34)</f>
        <v>17303500</v>
      </c>
    </row>
    <row r="36" spans="1:12" x14ac:dyDescent="0.2">
      <c r="A36" s="58"/>
      <c r="B36" s="58"/>
      <c r="C36" s="58"/>
      <c r="D36" s="58"/>
      <c r="E36" s="58"/>
      <c r="F36" s="58"/>
      <c r="G36" s="58">
        <f>SUM(G24:G34)/11</f>
        <v>4.5328181818181825</v>
      </c>
      <c r="H36" s="53"/>
      <c r="I36" s="58"/>
      <c r="J36" s="59"/>
      <c r="K36" s="59"/>
      <c r="L36" s="58"/>
    </row>
    <row r="37" spans="1:12" ht="12" thickBot="1" x14ac:dyDescent="0.25">
      <c r="A37" s="58"/>
      <c r="B37" s="58"/>
      <c r="C37" s="58"/>
      <c r="D37" s="58"/>
      <c r="E37" s="58"/>
      <c r="F37" s="168">
        <f>+F21+F35</f>
        <v>0</v>
      </c>
      <c r="G37" s="58"/>
      <c r="H37" s="53"/>
      <c r="I37" s="238">
        <f>+I21+I35</f>
        <v>-11881480</v>
      </c>
      <c r="J37" s="238">
        <f>+J21+J35</f>
        <v>-2229540</v>
      </c>
      <c r="K37" s="238">
        <f>+K21+K35</f>
        <v>-9651940</v>
      </c>
      <c r="L37" s="238">
        <f>+L21+L35</f>
        <v>-9651940</v>
      </c>
    </row>
    <row r="38" spans="1:12" ht="12" thickTop="1" x14ac:dyDescent="0.2">
      <c r="A38" s="81"/>
      <c r="B38" s="81"/>
      <c r="C38" s="81"/>
      <c r="D38" s="81"/>
      <c r="E38" s="81"/>
      <c r="F38" s="81"/>
      <c r="G38" s="81"/>
      <c r="H38" s="81"/>
      <c r="I38" s="81"/>
      <c r="J38" s="82"/>
      <c r="K38" s="82"/>
      <c r="L38" s="81"/>
    </row>
    <row r="40" spans="1:12" x14ac:dyDescent="0.2">
      <c r="A40" s="22" t="s">
        <v>37</v>
      </c>
      <c r="J40" s="143"/>
    </row>
    <row r="42" spans="1:12" x14ac:dyDescent="0.2">
      <c r="G42" s="177"/>
    </row>
    <row r="43" spans="1:12" x14ac:dyDescent="0.2">
      <c r="G43" s="178"/>
      <c r="J43" s="143"/>
    </row>
    <row r="44" spans="1:12" x14ac:dyDescent="0.2">
      <c r="G44" s="143"/>
    </row>
  </sheetData>
  <mergeCells count="1">
    <mergeCell ref="A4:K4"/>
  </mergeCells>
  <phoneticPr fontId="0" type="noConversion"/>
  <pageMargins left="0.75" right="0.75" top="1" bottom="1" header="0.5" footer="0.5"/>
  <pageSetup scale="81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51"/>
  <sheetViews>
    <sheetView topLeftCell="Q64" zoomScale="75" zoomScaleNormal="75" workbookViewId="0">
      <selection activeCell="Z85" sqref="Z85"/>
    </sheetView>
  </sheetViews>
  <sheetFormatPr defaultColWidth="9.5703125" defaultRowHeight="11.25" x14ac:dyDescent="0.2"/>
  <cols>
    <col min="1" max="1" width="8.28515625" style="45" hidden="1" customWidth="1"/>
    <col min="2" max="2" width="10.85546875" style="45" bestFit="1" customWidth="1"/>
    <col min="3" max="3" width="11.5703125" style="45" bestFit="1" customWidth="1"/>
    <col min="4" max="4" width="8.42578125" style="83" bestFit="1" customWidth="1"/>
    <col min="5" max="5" width="11.7109375" style="45" bestFit="1" customWidth="1"/>
    <col min="6" max="6" width="15.5703125" style="45" bestFit="1" customWidth="1"/>
    <col min="7" max="8" width="9.42578125" style="45" hidden="1" customWidth="1"/>
    <col min="9" max="9" width="9.7109375" style="45" hidden="1" customWidth="1"/>
    <col min="10" max="10" width="9.5703125" style="45" hidden="1" customWidth="1"/>
    <col min="11" max="11" width="14.7109375" style="45" hidden="1" customWidth="1"/>
    <col min="12" max="12" width="11.42578125" style="45" hidden="1" customWidth="1"/>
    <col min="13" max="13" width="17.28515625" style="45" customWidth="1"/>
    <col min="14" max="14" width="17.140625" style="45" bestFit="1" customWidth="1"/>
    <col min="15" max="15" width="17.42578125" style="45" customWidth="1"/>
    <col min="16" max="16" width="19" style="259" bestFit="1" customWidth="1"/>
    <col min="17" max="17" width="17.42578125" style="259" bestFit="1" customWidth="1"/>
    <col min="18" max="18" width="19.140625" style="542" bestFit="1" customWidth="1"/>
    <col min="19" max="19" width="17.140625" style="542" bestFit="1" customWidth="1"/>
    <col min="20" max="20" width="12.5703125" style="486" bestFit="1" customWidth="1"/>
    <col min="21" max="21" width="16.5703125" style="486" customWidth="1"/>
    <col min="22" max="22" width="18.5703125" style="542" customWidth="1"/>
    <col min="23" max="23" width="16.140625" style="486" customWidth="1"/>
    <col min="24" max="24" width="16.5703125" style="486" customWidth="1"/>
    <col min="25" max="25" width="9.5703125" style="486" customWidth="1"/>
    <col min="26" max="26" width="14.7109375" style="486" customWidth="1"/>
    <col min="27" max="16384" width="9.5703125" style="486"/>
  </cols>
  <sheetData>
    <row r="1" spans="1:24" s="484" customFormat="1" x14ac:dyDescent="0.2">
      <c r="A1" s="44"/>
      <c r="B1" s="413" t="s">
        <v>146</v>
      </c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540"/>
      <c r="S1" s="540"/>
      <c r="V1" s="94"/>
    </row>
    <row r="2" spans="1:24" s="484" customFormat="1" x14ac:dyDescent="0.2">
      <c r="A2" s="44"/>
      <c r="B2" s="413" t="s">
        <v>217</v>
      </c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540"/>
      <c r="S2" s="540"/>
      <c r="V2" s="94"/>
    </row>
    <row r="3" spans="1:24" s="485" customFormat="1" x14ac:dyDescent="0.2">
      <c r="A3" s="22"/>
      <c r="B3" s="22"/>
      <c r="C3" s="413"/>
      <c r="D3" s="413"/>
      <c r="E3" s="413"/>
      <c r="F3" s="413"/>
      <c r="G3" s="413"/>
      <c r="H3" s="413"/>
      <c r="I3" s="413"/>
      <c r="J3" s="432" t="s">
        <v>208</v>
      </c>
      <c r="K3" s="388">
        <v>37042</v>
      </c>
      <c r="L3" s="413"/>
      <c r="M3" s="413"/>
      <c r="N3" s="413"/>
      <c r="O3" s="413"/>
      <c r="P3" s="413"/>
      <c r="Q3" s="413"/>
      <c r="R3" s="541"/>
      <c r="S3" s="541"/>
      <c r="V3" s="94"/>
    </row>
    <row r="4" spans="1:24" s="485" customFormat="1" ht="6.95" customHeight="1" x14ac:dyDescent="0.2">
      <c r="A4" s="22"/>
      <c r="B4" s="46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57"/>
      <c r="Q4" s="257"/>
      <c r="R4" s="541"/>
      <c r="S4" s="541"/>
      <c r="V4" s="541"/>
    </row>
    <row r="5" spans="1:24" s="485" customFormat="1" x14ac:dyDescent="0.2">
      <c r="A5" s="22"/>
      <c r="B5" s="256" t="s">
        <v>139</v>
      </c>
      <c r="C5" s="256"/>
      <c r="D5" s="256"/>
      <c r="E5" s="256"/>
      <c r="F5" s="256"/>
      <c r="G5" s="256"/>
      <c r="H5" s="256"/>
      <c r="I5" s="256"/>
      <c r="J5" s="256"/>
      <c r="K5" s="22"/>
      <c r="L5" s="256"/>
      <c r="M5" s="256"/>
      <c r="N5" s="256"/>
      <c r="O5" s="256"/>
      <c r="P5" s="256"/>
      <c r="Q5" s="256"/>
      <c r="R5" s="541"/>
      <c r="S5" s="541"/>
      <c r="V5" s="540"/>
    </row>
    <row r="6" spans="1:24" ht="6.95" customHeight="1" x14ac:dyDescent="0.2">
      <c r="L6" s="120"/>
      <c r="P6" s="258"/>
      <c r="Q6" s="258"/>
    </row>
    <row r="7" spans="1:24" s="94" customFormat="1" x14ac:dyDescent="0.2">
      <c r="A7" s="46"/>
      <c r="B7" s="341" t="s">
        <v>2</v>
      </c>
      <c r="C7" s="342" t="s">
        <v>3</v>
      </c>
      <c r="D7" s="342" t="s">
        <v>3</v>
      </c>
      <c r="E7" s="342" t="s">
        <v>3</v>
      </c>
      <c r="F7" s="342" t="s">
        <v>4</v>
      </c>
      <c r="G7" s="342" t="s">
        <v>74</v>
      </c>
      <c r="H7" s="342" t="s">
        <v>3</v>
      </c>
      <c r="I7" s="342" t="s">
        <v>5</v>
      </c>
      <c r="J7" s="342" t="s">
        <v>6</v>
      </c>
      <c r="K7" s="342" t="s">
        <v>3</v>
      </c>
      <c r="L7" s="343" t="s">
        <v>15</v>
      </c>
      <c r="M7" s="317"/>
      <c r="N7" s="317"/>
      <c r="O7" s="317"/>
      <c r="P7" s="318"/>
      <c r="Q7" s="344"/>
      <c r="R7" s="543"/>
      <c r="S7" s="543"/>
      <c r="V7" s="544"/>
    </row>
    <row r="8" spans="1:24" s="94" customFormat="1" x14ac:dyDescent="0.2">
      <c r="A8" s="46"/>
      <c r="B8" s="345" t="s">
        <v>8</v>
      </c>
      <c r="C8" s="343" t="s">
        <v>8</v>
      </c>
      <c r="D8" s="343" t="s">
        <v>9</v>
      </c>
      <c r="E8" s="343" t="s">
        <v>10</v>
      </c>
      <c r="F8" s="343" t="s">
        <v>11</v>
      </c>
      <c r="G8" s="343" t="s">
        <v>43</v>
      </c>
      <c r="H8" s="343" t="s">
        <v>12</v>
      </c>
      <c r="I8" s="343" t="s">
        <v>13</v>
      </c>
      <c r="J8" s="343"/>
      <c r="K8" s="343" t="s">
        <v>14</v>
      </c>
      <c r="L8" s="343"/>
      <c r="M8" s="346" t="s">
        <v>16</v>
      </c>
      <c r="N8" s="346"/>
      <c r="O8" s="346"/>
      <c r="P8" s="318"/>
      <c r="Q8" s="344"/>
      <c r="R8" s="545"/>
      <c r="S8" s="545"/>
      <c r="V8" s="546"/>
      <c r="W8" s="547" t="s">
        <v>183</v>
      </c>
      <c r="X8" s="548"/>
    </row>
    <row r="9" spans="1:24" s="94" customFormat="1" x14ac:dyDescent="0.2">
      <c r="A9" s="46"/>
      <c r="B9" s="345"/>
      <c r="C9" s="343"/>
      <c r="D9" s="343"/>
      <c r="E9" s="347"/>
      <c r="F9" s="343"/>
      <c r="G9" s="343"/>
      <c r="H9" s="343"/>
      <c r="I9" s="343" t="s">
        <v>17</v>
      </c>
      <c r="J9" s="343"/>
      <c r="K9" s="343" t="s">
        <v>18</v>
      </c>
      <c r="L9" s="343"/>
      <c r="M9" s="343" t="s">
        <v>19</v>
      </c>
      <c r="N9" s="343" t="s">
        <v>20</v>
      </c>
      <c r="O9" s="343" t="s">
        <v>21</v>
      </c>
      <c r="P9" s="348" t="s">
        <v>183</v>
      </c>
      <c r="Q9" s="338"/>
      <c r="R9" s="549" t="s">
        <v>183</v>
      </c>
      <c r="S9" s="549"/>
      <c r="V9" s="550" t="s">
        <v>21</v>
      </c>
      <c r="W9" s="551" t="s">
        <v>211</v>
      </c>
      <c r="X9" s="552"/>
    </row>
    <row r="10" spans="1:24" s="94" customFormat="1" x14ac:dyDescent="0.2">
      <c r="A10" s="46"/>
      <c r="B10" s="337"/>
      <c r="C10" s="349"/>
      <c r="D10" s="349"/>
      <c r="E10" s="349"/>
      <c r="F10" s="349"/>
      <c r="G10" s="349"/>
      <c r="H10" s="349"/>
      <c r="I10" s="349" t="s">
        <v>22</v>
      </c>
      <c r="J10" s="349"/>
      <c r="K10" s="349" t="s">
        <v>23</v>
      </c>
      <c r="L10" s="349"/>
      <c r="M10" s="350" t="s">
        <v>68</v>
      </c>
      <c r="N10" s="350" t="s">
        <v>68</v>
      </c>
      <c r="O10" s="350" t="s">
        <v>68</v>
      </c>
      <c r="P10" s="346" t="s">
        <v>32</v>
      </c>
      <c r="Q10" s="351" t="s">
        <v>25</v>
      </c>
      <c r="R10" s="553">
        <v>36981</v>
      </c>
      <c r="S10" s="553" t="s">
        <v>89</v>
      </c>
      <c r="T10" s="94" t="s">
        <v>32</v>
      </c>
      <c r="U10" s="94" t="s">
        <v>25</v>
      </c>
      <c r="V10" s="554" t="s">
        <v>210</v>
      </c>
      <c r="W10" s="94" t="s">
        <v>32</v>
      </c>
      <c r="X10" s="94" t="s">
        <v>25</v>
      </c>
    </row>
    <row r="11" spans="1:24" ht="11.25" hidden="1" customHeight="1" x14ac:dyDescent="0.2">
      <c r="B11" s="49" t="s">
        <v>25</v>
      </c>
      <c r="C11" s="49" t="s">
        <v>26</v>
      </c>
      <c r="D11" s="49"/>
      <c r="E11" s="49" t="s">
        <v>27</v>
      </c>
      <c r="F11" s="51" t="s">
        <v>50</v>
      </c>
      <c r="G11" s="50"/>
      <c r="H11" s="52">
        <v>2.2200000000000002</v>
      </c>
      <c r="I11" s="53">
        <v>1.7524999999999999</v>
      </c>
      <c r="J11" s="52">
        <v>-0.46602739726027415</v>
      </c>
      <c r="K11" s="54">
        <v>-91250</v>
      </c>
      <c r="L11" s="54">
        <v>-250</v>
      </c>
      <c r="M11" s="55">
        <v>-42525</v>
      </c>
      <c r="N11" s="56">
        <v>-42525</v>
      </c>
      <c r="O11" s="56">
        <v>0</v>
      </c>
      <c r="P11" s="260"/>
      <c r="Q11" s="261"/>
      <c r="V11" s="555"/>
    </row>
    <row r="12" spans="1:24" ht="11.25" hidden="1" customHeight="1" x14ac:dyDescent="0.2">
      <c r="B12" s="57" t="s">
        <v>25</v>
      </c>
      <c r="C12" s="57" t="s">
        <v>28</v>
      </c>
      <c r="D12" s="57">
        <v>26125</v>
      </c>
      <c r="E12" s="57" t="s">
        <v>29</v>
      </c>
      <c r="F12" s="51" t="s">
        <v>50</v>
      </c>
      <c r="G12" s="58"/>
      <c r="H12" s="60">
        <v>2.2200000000000002</v>
      </c>
      <c r="I12" s="61">
        <v>1.8191666666666668</v>
      </c>
      <c r="J12" s="62">
        <v>0.36873972602739735</v>
      </c>
      <c r="K12" s="63">
        <v>91250</v>
      </c>
      <c r="L12" s="64">
        <v>250</v>
      </c>
      <c r="M12" s="65">
        <v>33647.5</v>
      </c>
      <c r="N12" s="56">
        <v>33647.5</v>
      </c>
      <c r="O12" s="56">
        <v>0</v>
      </c>
      <c r="P12" s="260"/>
      <c r="Q12" s="261"/>
      <c r="V12" s="555"/>
    </row>
    <row r="13" spans="1:24" ht="11.25" hidden="1" customHeight="1" x14ac:dyDescent="0.2">
      <c r="B13" s="57"/>
      <c r="C13" s="57"/>
      <c r="D13" s="57"/>
      <c r="E13" s="57"/>
      <c r="F13" s="58"/>
      <c r="G13" s="58"/>
      <c r="H13" s="60">
        <v>3.7774999999999999</v>
      </c>
      <c r="I13" s="53"/>
      <c r="J13" s="60">
        <v>-9.7287671232876793E-2</v>
      </c>
      <c r="K13" s="66">
        <v>0</v>
      </c>
      <c r="L13" s="66">
        <v>0</v>
      </c>
      <c r="M13" s="67">
        <v>-8877.5000000000073</v>
      </c>
      <c r="N13" s="67">
        <v>-8877.5000000000073</v>
      </c>
      <c r="O13" s="67">
        <v>0</v>
      </c>
      <c r="P13" s="260"/>
      <c r="Q13" s="261"/>
      <c r="V13" s="556"/>
    </row>
    <row r="14" spans="1:24" ht="9.9499999999999993" hidden="1" customHeight="1" x14ac:dyDescent="0.2">
      <c r="B14" s="57"/>
      <c r="C14" s="57"/>
      <c r="D14" s="57"/>
      <c r="E14" s="57"/>
      <c r="F14" s="58"/>
      <c r="G14" s="58"/>
      <c r="H14" s="60">
        <v>3.8815</v>
      </c>
      <c r="I14" s="53"/>
      <c r="J14" s="60"/>
      <c r="K14" s="64"/>
      <c r="L14" s="64"/>
      <c r="M14" s="65"/>
      <c r="N14" s="56"/>
      <c r="O14" s="56"/>
      <c r="P14" s="260"/>
      <c r="Q14" s="261"/>
      <c r="V14" s="555"/>
    </row>
    <row r="15" spans="1:24" ht="11.25" hidden="1" customHeight="1" x14ac:dyDescent="0.2">
      <c r="B15" s="57" t="s">
        <v>25</v>
      </c>
      <c r="C15" s="57" t="s">
        <v>30</v>
      </c>
      <c r="D15" s="57"/>
      <c r="E15" s="57" t="s">
        <v>27</v>
      </c>
      <c r="F15" s="51" t="s">
        <v>56</v>
      </c>
      <c r="G15" s="58"/>
      <c r="H15" s="60">
        <v>3.9925000000000002</v>
      </c>
      <c r="I15" s="61">
        <v>2.3858333333333333</v>
      </c>
      <c r="J15" s="60">
        <v>0.43923497267759554</v>
      </c>
      <c r="K15" s="63">
        <v>-91500</v>
      </c>
      <c r="L15" s="64">
        <v>-250</v>
      </c>
      <c r="M15" s="65">
        <v>40190</v>
      </c>
      <c r="N15" s="56">
        <v>40190</v>
      </c>
      <c r="O15" s="56">
        <v>0</v>
      </c>
      <c r="P15" s="260"/>
      <c r="Q15" s="261"/>
      <c r="V15" s="555"/>
    </row>
    <row r="16" spans="1:24" ht="11.25" hidden="1" customHeight="1" x14ac:dyDescent="0.2">
      <c r="B16" s="57" t="s">
        <v>25</v>
      </c>
      <c r="C16" s="57" t="s">
        <v>28</v>
      </c>
      <c r="D16" s="57">
        <v>26125</v>
      </c>
      <c r="E16" s="57" t="s">
        <v>29</v>
      </c>
      <c r="F16" s="51" t="s">
        <v>56</v>
      </c>
      <c r="G16" s="58"/>
      <c r="H16" s="60">
        <v>4.0195000000000007</v>
      </c>
      <c r="I16" s="53">
        <v>2.4591666666666661</v>
      </c>
      <c r="J16" s="62">
        <v>-0.51554644808743155</v>
      </c>
      <c r="K16" s="64">
        <v>91500</v>
      </c>
      <c r="L16" s="64">
        <v>250</v>
      </c>
      <c r="M16" s="65">
        <v>-47172.5</v>
      </c>
      <c r="N16" s="56">
        <v>-47172.5</v>
      </c>
      <c r="O16" s="56">
        <v>0</v>
      </c>
      <c r="P16" s="260"/>
      <c r="Q16" s="261"/>
      <c r="V16" s="555"/>
    </row>
    <row r="17" spans="2:22" ht="11.25" hidden="1" customHeight="1" x14ac:dyDescent="0.2">
      <c r="B17" s="57"/>
      <c r="C17" s="57"/>
      <c r="D17" s="57"/>
      <c r="E17" s="58"/>
      <c r="F17" s="58"/>
      <c r="G17" s="58"/>
      <c r="H17" s="60">
        <v>4.0205000000000002</v>
      </c>
      <c r="I17" s="68"/>
      <c r="J17" s="60">
        <v>-7.6311475409836016E-2</v>
      </c>
      <c r="K17" s="69">
        <v>0</v>
      </c>
      <c r="L17" s="69">
        <v>0</v>
      </c>
      <c r="M17" s="70">
        <v>-6982.4999999999927</v>
      </c>
      <c r="N17" s="70">
        <v>-6982.4999999999927</v>
      </c>
      <c r="O17" s="70">
        <v>0</v>
      </c>
      <c r="P17" s="260"/>
      <c r="Q17" s="261"/>
      <c r="V17" s="557"/>
    </row>
    <row r="18" spans="2:22" ht="9.9499999999999993" hidden="1" customHeight="1" x14ac:dyDescent="0.2">
      <c r="B18" s="57"/>
      <c r="C18" s="58"/>
      <c r="D18" s="57"/>
      <c r="E18" s="58"/>
      <c r="F18" s="58"/>
      <c r="G18" s="58"/>
      <c r="H18" s="60">
        <v>4.2125000000000004</v>
      </c>
      <c r="I18" s="58"/>
      <c r="J18" s="58"/>
      <c r="K18" s="58"/>
      <c r="L18" s="58"/>
      <c r="M18" s="58"/>
      <c r="N18" s="59"/>
      <c r="O18" s="59"/>
      <c r="P18" s="260"/>
      <c r="Q18" s="261"/>
      <c r="V18" s="558"/>
    </row>
    <row r="19" spans="2:22" ht="11.25" hidden="1" customHeight="1" x14ac:dyDescent="0.2">
      <c r="B19" s="57" t="s">
        <v>25</v>
      </c>
      <c r="C19" s="57" t="s">
        <v>26</v>
      </c>
      <c r="D19" s="57"/>
      <c r="E19" s="57" t="s">
        <v>27</v>
      </c>
      <c r="F19" s="51" t="s">
        <v>51</v>
      </c>
      <c r="G19" s="58"/>
      <c r="H19" s="60">
        <v>4.3754999999999997</v>
      </c>
      <c r="I19" s="53">
        <v>2.0893333333333342</v>
      </c>
      <c r="J19" s="60">
        <v>8.5262582056892869E-2</v>
      </c>
      <c r="K19" s="64">
        <v>1142500</v>
      </c>
      <c r="L19" s="64">
        <v>2500</v>
      </c>
      <c r="M19" s="65">
        <v>-97412.500000000102</v>
      </c>
      <c r="N19" s="56">
        <v>-97412.500000000102</v>
      </c>
      <c r="O19" s="56">
        <v>0</v>
      </c>
      <c r="P19" s="260"/>
      <c r="Q19" s="261"/>
      <c r="V19" s="555"/>
    </row>
    <row r="20" spans="2:22" ht="11.25" hidden="1" customHeight="1" x14ac:dyDescent="0.2">
      <c r="B20" s="57" t="s">
        <v>25</v>
      </c>
      <c r="C20" s="57" t="s">
        <v>55</v>
      </c>
      <c r="D20" s="57"/>
      <c r="E20" s="57" t="s">
        <v>29</v>
      </c>
      <c r="F20" s="51" t="s">
        <v>51</v>
      </c>
      <c r="G20" s="58"/>
      <c r="H20" s="60">
        <v>4.4434999999999993</v>
      </c>
      <c r="I20" s="53">
        <v>2.036</v>
      </c>
      <c r="J20" s="62">
        <v>-3.2899343544857858E-2</v>
      </c>
      <c r="K20" s="64">
        <v>-1142500</v>
      </c>
      <c r="L20" s="64">
        <v>-2500</v>
      </c>
      <c r="M20" s="65">
        <v>37587.500000000102</v>
      </c>
      <c r="N20" s="56">
        <v>37587.500000000102</v>
      </c>
      <c r="O20" s="56">
        <v>0</v>
      </c>
      <c r="P20" s="260"/>
      <c r="Q20" s="261"/>
      <c r="V20" s="555"/>
    </row>
    <row r="21" spans="2:22" ht="11.25" hidden="1" customHeight="1" x14ac:dyDescent="0.2">
      <c r="B21" s="57"/>
      <c r="C21" s="58"/>
      <c r="D21" s="57"/>
      <c r="E21" s="58"/>
      <c r="F21" s="58"/>
      <c r="G21" s="58"/>
      <c r="H21" s="58"/>
      <c r="I21" s="58"/>
      <c r="J21" s="60">
        <v>5.2363238512035011E-2</v>
      </c>
      <c r="K21" s="69">
        <v>0</v>
      </c>
      <c r="L21" s="69">
        <v>0</v>
      </c>
      <c r="M21" s="70">
        <v>-59825</v>
      </c>
      <c r="N21" s="70">
        <v>-59825</v>
      </c>
      <c r="O21" s="70">
        <v>0</v>
      </c>
      <c r="P21" s="260"/>
      <c r="Q21" s="261"/>
      <c r="V21" s="557"/>
    </row>
    <row r="22" spans="2:22" ht="9.9499999999999993" hidden="1" customHeight="1" x14ac:dyDescent="0.2">
      <c r="B22" s="57"/>
      <c r="C22" s="58"/>
      <c r="D22" s="57"/>
      <c r="E22" s="58"/>
      <c r="F22" s="58"/>
      <c r="G22" s="58"/>
      <c r="H22" s="58"/>
      <c r="I22" s="58"/>
      <c r="J22" s="58"/>
      <c r="K22" s="58"/>
      <c r="L22" s="58"/>
      <c r="M22" s="58"/>
      <c r="N22" s="59"/>
      <c r="O22" s="59"/>
      <c r="P22" s="260"/>
      <c r="Q22" s="261"/>
      <c r="V22" s="558"/>
    </row>
    <row r="23" spans="2:22" ht="11.25" hidden="1" customHeight="1" x14ac:dyDescent="0.2">
      <c r="B23" s="57" t="s">
        <v>25</v>
      </c>
      <c r="C23" s="57" t="s">
        <v>30</v>
      </c>
      <c r="D23" s="57"/>
      <c r="E23" s="57" t="s">
        <v>27</v>
      </c>
      <c r="F23" s="51" t="s">
        <v>51</v>
      </c>
      <c r="G23" s="58"/>
      <c r="H23" s="53">
        <v>2.1</v>
      </c>
      <c r="I23" s="53">
        <v>2.0893333333333342</v>
      </c>
      <c r="J23" s="60">
        <v>-9.7374179431073109E-3</v>
      </c>
      <c r="K23" s="64">
        <v>1142500</v>
      </c>
      <c r="L23" s="64">
        <v>2500</v>
      </c>
      <c r="M23" s="65">
        <v>11125.000000000104</v>
      </c>
      <c r="N23" s="56">
        <v>11125.000000000104</v>
      </c>
      <c r="O23" s="56">
        <v>0</v>
      </c>
      <c r="P23" s="260"/>
      <c r="Q23" s="261"/>
      <c r="V23" s="555"/>
    </row>
    <row r="24" spans="2:22" ht="11.25" hidden="1" customHeight="1" x14ac:dyDescent="0.2">
      <c r="B24" s="57" t="s">
        <v>25</v>
      </c>
      <c r="C24" s="57" t="s">
        <v>55</v>
      </c>
      <c r="D24" s="57"/>
      <c r="E24" s="57" t="s">
        <v>29</v>
      </c>
      <c r="F24" s="51" t="s">
        <v>51</v>
      </c>
      <c r="G24" s="58"/>
      <c r="H24" s="53">
        <v>2.1</v>
      </c>
      <c r="I24" s="53">
        <v>2.036</v>
      </c>
      <c r="J24" s="62">
        <v>6.2100656455142372E-2</v>
      </c>
      <c r="K24" s="71">
        <v>-1142500</v>
      </c>
      <c r="L24" s="71">
        <v>-2500</v>
      </c>
      <c r="M24" s="72">
        <v>-70950.00000000016</v>
      </c>
      <c r="N24" s="73">
        <v>-70950.00000000016</v>
      </c>
      <c r="O24" s="73">
        <v>0</v>
      </c>
      <c r="P24" s="260"/>
      <c r="Q24" s="261"/>
      <c r="V24" s="555"/>
    </row>
    <row r="25" spans="2:22" ht="11.25" hidden="1" customHeight="1" x14ac:dyDescent="0.2">
      <c r="B25" s="57"/>
      <c r="C25" s="57"/>
      <c r="D25" s="57"/>
      <c r="E25" s="57"/>
      <c r="F25" s="58"/>
      <c r="G25" s="58"/>
      <c r="H25" s="53"/>
      <c r="I25" s="53"/>
      <c r="J25" s="60">
        <v>5.236323851203506E-2</v>
      </c>
      <c r="K25" s="64">
        <v>0</v>
      </c>
      <c r="L25" s="64">
        <v>0</v>
      </c>
      <c r="M25" s="74">
        <v>-59825.000000000058</v>
      </c>
      <c r="N25" s="74">
        <v>-59825.000000000058</v>
      </c>
      <c r="O25" s="74">
        <v>0</v>
      </c>
      <c r="P25" s="260"/>
      <c r="Q25" s="261"/>
      <c r="V25" s="557"/>
    </row>
    <row r="26" spans="2:22" ht="9.9499999999999993" hidden="1" customHeight="1" x14ac:dyDescent="0.2">
      <c r="B26" s="57"/>
      <c r="C26" s="57"/>
      <c r="D26" s="57"/>
      <c r="E26" s="57"/>
      <c r="F26" s="58"/>
      <c r="G26" s="58"/>
      <c r="H26" s="53"/>
      <c r="I26" s="53"/>
      <c r="J26" s="53"/>
      <c r="K26" s="64"/>
      <c r="L26" s="64"/>
      <c r="M26" s="65"/>
      <c r="N26" s="56"/>
      <c r="O26" s="56"/>
      <c r="P26" s="260"/>
      <c r="Q26" s="261"/>
      <c r="V26" s="555"/>
    </row>
    <row r="27" spans="2:22" ht="11.25" hidden="1" customHeight="1" x14ac:dyDescent="0.2">
      <c r="B27" s="57" t="s">
        <v>25</v>
      </c>
      <c r="C27" s="57" t="s">
        <v>30</v>
      </c>
      <c r="D27" s="57"/>
      <c r="E27" s="57" t="s">
        <v>27</v>
      </c>
      <c r="F27" s="51" t="s">
        <v>52</v>
      </c>
      <c r="G27" s="58"/>
      <c r="H27" s="53">
        <v>2.0099999999999998</v>
      </c>
      <c r="I27" s="53">
        <v>2.3774999999999999</v>
      </c>
      <c r="J27" s="60">
        <v>0.36506122448979617</v>
      </c>
      <c r="K27" s="64">
        <v>2450000</v>
      </c>
      <c r="L27" s="64">
        <v>10000</v>
      </c>
      <c r="M27" s="65">
        <v>-894400.00000000058</v>
      </c>
      <c r="N27" s="56">
        <v>-894400.00000000058</v>
      </c>
      <c r="O27" s="56">
        <v>0</v>
      </c>
      <c r="P27" s="260"/>
      <c r="Q27" s="261"/>
      <c r="V27" s="555"/>
    </row>
    <row r="28" spans="2:22" ht="11.25" hidden="1" customHeight="1" x14ac:dyDescent="0.2">
      <c r="B28" s="57" t="s">
        <v>25</v>
      </c>
      <c r="C28" s="57" t="s">
        <v>55</v>
      </c>
      <c r="D28" s="57"/>
      <c r="E28" s="57" t="s">
        <v>29</v>
      </c>
      <c r="F28" s="51" t="s">
        <v>52</v>
      </c>
      <c r="G28" s="58"/>
      <c r="H28" s="53">
        <v>2.0099999999999998</v>
      </c>
      <c r="I28" s="53">
        <v>2.2675000000000001</v>
      </c>
      <c r="J28" s="62">
        <v>-0.25832653061224503</v>
      </c>
      <c r="K28" s="64">
        <v>-2450000</v>
      </c>
      <c r="L28" s="64">
        <v>-10000</v>
      </c>
      <c r="M28" s="65">
        <v>632900</v>
      </c>
      <c r="N28" s="56">
        <v>632900</v>
      </c>
      <c r="O28" s="56">
        <v>0</v>
      </c>
      <c r="P28" s="260"/>
      <c r="Q28" s="261"/>
      <c r="V28" s="555"/>
    </row>
    <row r="29" spans="2:22" ht="11.25" hidden="1" customHeight="1" x14ac:dyDescent="0.2">
      <c r="B29" s="57"/>
      <c r="C29" s="58"/>
      <c r="D29" s="57"/>
      <c r="E29" s="58"/>
      <c r="F29" s="58"/>
      <c r="G29" s="58"/>
      <c r="H29" s="58"/>
      <c r="I29" s="58"/>
      <c r="J29" s="60">
        <v>0.10673469387755113</v>
      </c>
      <c r="K29" s="69">
        <v>0</v>
      </c>
      <c r="L29" s="69">
        <v>0</v>
      </c>
      <c r="M29" s="70">
        <v>-261500</v>
      </c>
      <c r="N29" s="70">
        <v>-261500</v>
      </c>
      <c r="O29" s="70">
        <v>0</v>
      </c>
      <c r="P29" s="260"/>
      <c r="Q29" s="261"/>
      <c r="V29" s="557"/>
    </row>
    <row r="30" spans="2:22" ht="9.9499999999999993" hidden="1" customHeight="1" x14ac:dyDescent="0.2">
      <c r="B30" s="57"/>
      <c r="C30" s="58"/>
      <c r="D30" s="57"/>
      <c r="E30" s="58"/>
      <c r="F30" s="58"/>
      <c r="G30" s="58"/>
      <c r="H30" s="58">
        <v>3.7774999999999999</v>
      </c>
      <c r="I30" s="58"/>
      <c r="J30" s="58"/>
      <c r="K30" s="68"/>
      <c r="L30" s="68"/>
      <c r="M30" s="74"/>
      <c r="N30" s="75"/>
      <c r="O30" s="75"/>
      <c r="P30" s="260"/>
      <c r="Q30" s="261"/>
      <c r="V30" s="559"/>
    </row>
    <row r="31" spans="2:22" ht="11.25" hidden="1" customHeight="1" x14ac:dyDescent="0.2">
      <c r="B31" s="57" t="s">
        <v>25</v>
      </c>
      <c r="C31" s="57" t="s">
        <v>31</v>
      </c>
      <c r="D31" s="57"/>
      <c r="E31" s="57" t="s">
        <v>64</v>
      </c>
      <c r="F31" s="51" t="s">
        <v>71</v>
      </c>
      <c r="G31" s="57"/>
      <c r="H31" s="58">
        <v>3.8815</v>
      </c>
      <c r="I31" s="53">
        <v>3.7774999999999999</v>
      </c>
      <c r="J31" s="60">
        <v>1.4177868852459015</v>
      </c>
      <c r="K31" s="76">
        <v>5490000</v>
      </c>
      <c r="L31" s="76">
        <v>15000</v>
      </c>
      <c r="M31" s="65">
        <v>-7783649.9999999991</v>
      </c>
      <c r="N31" s="56">
        <v>-7783649.9999999991</v>
      </c>
      <c r="O31" s="56">
        <v>0</v>
      </c>
      <c r="P31" s="260"/>
      <c r="Q31" s="261"/>
      <c r="V31" s="555"/>
    </row>
    <row r="32" spans="2:22" ht="11.25" hidden="1" customHeight="1" x14ac:dyDescent="0.2">
      <c r="B32" s="57" t="s">
        <v>25</v>
      </c>
      <c r="C32" s="57" t="s">
        <v>55</v>
      </c>
      <c r="D32" s="57"/>
      <c r="E32" s="57" t="s">
        <v>65</v>
      </c>
      <c r="F32" s="51" t="s">
        <v>71</v>
      </c>
      <c r="G32" s="57"/>
      <c r="H32" s="58">
        <v>3.9925000000000002</v>
      </c>
      <c r="I32" s="53">
        <v>3.7774999999999999</v>
      </c>
      <c r="J32" s="62">
        <v>-1.4177868852459015</v>
      </c>
      <c r="K32" s="77">
        <v>-5490000</v>
      </c>
      <c r="L32" s="77">
        <v>-15000</v>
      </c>
      <c r="M32" s="72">
        <v>7783649.9999999991</v>
      </c>
      <c r="N32" s="73">
        <v>7783649.9999999991</v>
      </c>
      <c r="O32" s="73">
        <v>0</v>
      </c>
      <c r="P32" s="260"/>
      <c r="Q32" s="261"/>
      <c r="V32" s="555"/>
    </row>
    <row r="33" spans="1:26" ht="11.25" hidden="1" customHeight="1" x14ac:dyDescent="0.2">
      <c r="B33" s="57"/>
      <c r="C33" s="58"/>
      <c r="D33" s="57"/>
      <c r="E33" s="58"/>
      <c r="F33" s="58"/>
      <c r="G33" s="57"/>
      <c r="H33" s="58">
        <v>4.0195000000000007</v>
      </c>
      <c r="I33" s="58"/>
      <c r="J33" s="145">
        <v>0</v>
      </c>
      <c r="K33" s="68">
        <v>0</v>
      </c>
      <c r="L33" s="68">
        <v>0</v>
      </c>
      <c r="M33" s="74">
        <v>0</v>
      </c>
      <c r="N33" s="74">
        <v>0</v>
      </c>
      <c r="O33" s="74">
        <v>0</v>
      </c>
      <c r="P33" s="260"/>
      <c r="Q33" s="261"/>
      <c r="V33" s="557"/>
    </row>
    <row r="34" spans="1:26" ht="9.9499999999999993" customHeight="1" x14ac:dyDescent="0.2">
      <c r="B34" s="57"/>
      <c r="C34" s="58"/>
      <c r="D34" s="57"/>
      <c r="E34" s="58"/>
      <c r="F34" s="58"/>
      <c r="G34" s="57"/>
      <c r="H34" s="58"/>
      <c r="I34" s="58"/>
      <c r="J34" s="58"/>
      <c r="K34" s="58"/>
      <c r="L34" s="58"/>
      <c r="M34" s="58"/>
      <c r="N34" s="58"/>
      <c r="O34" s="58"/>
      <c r="P34" s="262"/>
      <c r="Q34" s="263"/>
      <c r="R34" s="560"/>
      <c r="S34" s="560"/>
      <c r="V34" s="245"/>
      <c r="Y34" s="185"/>
    </row>
    <row r="35" spans="1:26" ht="11.25" hidden="1" customHeight="1" x14ac:dyDescent="0.2">
      <c r="B35" s="57" t="s">
        <v>32</v>
      </c>
      <c r="C35" s="57" t="s">
        <v>33</v>
      </c>
      <c r="D35" s="57">
        <v>25834</v>
      </c>
      <c r="E35" s="57" t="s">
        <v>29</v>
      </c>
      <c r="F35" s="51" t="s">
        <v>54</v>
      </c>
      <c r="G35" s="57"/>
      <c r="H35" s="58">
        <v>4.2125000000000004</v>
      </c>
      <c r="I35" s="53">
        <v>3.7602000000000002</v>
      </c>
      <c r="J35" s="60">
        <v>-0.46613333333333373</v>
      </c>
      <c r="K35" s="64">
        <v>15000000</v>
      </c>
      <c r="L35" s="78">
        <v>98039.215686274503</v>
      </c>
      <c r="M35" s="65">
        <v>-6992000.0000000056</v>
      </c>
      <c r="N35" s="79">
        <v>0</v>
      </c>
      <c r="O35" s="65">
        <v>-6992000.0000000056</v>
      </c>
      <c r="P35" s="262"/>
      <c r="Q35" s="261"/>
      <c r="R35" s="561"/>
      <c r="S35" s="561"/>
      <c r="V35" s="244"/>
      <c r="Y35" s="185" t="s">
        <v>32</v>
      </c>
    </row>
    <row r="36" spans="1:26" ht="11.25" hidden="1" customHeight="1" x14ac:dyDescent="0.2">
      <c r="B36" s="57" t="s">
        <v>32</v>
      </c>
      <c r="C36" s="57" t="s">
        <v>33</v>
      </c>
      <c r="D36" s="57"/>
      <c r="E36" s="57" t="s">
        <v>27</v>
      </c>
      <c r="F36" s="51" t="s">
        <v>54</v>
      </c>
      <c r="G36" s="57"/>
      <c r="H36" s="58">
        <v>4.3754999999999997</v>
      </c>
      <c r="I36" s="53">
        <v>3.7602000000000002</v>
      </c>
      <c r="J36" s="84">
        <v>0.46613333333333373</v>
      </c>
      <c r="K36" s="71">
        <v>15000000</v>
      </c>
      <c r="L36" s="85">
        <v>98039.215686274503</v>
      </c>
      <c r="M36" s="72">
        <v>6992000.0000000056</v>
      </c>
      <c r="N36" s="86">
        <v>0</v>
      </c>
      <c r="O36" s="72">
        <v>6992000.0000000056</v>
      </c>
      <c r="P36" s="262"/>
      <c r="Q36" s="261"/>
      <c r="R36" s="561"/>
      <c r="S36" s="561"/>
      <c r="V36" s="403"/>
      <c r="Y36" s="185" t="s">
        <v>32</v>
      </c>
    </row>
    <row r="37" spans="1:26" ht="11.25" hidden="1" customHeight="1" x14ac:dyDescent="0.2">
      <c r="B37" s="57"/>
      <c r="C37" s="57"/>
      <c r="D37" s="57"/>
      <c r="E37" s="57"/>
      <c r="F37" s="51"/>
      <c r="G37" s="57"/>
      <c r="H37" s="58">
        <v>4.4434999999999993</v>
      </c>
      <c r="I37" s="53"/>
      <c r="J37" s="60">
        <v>-0.93226666666666747</v>
      </c>
      <c r="K37" s="64">
        <v>30000000</v>
      </c>
      <c r="L37" s="64">
        <v>196078.43137254901</v>
      </c>
      <c r="M37" s="87">
        <v>0</v>
      </c>
      <c r="N37" s="88">
        <v>0</v>
      </c>
      <c r="O37" s="87">
        <v>0</v>
      </c>
      <c r="P37" s="262"/>
      <c r="Q37" s="261"/>
      <c r="R37" s="561"/>
      <c r="S37" s="561"/>
      <c r="V37" s="405"/>
      <c r="Y37" s="185"/>
    </row>
    <row r="38" spans="1:26" ht="11.25" hidden="1" customHeight="1" x14ac:dyDescent="0.2">
      <c r="B38" s="57"/>
      <c r="C38" s="57"/>
      <c r="D38" s="57"/>
      <c r="E38" s="57"/>
      <c r="F38" s="51"/>
      <c r="G38" s="57"/>
      <c r="H38" s="53"/>
      <c r="I38" s="53"/>
      <c r="J38" s="60"/>
      <c r="K38" s="64"/>
      <c r="L38" s="91"/>
      <c r="M38" s="87"/>
      <c r="N38" s="88"/>
      <c r="O38" s="87"/>
      <c r="P38" s="262"/>
      <c r="Q38" s="261"/>
      <c r="R38" s="561"/>
      <c r="S38" s="561"/>
      <c r="V38" s="405"/>
      <c r="Y38" s="185"/>
    </row>
    <row r="39" spans="1:26" ht="11.25" hidden="1" customHeight="1" x14ac:dyDescent="0.2">
      <c r="B39" s="57" t="s">
        <v>32</v>
      </c>
      <c r="C39" s="57" t="s">
        <v>57</v>
      </c>
      <c r="D39" s="57">
        <v>105706</v>
      </c>
      <c r="E39" s="57" t="s">
        <v>29</v>
      </c>
      <c r="F39" s="51" t="s">
        <v>58</v>
      </c>
      <c r="G39" s="51"/>
      <c r="H39" s="53"/>
      <c r="I39" s="60">
        <v>0</v>
      </c>
      <c r="J39" s="60">
        <v>2.5582608695652174</v>
      </c>
      <c r="K39" s="64">
        <v>-230000</v>
      </c>
      <c r="L39" s="91">
        <v>-1263.7362637362637</v>
      </c>
      <c r="M39" s="65">
        <v>-588400</v>
      </c>
      <c r="N39" s="79">
        <v>-588400</v>
      </c>
      <c r="O39" s="65">
        <v>0</v>
      </c>
      <c r="P39" s="262"/>
      <c r="Q39" s="261"/>
      <c r="R39" s="561"/>
      <c r="S39" s="561"/>
      <c r="V39" s="244"/>
      <c r="Y39" s="185" t="s">
        <v>32</v>
      </c>
    </row>
    <row r="40" spans="1:26" ht="11.25" hidden="1" customHeight="1" x14ac:dyDescent="0.2">
      <c r="B40" s="57" t="s">
        <v>32</v>
      </c>
      <c r="C40" s="57" t="s">
        <v>57</v>
      </c>
      <c r="D40" s="57">
        <v>105706</v>
      </c>
      <c r="E40" s="57" t="s">
        <v>29</v>
      </c>
      <c r="F40" s="51" t="s">
        <v>58</v>
      </c>
      <c r="G40" s="51"/>
      <c r="H40" s="53"/>
      <c r="I40" s="53">
        <v>0</v>
      </c>
      <c r="J40" s="84">
        <v>2.6397391304347826</v>
      </c>
      <c r="K40" s="71">
        <v>230000</v>
      </c>
      <c r="L40" s="71">
        <v>1263.7362637362637</v>
      </c>
      <c r="M40" s="72">
        <v>607140</v>
      </c>
      <c r="N40" s="86">
        <v>607140</v>
      </c>
      <c r="O40" s="72">
        <v>0</v>
      </c>
      <c r="P40" s="262"/>
      <c r="Q40" s="261"/>
      <c r="R40" s="561"/>
      <c r="S40" s="561"/>
      <c r="V40" s="403"/>
      <c r="Y40" s="185" t="s">
        <v>32</v>
      </c>
    </row>
    <row r="41" spans="1:26" ht="11.25" hidden="1" customHeight="1" x14ac:dyDescent="0.2">
      <c r="B41" s="57"/>
      <c r="C41" s="57"/>
      <c r="D41" s="57"/>
      <c r="E41" s="57"/>
      <c r="F41" s="51"/>
      <c r="G41" s="51"/>
      <c r="H41" s="53"/>
      <c r="I41" s="53"/>
      <c r="J41" s="60">
        <v>-8.1478260869565222E-2</v>
      </c>
      <c r="K41" s="64">
        <v>0</v>
      </c>
      <c r="L41" s="64">
        <v>0</v>
      </c>
      <c r="M41" s="65">
        <v>18740</v>
      </c>
      <c r="N41" s="79">
        <v>18740</v>
      </c>
      <c r="O41" s="65">
        <v>0</v>
      </c>
      <c r="P41" s="262"/>
      <c r="Q41" s="261"/>
      <c r="R41" s="561"/>
      <c r="S41" s="561"/>
      <c r="V41" s="244"/>
      <c r="Y41" s="185"/>
    </row>
    <row r="42" spans="1:26" ht="11.25" hidden="1" customHeight="1" x14ac:dyDescent="0.2">
      <c r="B42" s="57"/>
      <c r="C42" s="57"/>
      <c r="D42" s="57"/>
      <c r="E42" s="57"/>
      <c r="F42" s="51"/>
      <c r="G42" s="51"/>
      <c r="H42" s="53"/>
      <c r="I42" s="53"/>
      <c r="J42" s="60"/>
      <c r="K42" s="64"/>
      <c r="L42" s="91"/>
      <c r="M42" s="65"/>
      <c r="N42" s="79"/>
      <c r="O42" s="65"/>
      <c r="P42" s="262"/>
      <c r="Q42" s="261"/>
      <c r="R42" s="561"/>
      <c r="S42" s="561"/>
      <c r="V42" s="244"/>
      <c r="Y42" s="185"/>
    </row>
    <row r="43" spans="1:26" ht="12.75" x14ac:dyDescent="0.2">
      <c r="A43" s="466"/>
      <c r="B43" s="467" t="s">
        <v>25</v>
      </c>
      <c r="C43" s="467" t="s">
        <v>61</v>
      </c>
      <c r="D43" s="467" t="s">
        <v>90</v>
      </c>
      <c r="E43" s="467" t="s">
        <v>64</v>
      </c>
      <c r="F43" s="487" t="s">
        <v>53</v>
      </c>
      <c r="G43" s="488">
        <v>36664</v>
      </c>
      <c r="H43" s="489">
        <v>3.23</v>
      </c>
      <c r="I43" s="489">
        <v>5.0051666666666668</v>
      </c>
      <c r="J43" s="490">
        <v>1.7689931506849315</v>
      </c>
      <c r="K43" s="491">
        <v>1825000</v>
      </c>
      <c r="L43" s="491">
        <v>5000</v>
      </c>
      <c r="M43" s="492">
        <v>-3228412.5</v>
      </c>
      <c r="N43" s="493">
        <v>-2364050</v>
      </c>
      <c r="O43" s="493">
        <v>-864362.5</v>
      </c>
      <c r="P43" s="473"/>
      <c r="Q43" s="494">
        <v>864362.5</v>
      </c>
      <c r="R43" s="404">
        <v>2836735</v>
      </c>
      <c r="S43" s="404">
        <v>-1972372.5</v>
      </c>
      <c r="T43" s="562" t="s">
        <v>229</v>
      </c>
      <c r="U43" s="562">
        <v>-1972372.5</v>
      </c>
      <c r="V43" s="447">
        <v>-864362.5</v>
      </c>
      <c r="W43" s="562" t="s">
        <v>229</v>
      </c>
      <c r="X43" s="562">
        <v>864362.5</v>
      </c>
      <c r="Y43" s="185" t="s">
        <v>25</v>
      </c>
      <c r="Z43" s="563"/>
    </row>
    <row r="44" spans="1:26" x14ac:dyDescent="0.2">
      <c r="A44" s="466"/>
      <c r="B44" s="467" t="s">
        <v>25</v>
      </c>
      <c r="C44" s="467" t="s">
        <v>30</v>
      </c>
      <c r="D44" s="467"/>
      <c r="E44" s="467" t="s">
        <v>137</v>
      </c>
      <c r="F44" s="487" t="s">
        <v>53</v>
      </c>
      <c r="G44" s="467"/>
      <c r="H44" s="495">
        <v>3.23</v>
      </c>
      <c r="I44" s="495">
        <v>5.0101666666666667</v>
      </c>
      <c r="J44" s="496">
        <v>-1.774027397260274</v>
      </c>
      <c r="K44" s="497">
        <v>-1825000</v>
      </c>
      <c r="L44" s="497">
        <v>-5000</v>
      </c>
      <c r="M44" s="498">
        <v>3237600</v>
      </c>
      <c r="N44" s="499">
        <v>2364050</v>
      </c>
      <c r="O44" s="499">
        <v>873550</v>
      </c>
      <c r="P44" s="500"/>
      <c r="Q44" s="501"/>
      <c r="R44" s="561"/>
      <c r="S44" s="561"/>
      <c r="T44" s="562"/>
      <c r="U44" s="562"/>
      <c r="V44" s="564"/>
      <c r="W44" s="562"/>
      <c r="X44" s="562"/>
      <c r="Y44" s="185" t="s">
        <v>25</v>
      </c>
      <c r="Z44" s="565"/>
    </row>
    <row r="45" spans="1:26" ht="12.75" x14ac:dyDescent="0.2">
      <c r="A45" s="466"/>
      <c r="B45" s="467"/>
      <c r="C45" s="467"/>
      <c r="D45" s="467"/>
      <c r="E45" s="467"/>
      <c r="F45" s="487"/>
      <c r="G45" s="488"/>
      <c r="H45" s="489"/>
      <c r="I45" s="489"/>
      <c r="J45" s="490">
        <v>-5.0342465753425714E-3</v>
      </c>
      <c r="K45" s="491"/>
      <c r="L45" s="491"/>
      <c r="M45" s="502"/>
      <c r="N45" s="502"/>
      <c r="O45" s="502">
        <v>9187.4999999998836</v>
      </c>
      <c r="P45" s="473"/>
      <c r="Q45" s="494"/>
      <c r="R45" s="404"/>
      <c r="S45" s="404"/>
      <c r="T45" s="562"/>
      <c r="U45" s="562"/>
      <c r="V45" s="405">
        <v>-864362.5</v>
      </c>
      <c r="W45" s="562"/>
      <c r="X45" s="562"/>
      <c r="Y45" s="185"/>
      <c r="Z45" s="563"/>
    </row>
    <row r="46" spans="1:26" ht="8.1" customHeight="1" x14ac:dyDescent="0.2">
      <c r="A46" s="466"/>
      <c r="B46" s="467"/>
      <c r="C46" s="503"/>
      <c r="D46" s="467"/>
      <c r="E46" s="503"/>
      <c r="F46" s="503"/>
      <c r="G46" s="467"/>
      <c r="H46" s="503"/>
      <c r="I46" s="503"/>
      <c r="J46" s="490"/>
      <c r="K46" s="504"/>
      <c r="L46" s="505"/>
      <c r="M46" s="506"/>
      <c r="N46" s="506"/>
      <c r="O46" s="506"/>
      <c r="P46" s="500"/>
      <c r="Q46" s="501"/>
      <c r="R46" s="561"/>
      <c r="S46" s="561"/>
      <c r="T46" s="562"/>
      <c r="U46" s="562"/>
      <c r="V46" s="566"/>
      <c r="W46" s="562"/>
      <c r="X46" s="562"/>
      <c r="Y46" s="185"/>
      <c r="Z46" s="565"/>
    </row>
    <row r="47" spans="1:26" x14ac:dyDescent="0.2">
      <c r="A47" s="466"/>
      <c r="B47" s="467" t="s">
        <v>25</v>
      </c>
      <c r="C47" s="467" t="s">
        <v>61</v>
      </c>
      <c r="D47" s="467" t="s">
        <v>91</v>
      </c>
      <c r="E47" s="467" t="s">
        <v>64</v>
      </c>
      <c r="F47" s="487" t="s">
        <v>53</v>
      </c>
      <c r="G47" s="488">
        <v>36676</v>
      </c>
      <c r="H47" s="489">
        <v>3.74</v>
      </c>
      <c r="I47" s="489">
        <v>5.0051666666666668</v>
      </c>
      <c r="J47" s="490">
        <v>0.1</v>
      </c>
      <c r="K47" s="491">
        <v>1825000</v>
      </c>
      <c r="L47" s="491">
        <v>5000</v>
      </c>
      <c r="M47" s="492">
        <v>-2297662.5</v>
      </c>
      <c r="N47" s="493">
        <v>-1979000</v>
      </c>
      <c r="O47" s="493">
        <v>-318662.5</v>
      </c>
      <c r="P47" s="473"/>
      <c r="Q47" s="494">
        <v>318662.5</v>
      </c>
      <c r="R47" s="404">
        <v>2135485</v>
      </c>
      <c r="S47" s="404">
        <v>-1816822.5</v>
      </c>
      <c r="T47" s="562" t="s">
        <v>229</v>
      </c>
      <c r="U47" s="562">
        <v>-1816822.5</v>
      </c>
      <c r="V47" s="447">
        <v>-318662.5</v>
      </c>
      <c r="W47" s="562" t="s">
        <v>229</v>
      </c>
      <c r="X47" s="562">
        <v>318662.5</v>
      </c>
      <c r="Y47" s="185" t="s">
        <v>25</v>
      </c>
      <c r="Z47" s="565"/>
    </row>
    <row r="48" spans="1:26" x14ac:dyDescent="0.2">
      <c r="A48" s="466"/>
      <c r="B48" s="467" t="s">
        <v>25</v>
      </c>
      <c r="C48" s="467" t="s">
        <v>179</v>
      </c>
      <c r="D48" s="467"/>
      <c r="E48" s="467" t="s">
        <v>137</v>
      </c>
      <c r="F48" s="487" t="s">
        <v>53</v>
      </c>
      <c r="G48" s="467"/>
      <c r="H48" s="495">
        <v>3.74</v>
      </c>
      <c r="I48" s="495">
        <v>5.0101666666666667</v>
      </c>
      <c r="J48" s="496">
        <v>-1.264027397260274</v>
      </c>
      <c r="K48" s="497">
        <v>-1825000</v>
      </c>
      <c r="L48" s="497">
        <v>-5000</v>
      </c>
      <c r="M48" s="498">
        <v>2306850</v>
      </c>
      <c r="N48" s="499">
        <v>1979000</v>
      </c>
      <c r="O48" s="499">
        <v>327850</v>
      </c>
      <c r="P48" s="500"/>
      <c r="Q48" s="501"/>
      <c r="R48" s="561"/>
      <c r="S48" s="561"/>
      <c r="T48" s="562" t="s">
        <v>229</v>
      </c>
      <c r="U48" s="562">
        <v>0</v>
      </c>
      <c r="V48" s="564"/>
      <c r="W48" s="562" t="s">
        <v>229</v>
      </c>
      <c r="X48" s="562">
        <v>0</v>
      </c>
      <c r="Y48" s="185" t="s">
        <v>25</v>
      </c>
      <c r="Z48" s="565"/>
    </row>
    <row r="49" spans="1:26" x14ac:dyDescent="0.2">
      <c r="A49" s="466"/>
      <c r="B49" s="467"/>
      <c r="C49" s="503"/>
      <c r="D49" s="467"/>
      <c r="E49" s="503"/>
      <c r="F49" s="503"/>
      <c r="G49" s="467"/>
      <c r="H49" s="503"/>
      <c r="I49" s="503"/>
      <c r="J49" s="490">
        <v>-1.1640273972602739</v>
      </c>
      <c r="K49" s="504">
        <v>0</v>
      </c>
      <c r="L49" s="504">
        <v>0</v>
      </c>
      <c r="M49" s="502">
        <v>9187.5</v>
      </c>
      <c r="N49" s="502">
        <v>0</v>
      </c>
      <c r="O49" s="502">
        <v>9187.4999999999418</v>
      </c>
      <c r="P49" s="500"/>
      <c r="Q49" s="501"/>
      <c r="R49" s="561"/>
      <c r="S49" s="561"/>
      <c r="T49" s="562" t="s">
        <v>229</v>
      </c>
      <c r="U49" s="562" t="s">
        <v>229</v>
      </c>
      <c r="V49" s="405">
        <v>-318662.5</v>
      </c>
      <c r="W49" s="562" t="s">
        <v>229</v>
      </c>
      <c r="X49" s="562" t="s">
        <v>229</v>
      </c>
      <c r="Y49" s="185"/>
      <c r="Z49" s="565"/>
    </row>
    <row r="50" spans="1:26" ht="8.1" customHeight="1" x14ac:dyDescent="0.2">
      <c r="A50" s="466"/>
      <c r="B50" s="467"/>
      <c r="C50" s="503"/>
      <c r="D50" s="467"/>
      <c r="E50" s="503"/>
      <c r="F50" s="503"/>
      <c r="G50" s="467"/>
      <c r="H50" s="503"/>
      <c r="I50" s="503"/>
      <c r="J50" s="490"/>
      <c r="K50" s="504"/>
      <c r="L50" s="505"/>
      <c r="M50" s="502"/>
      <c r="N50" s="502"/>
      <c r="O50" s="502"/>
      <c r="P50" s="500"/>
      <c r="Q50" s="501"/>
      <c r="R50" s="561"/>
      <c r="S50" s="561"/>
      <c r="T50" s="562" t="s">
        <v>229</v>
      </c>
      <c r="U50" s="562" t="s">
        <v>229</v>
      </c>
      <c r="V50" s="405"/>
      <c r="W50" s="562" t="s">
        <v>229</v>
      </c>
      <c r="X50" s="562" t="s">
        <v>229</v>
      </c>
      <c r="Y50" s="185"/>
      <c r="Z50" s="565"/>
    </row>
    <row r="51" spans="1:26" x14ac:dyDescent="0.2">
      <c r="A51" s="466"/>
      <c r="B51" s="467" t="s">
        <v>25</v>
      </c>
      <c r="C51" s="467" t="s">
        <v>61</v>
      </c>
      <c r="D51" s="467" t="s">
        <v>73</v>
      </c>
      <c r="E51" s="467" t="s">
        <v>64</v>
      </c>
      <c r="F51" s="487" t="s">
        <v>53</v>
      </c>
      <c r="G51" s="488">
        <v>36740</v>
      </c>
      <c r="H51" s="489">
        <v>3.63</v>
      </c>
      <c r="I51" s="489">
        <v>5.0101666666666667</v>
      </c>
      <c r="J51" s="490">
        <v>0.1</v>
      </c>
      <c r="K51" s="491">
        <v>1825000</v>
      </c>
      <c r="L51" s="491">
        <v>5000</v>
      </c>
      <c r="M51" s="492">
        <v>-2498412.5</v>
      </c>
      <c r="N51" s="493">
        <v>-2062050</v>
      </c>
      <c r="O51" s="493">
        <v>-436362.5</v>
      </c>
      <c r="P51" s="473"/>
      <c r="Q51" s="494">
        <v>436362.5</v>
      </c>
      <c r="R51" s="404">
        <v>2286735</v>
      </c>
      <c r="S51" s="404">
        <v>-1850372.5</v>
      </c>
      <c r="T51" s="562" t="s">
        <v>229</v>
      </c>
      <c r="U51" s="562">
        <v>-1850372.5</v>
      </c>
      <c r="V51" s="447">
        <v>-436362.5</v>
      </c>
      <c r="W51" s="562" t="s">
        <v>229</v>
      </c>
      <c r="X51" s="562">
        <v>436362.5</v>
      </c>
      <c r="Y51" s="185" t="s">
        <v>25</v>
      </c>
      <c r="Z51" s="565"/>
    </row>
    <row r="52" spans="1:26" x14ac:dyDescent="0.2">
      <c r="A52" s="466"/>
      <c r="B52" s="467" t="s">
        <v>25</v>
      </c>
      <c r="C52" s="467" t="s">
        <v>179</v>
      </c>
      <c r="D52" s="467"/>
      <c r="E52" s="467" t="s">
        <v>137</v>
      </c>
      <c r="F52" s="487" t="s">
        <v>53</v>
      </c>
      <c r="G52" s="467"/>
      <c r="H52" s="495">
        <v>3.63</v>
      </c>
      <c r="I52" s="495">
        <v>5.0101666666666667</v>
      </c>
      <c r="J52" s="496">
        <v>-1.3740273972602741</v>
      </c>
      <c r="K52" s="497">
        <v>-1825000</v>
      </c>
      <c r="L52" s="497">
        <v>-5000</v>
      </c>
      <c r="M52" s="498">
        <v>2507600</v>
      </c>
      <c r="N52" s="499">
        <v>2062050</v>
      </c>
      <c r="O52" s="499">
        <v>445550</v>
      </c>
      <c r="P52" s="500"/>
      <c r="Q52" s="501"/>
      <c r="R52" s="561"/>
      <c r="S52" s="561"/>
      <c r="T52" s="562" t="s">
        <v>229</v>
      </c>
      <c r="U52" s="562">
        <v>0</v>
      </c>
      <c r="V52" s="564"/>
      <c r="W52" s="562" t="s">
        <v>229</v>
      </c>
      <c r="X52" s="562">
        <v>0</v>
      </c>
      <c r="Y52" s="185" t="s">
        <v>25</v>
      </c>
      <c r="Z52" s="565"/>
    </row>
    <row r="53" spans="1:26" x14ac:dyDescent="0.2">
      <c r="A53" s="466"/>
      <c r="B53" s="467"/>
      <c r="C53" s="503"/>
      <c r="D53" s="467"/>
      <c r="E53" s="503"/>
      <c r="F53" s="503"/>
      <c r="G53" s="467"/>
      <c r="H53" s="503"/>
      <c r="I53" s="503"/>
      <c r="J53" s="490">
        <v>-1.274027397260274</v>
      </c>
      <c r="K53" s="504">
        <v>0</v>
      </c>
      <c r="L53" s="504">
        <v>0</v>
      </c>
      <c r="M53" s="502">
        <v>9187.5</v>
      </c>
      <c r="N53" s="502">
        <v>0</v>
      </c>
      <c r="O53" s="502">
        <v>9187.4999999998836</v>
      </c>
      <c r="P53" s="500"/>
      <c r="Q53" s="501"/>
      <c r="R53" s="561"/>
      <c r="S53" s="561"/>
      <c r="T53" s="562" t="s">
        <v>229</v>
      </c>
      <c r="U53" s="562" t="s">
        <v>229</v>
      </c>
      <c r="V53" s="405">
        <v>-436362.5</v>
      </c>
      <c r="W53" s="562" t="s">
        <v>229</v>
      </c>
      <c r="X53" s="562" t="s">
        <v>229</v>
      </c>
      <c r="Y53" s="185"/>
      <c r="Z53" s="565"/>
    </row>
    <row r="54" spans="1:26" ht="8.1" customHeight="1" x14ac:dyDescent="0.2">
      <c r="A54" s="466"/>
      <c r="B54" s="467"/>
      <c r="C54" s="503"/>
      <c r="D54" s="467"/>
      <c r="E54" s="503"/>
      <c r="F54" s="503"/>
      <c r="G54" s="467"/>
      <c r="H54" s="503"/>
      <c r="I54" s="503"/>
      <c r="J54" s="490"/>
      <c r="K54" s="504"/>
      <c r="L54" s="505"/>
      <c r="M54" s="502"/>
      <c r="N54" s="502"/>
      <c r="O54" s="502"/>
      <c r="P54" s="500"/>
      <c r="Q54" s="501"/>
      <c r="R54" s="561"/>
      <c r="S54" s="561"/>
      <c r="T54" s="562" t="s">
        <v>229</v>
      </c>
      <c r="U54" s="562" t="s">
        <v>229</v>
      </c>
      <c r="V54" s="405"/>
      <c r="W54" s="562" t="s">
        <v>229</v>
      </c>
      <c r="X54" s="562" t="s">
        <v>229</v>
      </c>
      <c r="Y54" s="185"/>
      <c r="Z54" s="565"/>
    </row>
    <row r="55" spans="1:26" x14ac:dyDescent="0.2">
      <c r="A55" s="466"/>
      <c r="B55" s="467" t="s">
        <v>25</v>
      </c>
      <c r="C55" s="467" t="s">
        <v>61</v>
      </c>
      <c r="D55" s="467" t="s">
        <v>75</v>
      </c>
      <c r="E55" s="467" t="s">
        <v>64</v>
      </c>
      <c r="F55" s="487" t="s">
        <v>53</v>
      </c>
      <c r="G55" s="488">
        <v>36754</v>
      </c>
      <c r="H55" s="489">
        <v>3.585</v>
      </c>
      <c r="I55" s="489">
        <v>5.0101666666666667</v>
      </c>
      <c r="J55" s="490">
        <v>0.1</v>
      </c>
      <c r="K55" s="491">
        <v>1825000</v>
      </c>
      <c r="L55" s="491">
        <v>5000</v>
      </c>
      <c r="M55" s="492">
        <v>-2580537.5</v>
      </c>
      <c r="N55" s="493">
        <v>-2096025</v>
      </c>
      <c r="O55" s="493">
        <v>-484512.5</v>
      </c>
      <c r="P55" s="473"/>
      <c r="Q55" s="494">
        <v>484512.5</v>
      </c>
      <c r="R55" s="404">
        <v>2348610</v>
      </c>
      <c r="S55" s="404">
        <v>-1864097.5</v>
      </c>
      <c r="T55" s="562" t="s">
        <v>229</v>
      </c>
      <c r="U55" s="562">
        <v>-1864097.5</v>
      </c>
      <c r="V55" s="447">
        <v>-484512.5</v>
      </c>
      <c r="W55" s="562" t="s">
        <v>229</v>
      </c>
      <c r="X55" s="562">
        <v>484512.5</v>
      </c>
      <c r="Y55" s="185" t="s">
        <v>25</v>
      </c>
      <c r="Z55" s="565">
        <f>SUM(Q43:Q57)</f>
        <v>2103900</v>
      </c>
    </row>
    <row r="56" spans="1:26" x14ac:dyDescent="0.2">
      <c r="A56" s="466"/>
      <c r="B56" s="467" t="s">
        <v>25</v>
      </c>
      <c r="C56" s="467" t="s">
        <v>179</v>
      </c>
      <c r="D56" s="467"/>
      <c r="E56" s="467" t="s">
        <v>137</v>
      </c>
      <c r="F56" s="487" t="s">
        <v>53</v>
      </c>
      <c r="G56" s="467"/>
      <c r="H56" s="495">
        <v>3.585</v>
      </c>
      <c r="I56" s="495">
        <v>5.0101666666666667</v>
      </c>
      <c r="J56" s="496">
        <v>-1.419027397260274</v>
      </c>
      <c r="K56" s="497">
        <v>-1825000</v>
      </c>
      <c r="L56" s="497">
        <v>-5000</v>
      </c>
      <c r="M56" s="498">
        <v>2589725</v>
      </c>
      <c r="N56" s="499">
        <v>2096025</v>
      </c>
      <c r="O56" s="499">
        <v>493700</v>
      </c>
      <c r="P56" s="500"/>
      <c r="Q56" s="501"/>
      <c r="R56" s="561"/>
      <c r="S56" s="561"/>
      <c r="T56" s="562" t="s">
        <v>229</v>
      </c>
      <c r="U56" s="562">
        <v>0</v>
      </c>
      <c r="V56" s="564"/>
      <c r="W56" s="562" t="s">
        <v>229</v>
      </c>
      <c r="X56" s="562">
        <v>0</v>
      </c>
      <c r="Y56" s="185" t="s">
        <v>25</v>
      </c>
      <c r="Z56" s="567">
        <f>SUM(X43:X56)</f>
        <v>2103900</v>
      </c>
    </row>
    <row r="57" spans="1:26" x14ac:dyDescent="0.2">
      <c r="A57" s="466"/>
      <c r="B57" s="467"/>
      <c r="C57" s="503"/>
      <c r="D57" s="467"/>
      <c r="E57" s="503"/>
      <c r="F57" s="487"/>
      <c r="G57" s="467"/>
      <c r="H57" s="503"/>
      <c r="I57" s="503"/>
      <c r="J57" s="490">
        <v>-1.319027397260274</v>
      </c>
      <c r="K57" s="504">
        <v>0</v>
      </c>
      <c r="L57" s="504">
        <v>0</v>
      </c>
      <c r="M57" s="502">
        <v>9187.5</v>
      </c>
      <c r="N57" s="502">
        <v>0</v>
      </c>
      <c r="O57" s="502">
        <v>9187.4999999998836</v>
      </c>
      <c r="P57" s="500"/>
      <c r="Q57" s="501"/>
      <c r="R57" s="561"/>
      <c r="S57" s="561"/>
      <c r="T57" s="562" t="s">
        <v>229</v>
      </c>
      <c r="U57" s="562" t="s">
        <v>229</v>
      </c>
      <c r="V57" s="405">
        <v>-484512.5</v>
      </c>
      <c r="W57" s="562" t="s">
        <v>229</v>
      </c>
      <c r="X57" s="562" t="s">
        <v>229</v>
      </c>
      <c r="Y57" s="185"/>
      <c r="Z57" s="565"/>
    </row>
    <row r="58" spans="1:26" ht="8.1" customHeight="1" x14ac:dyDescent="0.2">
      <c r="B58" s="57"/>
      <c r="C58" s="58"/>
      <c r="D58" s="57"/>
      <c r="E58" s="58"/>
      <c r="F58" s="51"/>
      <c r="G58" s="57"/>
      <c r="H58" s="58"/>
      <c r="I58" s="58"/>
      <c r="J58" s="60"/>
      <c r="K58" s="68"/>
      <c r="L58" s="106"/>
      <c r="M58" s="87"/>
      <c r="N58" s="87"/>
      <c r="O58" s="87"/>
      <c r="P58" s="262"/>
      <c r="Q58" s="261"/>
      <c r="R58" s="561"/>
      <c r="S58" s="561"/>
      <c r="T58" s="562" t="s">
        <v>229</v>
      </c>
      <c r="U58" s="562" t="s">
        <v>229</v>
      </c>
      <c r="V58" s="405"/>
      <c r="W58" s="562" t="s">
        <v>229</v>
      </c>
      <c r="X58" s="562" t="s">
        <v>229</v>
      </c>
      <c r="Y58" s="185"/>
      <c r="Z58" s="565"/>
    </row>
    <row r="59" spans="1:26" x14ac:dyDescent="0.2">
      <c r="A59" s="507"/>
      <c r="B59" s="449" t="s">
        <v>25</v>
      </c>
      <c r="C59" s="508" t="s">
        <v>31</v>
      </c>
      <c r="D59" s="449" t="s">
        <v>199</v>
      </c>
      <c r="E59" s="449" t="s">
        <v>64</v>
      </c>
      <c r="F59" s="509" t="s">
        <v>132</v>
      </c>
      <c r="G59" s="510">
        <v>36957</v>
      </c>
      <c r="H59" s="511">
        <v>5.05</v>
      </c>
      <c r="I59" s="511">
        <v>3.9688750000000002</v>
      </c>
      <c r="J59" s="512">
        <v>1.0811249999999997</v>
      </c>
      <c r="K59" s="513">
        <v>1825000</v>
      </c>
      <c r="L59" s="514">
        <v>5000</v>
      </c>
      <c r="M59" s="515">
        <v>1975845</v>
      </c>
      <c r="N59" s="515">
        <v>0</v>
      </c>
      <c r="O59" s="515">
        <v>1975845</v>
      </c>
      <c r="P59" s="455"/>
      <c r="Q59" s="516">
        <v>-1975845</v>
      </c>
      <c r="R59" s="404">
        <v>-503015</v>
      </c>
      <c r="S59" s="404">
        <v>-1472830</v>
      </c>
      <c r="T59" s="562" t="s">
        <v>229</v>
      </c>
      <c r="U59" s="562">
        <v>-1472830</v>
      </c>
      <c r="V59" s="244">
        <v>733260</v>
      </c>
      <c r="W59" s="562" t="s">
        <v>229</v>
      </c>
      <c r="X59" s="562">
        <v>-733260</v>
      </c>
      <c r="Y59" s="185" t="s">
        <v>25</v>
      </c>
      <c r="Z59" s="568"/>
    </row>
    <row r="60" spans="1:26" x14ac:dyDescent="0.2">
      <c r="A60" s="507"/>
      <c r="B60" s="449" t="s">
        <v>25</v>
      </c>
      <c r="C60" s="517" t="s">
        <v>201</v>
      </c>
      <c r="D60" s="449">
        <v>22948</v>
      </c>
      <c r="E60" s="449" t="s">
        <v>137</v>
      </c>
      <c r="F60" s="509" t="s">
        <v>132</v>
      </c>
      <c r="G60" s="449"/>
      <c r="H60" s="518">
        <v>3.9809583333333336</v>
      </c>
      <c r="I60" s="518">
        <v>5.05</v>
      </c>
      <c r="J60" s="518">
        <v>-1.0690416666666662</v>
      </c>
      <c r="K60" s="519">
        <v>-1825000</v>
      </c>
      <c r="L60" s="519">
        <v>-5000</v>
      </c>
      <c r="M60" s="520">
        <v>-1953820</v>
      </c>
      <c r="N60" s="521">
        <v>0</v>
      </c>
      <c r="O60" s="521">
        <v>-1953820</v>
      </c>
      <c r="P60" s="517"/>
      <c r="Q60" s="516"/>
      <c r="R60" s="561"/>
      <c r="S60" s="561"/>
      <c r="T60" s="562" t="s">
        <v>229</v>
      </c>
      <c r="U60" s="562">
        <v>0</v>
      </c>
      <c r="V60" s="564"/>
      <c r="W60" s="562" t="s">
        <v>229</v>
      </c>
      <c r="X60" s="562">
        <v>0</v>
      </c>
      <c r="Y60" s="185" t="s">
        <v>25</v>
      </c>
      <c r="Z60" s="565"/>
    </row>
    <row r="61" spans="1:26" x14ac:dyDescent="0.2">
      <c r="A61" s="448"/>
      <c r="B61" s="449"/>
      <c r="C61" s="508"/>
      <c r="D61" s="449"/>
      <c r="E61" s="508"/>
      <c r="F61" s="509"/>
      <c r="G61" s="449"/>
      <c r="H61" s="508"/>
      <c r="I61" s="508"/>
      <c r="J61" s="512">
        <v>1.2083333333333446E-2</v>
      </c>
      <c r="K61" s="522">
        <v>0</v>
      </c>
      <c r="L61" s="522">
        <v>0</v>
      </c>
      <c r="M61" s="523">
        <v>22025</v>
      </c>
      <c r="N61" s="523">
        <v>0</v>
      </c>
      <c r="O61" s="523">
        <v>22025</v>
      </c>
      <c r="P61" s="517"/>
      <c r="Q61" s="516"/>
      <c r="R61" s="561"/>
      <c r="S61" s="561"/>
      <c r="T61" s="562" t="s">
        <v>229</v>
      </c>
      <c r="U61" s="562" t="s">
        <v>229</v>
      </c>
      <c r="V61" s="405">
        <v>733260</v>
      </c>
      <c r="W61" s="562" t="s">
        <v>229</v>
      </c>
      <c r="X61" s="562" t="s">
        <v>229</v>
      </c>
      <c r="Y61" s="185"/>
      <c r="Z61" s="568"/>
    </row>
    <row r="62" spans="1:26" ht="8.1" customHeight="1" x14ac:dyDescent="0.2">
      <c r="A62" s="448"/>
      <c r="B62" s="449"/>
      <c r="C62" s="508"/>
      <c r="D62" s="449"/>
      <c r="E62" s="508"/>
      <c r="F62" s="509"/>
      <c r="G62" s="449"/>
      <c r="H62" s="508"/>
      <c r="I62" s="508"/>
      <c r="J62" s="512"/>
      <c r="K62" s="522"/>
      <c r="L62" s="524"/>
      <c r="M62" s="523"/>
      <c r="N62" s="523"/>
      <c r="O62" s="523"/>
      <c r="P62" s="517"/>
      <c r="Q62" s="525"/>
      <c r="R62" s="561"/>
      <c r="S62" s="561"/>
      <c r="T62" s="562" t="s">
        <v>229</v>
      </c>
      <c r="U62" s="562" t="s">
        <v>229</v>
      </c>
      <c r="V62" s="405"/>
      <c r="W62" s="562" t="s">
        <v>229</v>
      </c>
      <c r="X62" s="562" t="s">
        <v>229</v>
      </c>
      <c r="Y62" s="185"/>
      <c r="Z62" s="565"/>
    </row>
    <row r="63" spans="1:26" x14ac:dyDescent="0.2">
      <c r="A63" s="448"/>
      <c r="B63" s="449" t="s">
        <v>25</v>
      </c>
      <c r="C63" s="508" t="s">
        <v>94</v>
      </c>
      <c r="D63" s="449" t="s">
        <v>170</v>
      </c>
      <c r="E63" s="449" t="s">
        <v>64</v>
      </c>
      <c r="F63" s="509" t="s">
        <v>172</v>
      </c>
      <c r="G63" s="510">
        <v>36902</v>
      </c>
      <c r="H63" s="511">
        <v>4.1630000000000003</v>
      </c>
      <c r="I63" s="511">
        <v>4.133</v>
      </c>
      <c r="J63" s="511">
        <v>3.0000000000000249E-2</v>
      </c>
      <c r="K63" s="513">
        <v>-418500</v>
      </c>
      <c r="L63" s="514">
        <v>-13500</v>
      </c>
      <c r="M63" s="515">
        <v>-12555.000000000104</v>
      </c>
      <c r="N63" s="515">
        <v>0</v>
      </c>
      <c r="O63" s="515">
        <v>-12555.000000000104</v>
      </c>
      <c r="P63" s="455"/>
      <c r="Q63" s="516">
        <v>12555.000000000104</v>
      </c>
      <c r="R63" s="404">
        <v>-22180.5</v>
      </c>
      <c r="S63" s="404">
        <v>34735.50000000008</v>
      </c>
      <c r="T63" s="562" t="s">
        <v>229</v>
      </c>
      <c r="U63" s="562">
        <v>34735.50000000008</v>
      </c>
      <c r="V63" s="244">
        <v>-12555.000000000104</v>
      </c>
      <c r="W63" s="562" t="s">
        <v>229</v>
      </c>
      <c r="X63" s="562">
        <v>12555.000000000104</v>
      </c>
      <c r="Y63" s="185" t="s">
        <v>25</v>
      </c>
      <c r="Z63" s="565"/>
    </row>
    <row r="64" spans="1:26" x14ac:dyDescent="0.2">
      <c r="A64" s="448"/>
      <c r="B64" s="449" t="s">
        <v>25</v>
      </c>
      <c r="C64" s="508" t="s">
        <v>94</v>
      </c>
      <c r="D64" s="449" t="s">
        <v>171</v>
      </c>
      <c r="E64" s="449" t="s">
        <v>64</v>
      </c>
      <c r="F64" s="509" t="s">
        <v>172</v>
      </c>
      <c r="G64" s="451">
        <v>36902</v>
      </c>
      <c r="H64" s="526">
        <v>5.2730000000000006</v>
      </c>
      <c r="I64" s="526">
        <v>7.923</v>
      </c>
      <c r="J64" s="526">
        <v>-2.65</v>
      </c>
      <c r="K64" s="513">
        <v>418500</v>
      </c>
      <c r="L64" s="514">
        <v>13500</v>
      </c>
      <c r="M64" s="527">
        <v>-1109025</v>
      </c>
      <c r="N64" s="527">
        <v>0</v>
      </c>
      <c r="O64" s="527">
        <v>-1109025</v>
      </c>
      <c r="P64" s="455"/>
      <c r="Q64" s="516">
        <v>1109025</v>
      </c>
      <c r="R64" s="404">
        <v>2538202.5</v>
      </c>
      <c r="S64" s="404">
        <v>-1429177.5</v>
      </c>
      <c r="T64" s="562" t="s">
        <v>229</v>
      </c>
      <c r="U64" s="562">
        <v>-1429177.5</v>
      </c>
      <c r="V64" s="404">
        <v>-1109025</v>
      </c>
      <c r="W64" s="562" t="s">
        <v>229</v>
      </c>
      <c r="X64" s="562">
        <v>1109025</v>
      </c>
      <c r="Y64" s="185" t="s">
        <v>25</v>
      </c>
      <c r="Z64" s="565"/>
    </row>
    <row r="65" spans="1:26" x14ac:dyDescent="0.2">
      <c r="A65" s="448"/>
      <c r="B65" s="449" t="s">
        <v>25</v>
      </c>
      <c r="C65" s="508" t="s">
        <v>158</v>
      </c>
      <c r="D65" s="449">
        <v>27457</v>
      </c>
      <c r="E65" s="449" t="s">
        <v>138</v>
      </c>
      <c r="F65" s="509" t="s">
        <v>172</v>
      </c>
      <c r="G65" s="510">
        <v>36902</v>
      </c>
      <c r="H65" s="528"/>
      <c r="I65" s="528"/>
      <c r="J65" s="528"/>
      <c r="K65" s="519"/>
      <c r="L65" s="529"/>
      <c r="M65" s="520">
        <v>1121580</v>
      </c>
      <c r="N65" s="520">
        <v>0</v>
      </c>
      <c r="O65" s="520">
        <v>1121580</v>
      </c>
      <c r="P65" s="517"/>
      <c r="Q65" s="525"/>
      <c r="R65" s="561"/>
      <c r="S65" s="561"/>
      <c r="T65" s="562" t="s">
        <v>229</v>
      </c>
      <c r="U65" s="562">
        <v>0</v>
      </c>
      <c r="V65" s="403"/>
      <c r="W65" s="562" t="s">
        <v>229</v>
      </c>
      <c r="X65" s="562">
        <v>0</v>
      </c>
      <c r="Y65" s="185" t="s">
        <v>25</v>
      </c>
      <c r="Z65" s="565"/>
    </row>
    <row r="66" spans="1:26" x14ac:dyDescent="0.2">
      <c r="A66" s="448"/>
      <c r="B66" s="449"/>
      <c r="C66" s="508"/>
      <c r="D66" s="449"/>
      <c r="E66" s="449"/>
      <c r="F66" s="509"/>
      <c r="G66" s="510"/>
      <c r="H66" s="508"/>
      <c r="I66" s="508"/>
      <c r="J66" s="512"/>
      <c r="K66" s="513"/>
      <c r="L66" s="514"/>
      <c r="M66" s="515">
        <v>0</v>
      </c>
      <c r="N66" s="515">
        <v>0</v>
      </c>
      <c r="O66" s="515">
        <v>0</v>
      </c>
      <c r="P66" s="517"/>
      <c r="Q66" s="525"/>
      <c r="R66" s="561"/>
      <c r="S66" s="561"/>
      <c r="T66" s="562" t="s">
        <v>229</v>
      </c>
      <c r="U66" s="562" t="s">
        <v>229</v>
      </c>
      <c r="V66" s="244">
        <v>-1121580</v>
      </c>
      <c r="W66" s="562" t="s">
        <v>229</v>
      </c>
      <c r="X66" s="562" t="s">
        <v>229</v>
      </c>
      <c r="Y66" s="185"/>
      <c r="Z66" s="565"/>
    </row>
    <row r="67" spans="1:26" ht="8.1" customHeight="1" x14ac:dyDescent="0.2">
      <c r="A67" s="448"/>
      <c r="B67" s="449"/>
      <c r="C67" s="508"/>
      <c r="D67" s="449"/>
      <c r="E67" s="508"/>
      <c r="F67" s="509"/>
      <c r="G67" s="449"/>
      <c r="H67" s="508"/>
      <c r="I67" s="508"/>
      <c r="J67" s="512"/>
      <c r="K67" s="522"/>
      <c r="L67" s="524"/>
      <c r="M67" s="523"/>
      <c r="N67" s="523"/>
      <c r="O67" s="523"/>
      <c r="P67" s="517"/>
      <c r="Q67" s="525"/>
      <c r="R67" s="561"/>
      <c r="S67" s="561"/>
      <c r="T67" s="562" t="s">
        <v>229</v>
      </c>
      <c r="U67" s="562" t="s">
        <v>229</v>
      </c>
      <c r="V67" s="405"/>
      <c r="W67" s="562" t="s">
        <v>229</v>
      </c>
      <c r="X67" s="562" t="s">
        <v>229</v>
      </c>
      <c r="Y67" s="185"/>
      <c r="Z67" s="565"/>
    </row>
    <row r="68" spans="1:26" x14ac:dyDescent="0.2">
      <c r="A68" s="448"/>
      <c r="B68" s="449" t="s">
        <v>25</v>
      </c>
      <c r="C68" s="508" t="s">
        <v>94</v>
      </c>
      <c r="D68" s="449" t="s">
        <v>131</v>
      </c>
      <c r="E68" s="449" t="s">
        <v>64</v>
      </c>
      <c r="F68" s="509" t="s">
        <v>132</v>
      </c>
      <c r="G68" s="510">
        <v>36903</v>
      </c>
      <c r="H68" s="511">
        <v>3.7061666666666664</v>
      </c>
      <c r="I68" s="511">
        <v>3.6628333333333329</v>
      </c>
      <c r="J68" s="512">
        <v>4.3333333333333446E-2</v>
      </c>
      <c r="K68" s="513">
        <v>-10037500</v>
      </c>
      <c r="L68" s="514">
        <v>-27500</v>
      </c>
      <c r="M68" s="515">
        <v>-438900</v>
      </c>
      <c r="N68" s="515">
        <v>0</v>
      </c>
      <c r="O68" s="515">
        <v>-438900</v>
      </c>
      <c r="P68" s="455"/>
      <c r="Q68" s="516">
        <v>438900</v>
      </c>
      <c r="R68" s="404">
        <v>-1498970</v>
      </c>
      <c r="S68" s="404">
        <v>1937870</v>
      </c>
      <c r="T68" s="562" t="s">
        <v>229</v>
      </c>
      <c r="U68" s="562">
        <v>1937870</v>
      </c>
      <c r="V68" s="244">
        <v>-110275</v>
      </c>
      <c r="W68" s="562" t="s">
        <v>229</v>
      </c>
      <c r="X68" s="562">
        <v>110275</v>
      </c>
      <c r="Y68" s="185" t="s">
        <v>25</v>
      </c>
      <c r="Z68" s="565"/>
    </row>
    <row r="69" spans="1:26" x14ac:dyDescent="0.2">
      <c r="A69" s="448"/>
      <c r="B69" s="449" t="s">
        <v>25</v>
      </c>
      <c r="C69" s="508" t="s">
        <v>94</v>
      </c>
      <c r="D69" s="449" t="s">
        <v>133</v>
      </c>
      <c r="E69" s="449" t="s">
        <v>64</v>
      </c>
      <c r="F69" s="509" t="s">
        <v>132</v>
      </c>
      <c r="G69" s="510">
        <v>36903</v>
      </c>
      <c r="H69" s="511">
        <v>5.0261666666666667</v>
      </c>
      <c r="I69" s="526">
        <v>5.33575</v>
      </c>
      <c r="J69" s="530">
        <v>-0.30958333333333332</v>
      </c>
      <c r="K69" s="531">
        <v>-10037500</v>
      </c>
      <c r="L69" s="531">
        <v>-27500</v>
      </c>
      <c r="M69" s="527">
        <v>-3012350</v>
      </c>
      <c r="N69" s="515">
        <v>0</v>
      </c>
      <c r="O69" s="527">
        <v>-3012350</v>
      </c>
      <c r="P69" s="455"/>
      <c r="Q69" s="516">
        <v>3012350</v>
      </c>
      <c r="R69" s="404">
        <v>21839262.5</v>
      </c>
      <c r="S69" s="404">
        <v>-18826912.5</v>
      </c>
      <c r="T69" s="562" t="s">
        <v>229</v>
      </c>
      <c r="U69" s="562">
        <v>-18826912.5</v>
      </c>
      <c r="V69" s="404">
        <v>-3337537.5</v>
      </c>
      <c r="W69" s="562" t="s">
        <v>229</v>
      </c>
      <c r="X69" s="562">
        <v>3337537.5</v>
      </c>
      <c r="Y69" s="185" t="s">
        <v>25</v>
      </c>
      <c r="Z69" s="565"/>
    </row>
    <row r="70" spans="1:26" x14ac:dyDescent="0.2">
      <c r="A70" s="448"/>
      <c r="B70" s="449" t="s">
        <v>25</v>
      </c>
      <c r="C70" s="508" t="s">
        <v>111</v>
      </c>
      <c r="D70" s="449">
        <v>27454</v>
      </c>
      <c r="E70" s="449" t="s">
        <v>138</v>
      </c>
      <c r="F70" s="509" t="s">
        <v>132</v>
      </c>
      <c r="G70" s="510">
        <v>36901</v>
      </c>
      <c r="H70" s="518"/>
      <c r="I70" s="518"/>
      <c r="J70" s="528"/>
      <c r="K70" s="519"/>
      <c r="L70" s="529"/>
      <c r="M70" s="520">
        <v>3451250</v>
      </c>
      <c r="N70" s="520">
        <v>0</v>
      </c>
      <c r="O70" s="520">
        <v>3451250</v>
      </c>
      <c r="P70" s="517"/>
      <c r="Q70" s="525"/>
      <c r="R70" s="561"/>
      <c r="S70" s="561"/>
      <c r="T70" s="562" t="s">
        <v>229</v>
      </c>
      <c r="U70" s="562">
        <v>0</v>
      </c>
      <c r="V70" s="403"/>
      <c r="W70" s="562" t="s">
        <v>229</v>
      </c>
      <c r="X70" s="562">
        <v>0</v>
      </c>
      <c r="Y70" s="185" t="s">
        <v>25</v>
      </c>
      <c r="Z70" s="565"/>
    </row>
    <row r="71" spans="1:26" x14ac:dyDescent="0.2">
      <c r="A71" s="448"/>
      <c r="B71" s="449"/>
      <c r="C71" s="508"/>
      <c r="D71" s="449"/>
      <c r="E71" s="508"/>
      <c r="F71" s="509"/>
      <c r="G71" s="449"/>
      <c r="H71" s="508"/>
      <c r="I71" s="508"/>
      <c r="J71" s="512"/>
      <c r="K71" s="522"/>
      <c r="L71" s="524"/>
      <c r="M71" s="523">
        <v>0</v>
      </c>
      <c r="N71" s="523">
        <v>0</v>
      </c>
      <c r="O71" s="523">
        <v>0</v>
      </c>
      <c r="P71" s="517"/>
      <c r="Q71" s="525"/>
      <c r="R71" s="561"/>
      <c r="S71" s="561"/>
      <c r="T71" s="562" t="s">
        <v>229</v>
      </c>
      <c r="U71" s="562" t="s">
        <v>229</v>
      </c>
      <c r="V71" s="405">
        <v>-3447812.5</v>
      </c>
      <c r="W71" s="562" t="s">
        <v>229</v>
      </c>
      <c r="X71" s="562" t="s">
        <v>229</v>
      </c>
      <c r="Y71" s="185"/>
      <c r="Z71" s="565"/>
    </row>
    <row r="72" spans="1:26" ht="8.1" customHeight="1" x14ac:dyDescent="0.2">
      <c r="A72" s="448"/>
      <c r="B72" s="449"/>
      <c r="C72" s="508"/>
      <c r="D72" s="449"/>
      <c r="E72" s="508"/>
      <c r="F72" s="509"/>
      <c r="G72" s="449"/>
      <c r="H72" s="508"/>
      <c r="I72" s="508"/>
      <c r="J72" s="512"/>
      <c r="K72" s="522"/>
      <c r="L72" s="524"/>
      <c r="M72" s="523"/>
      <c r="N72" s="523"/>
      <c r="O72" s="523"/>
      <c r="P72" s="517"/>
      <c r="Q72" s="525"/>
      <c r="R72" s="561"/>
      <c r="S72" s="561"/>
      <c r="T72" s="562" t="s">
        <v>229</v>
      </c>
      <c r="U72" s="562" t="s">
        <v>229</v>
      </c>
      <c r="V72" s="405"/>
      <c r="W72" s="562" t="s">
        <v>229</v>
      </c>
      <c r="X72" s="562" t="s">
        <v>229</v>
      </c>
      <c r="Y72" s="185"/>
      <c r="Z72" s="565"/>
    </row>
    <row r="73" spans="1:26" x14ac:dyDescent="0.2">
      <c r="A73" s="448"/>
      <c r="B73" s="449" t="s">
        <v>25</v>
      </c>
      <c r="C73" s="508" t="s">
        <v>94</v>
      </c>
      <c r="D73" s="449" t="s">
        <v>176</v>
      </c>
      <c r="E73" s="449" t="s">
        <v>64</v>
      </c>
      <c r="F73" s="509" t="s">
        <v>180</v>
      </c>
      <c r="G73" s="510">
        <v>36907</v>
      </c>
      <c r="H73" s="511">
        <v>4.8989999999999991</v>
      </c>
      <c r="I73" s="511">
        <v>5.0289999999999999</v>
      </c>
      <c r="J73" s="511">
        <v>-0.13000000000000078</v>
      </c>
      <c r="K73" s="513">
        <v>1311500</v>
      </c>
      <c r="L73" s="514">
        <v>21500</v>
      </c>
      <c r="M73" s="515">
        <v>-170495</v>
      </c>
      <c r="N73" s="515">
        <v>0</v>
      </c>
      <c r="O73" s="515">
        <v>-170495</v>
      </c>
      <c r="P73" s="455"/>
      <c r="Q73" s="516">
        <v>170495</v>
      </c>
      <c r="R73" s="404">
        <v>1311500</v>
      </c>
      <c r="S73" s="404">
        <v>-1141005</v>
      </c>
      <c r="T73" s="562" t="s">
        <v>229</v>
      </c>
      <c r="U73" s="562">
        <v>-1141005</v>
      </c>
      <c r="V73" s="244">
        <v>0</v>
      </c>
      <c r="W73" s="562" t="s">
        <v>229</v>
      </c>
      <c r="X73" s="562">
        <v>0</v>
      </c>
      <c r="Y73" s="185" t="s">
        <v>25</v>
      </c>
      <c r="Z73" s="565"/>
    </row>
    <row r="74" spans="1:26" x14ac:dyDescent="0.2">
      <c r="A74" s="448"/>
      <c r="B74" s="449" t="s">
        <v>25</v>
      </c>
      <c r="C74" s="508" t="s">
        <v>94</v>
      </c>
      <c r="D74" s="449" t="s">
        <v>177</v>
      </c>
      <c r="E74" s="449" t="s">
        <v>64</v>
      </c>
      <c r="F74" s="509" t="s">
        <v>180</v>
      </c>
      <c r="G74" s="510">
        <v>36907</v>
      </c>
      <c r="H74" s="511">
        <v>4.8989999999999991</v>
      </c>
      <c r="I74" s="511">
        <v>3.859</v>
      </c>
      <c r="J74" s="511">
        <v>1.04</v>
      </c>
      <c r="K74" s="513">
        <v>-1311500</v>
      </c>
      <c r="L74" s="514">
        <v>-21500</v>
      </c>
      <c r="M74" s="515">
        <v>-52460</v>
      </c>
      <c r="N74" s="515">
        <v>0</v>
      </c>
      <c r="O74" s="515">
        <v>-52460</v>
      </c>
      <c r="P74" s="455"/>
      <c r="Q74" s="516">
        <v>52460</v>
      </c>
      <c r="R74" s="404">
        <v>-36722.000000000611</v>
      </c>
      <c r="S74" s="404">
        <v>89182.000000000655</v>
      </c>
      <c r="T74" s="562" t="s">
        <v>229</v>
      </c>
      <c r="U74" s="562">
        <v>89182.000000000655</v>
      </c>
      <c r="V74" s="244">
        <v>0</v>
      </c>
      <c r="W74" s="562" t="s">
        <v>229</v>
      </c>
      <c r="X74" s="562">
        <v>0</v>
      </c>
      <c r="Y74" s="185" t="s">
        <v>25</v>
      </c>
      <c r="Z74" s="565"/>
    </row>
    <row r="75" spans="1:26" x14ac:dyDescent="0.2">
      <c r="A75" s="448"/>
      <c r="B75" s="449" t="s">
        <v>25</v>
      </c>
      <c r="C75" s="508" t="s">
        <v>158</v>
      </c>
      <c r="D75" s="449">
        <v>27456</v>
      </c>
      <c r="E75" s="449" t="s">
        <v>138</v>
      </c>
      <c r="F75" s="509" t="s">
        <v>180</v>
      </c>
      <c r="G75" s="510">
        <v>36902</v>
      </c>
      <c r="H75" s="518"/>
      <c r="I75" s="518"/>
      <c r="J75" s="518"/>
      <c r="K75" s="519"/>
      <c r="L75" s="529"/>
      <c r="M75" s="520">
        <v>222955</v>
      </c>
      <c r="N75" s="520">
        <v>0</v>
      </c>
      <c r="O75" s="520">
        <v>222955</v>
      </c>
      <c r="P75" s="517"/>
      <c r="Q75" s="525"/>
      <c r="R75" s="561"/>
      <c r="S75" s="561"/>
      <c r="T75" s="562" t="s">
        <v>229</v>
      </c>
      <c r="U75" s="562">
        <v>0</v>
      </c>
      <c r="V75" s="403"/>
      <c r="W75" s="562" t="s">
        <v>229</v>
      </c>
      <c r="X75" s="562">
        <v>0</v>
      </c>
      <c r="Y75" s="185" t="s">
        <v>25</v>
      </c>
      <c r="Z75" s="565"/>
    </row>
    <row r="76" spans="1:26" x14ac:dyDescent="0.2">
      <c r="A76" s="448"/>
      <c r="B76" s="449"/>
      <c r="C76" s="508"/>
      <c r="D76" s="449"/>
      <c r="E76" s="508"/>
      <c r="F76" s="509"/>
      <c r="G76" s="449"/>
      <c r="H76" s="511"/>
      <c r="I76" s="511"/>
      <c r="J76" s="511"/>
      <c r="K76" s="513"/>
      <c r="L76" s="514"/>
      <c r="M76" s="515">
        <v>0</v>
      </c>
      <c r="N76" s="515">
        <v>0</v>
      </c>
      <c r="O76" s="515">
        <v>0</v>
      </c>
      <c r="P76" s="517"/>
      <c r="Q76" s="525"/>
      <c r="R76" s="561"/>
      <c r="S76" s="561"/>
      <c r="T76" s="562" t="s">
        <v>229</v>
      </c>
      <c r="U76" s="562" t="s">
        <v>229</v>
      </c>
      <c r="V76" s="244">
        <v>0</v>
      </c>
      <c r="W76" s="562" t="s">
        <v>229</v>
      </c>
      <c r="X76" s="562" t="s">
        <v>229</v>
      </c>
      <c r="Y76" s="185"/>
      <c r="Z76" s="565"/>
    </row>
    <row r="77" spans="1:26" ht="8.1" customHeight="1" x14ac:dyDescent="0.2">
      <c r="A77" s="448"/>
      <c r="B77" s="449"/>
      <c r="C77" s="508"/>
      <c r="D77" s="449"/>
      <c r="E77" s="508"/>
      <c r="F77" s="509"/>
      <c r="G77" s="449"/>
      <c r="H77" s="508"/>
      <c r="I77" s="508"/>
      <c r="J77" s="512"/>
      <c r="K77" s="522"/>
      <c r="L77" s="524"/>
      <c r="M77" s="523"/>
      <c r="N77" s="523"/>
      <c r="O77" s="523"/>
      <c r="P77" s="517"/>
      <c r="Q77" s="525"/>
      <c r="R77" s="561"/>
      <c r="S77" s="561"/>
      <c r="T77" s="562" t="s">
        <v>229</v>
      </c>
      <c r="U77" s="562" t="s">
        <v>229</v>
      </c>
      <c r="V77" s="405"/>
      <c r="W77" s="562" t="s">
        <v>229</v>
      </c>
      <c r="X77" s="562" t="s">
        <v>229</v>
      </c>
      <c r="Y77" s="185"/>
      <c r="Z77" s="565"/>
    </row>
    <row r="78" spans="1:26" x14ac:dyDescent="0.2">
      <c r="A78" s="448"/>
      <c r="B78" s="449" t="s">
        <v>25</v>
      </c>
      <c r="C78" s="508" t="s">
        <v>94</v>
      </c>
      <c r="D78" s="449" t="s">
        <v>156</v>
      </c>
      <c r="E78" s="449" t="s">
        <v>64</v>
      </c>
      <c r="F78" s="509" t="s">
        <v>159</v>
      </c>
      <c r="G78" s="510">
        <v>36907</v>
      </c>
      <c r="H78" s="511">
        <v>4.8715000000000002</v>
      </c>
      <c r="I78" s="511">
        <v>4.3398333333333339</v>
      </c>
      <c r="J78" s="512">
        <v>0.53166666666666629</v>
      </c>
      <c r="K78" s="513">
        <v>13687500</v>
      </c>
      <c r="L78" s="514">
        <v>37500</v>
      </c>
      <c r="M78" s="515">
        <v>7294499.9999999991</v>
      </c>
      <c r="N78" s="515">
        <v>0</v>
      </c>
      <c r="O78" s="515">
        <v>7294499.9999999991</v>
      </c>
      <c r="P78" s="455"/>
      <c r="Q78" s="516">
        <v>-7294499.9999999991</v>
      </c>
      <c r="R78" s="404">
        <v>2745000</v>
      </c>
      <c r="S78" s="404">
        <v>-10039499.999999996</v>
      </c>
      <c r="T78" s="562" t="s">
        <v>229</v>
      </c>
      <c r="U78" s="562">
        <v>-10039499.999999996</v>
      </c>
      <c r="V78" s="244">
        <v>0</v>
      </c>
      <c r="W78" s="562" t="s">
        <v>229</v>
      </c>
      <c r="X78" s="562">
        <v>0</v>
      </c>
      <c r="Y78" s="185" t="s">
        <v>25</v>
      </c>
      <c r="Z78" s="569"/>
    </row>
    <row r="79" spans="1:26" x14ac:dyDescent="0.2">
      <c r="A79" s="448"/>
      <c r="B79" s="449" t="s">
        <v>25</v>
      </c>
      <c r="C79" s="508" t="s">
        <v>94</v>
      </c>
      <c r="D79" s="449" t="s">
        <v>157</v>
      </c>
      <c r="E79" s="449" t="s">
        <v>64</v>
      </c>
      <c r="F79" s="509" t="s">
        <v>159</v>
      </c>
      <c r="G79" s="510">
        <v>36907</v>
      </c>
      <c r="H79" s="511">
        <v>3.6915000000000009</v>
      </c>
      <c r="I79" s="511">
        <v>3.6835833333333334</v>
      </c>
      <c r="J79" s="512">
        <v>7.9166666666674601E-3</v>
      </c>
      <c r="K79" s="513">
        <v>-13687500</v>
      </c>
      <c r="L79" s="514">
        <v>-37500</v>
      </c>
      <c r="M79" s="515">
        <v>-106499.99999999924</v>
      </c>
      <c r="N79" s="515">
        <v>0</v>
      </c>
      <c r="O79" s="515">
        <v>-106499.99999999924</v>
      </c>
      <c r="P79" s="455"/>
      <c r="Q79" s="516">
        <v>106499.99999999924</v>
      </c>
      <c r="R79" s="404">
        <v>-181612.5</v>
      </c>
      <c r="S79" s="404">
        <v>288112.49999999889</v>
      </c>
      <c r="T79" s="562" t="s">
        <v>229</v>
      </c>
      <c r="U79" s="562">
        <v>288112.49999999889</v>
      </c>
      <c r="V79" s="244">
        <v>0</v>
      </c>
      <c r="W79" s="562" t="s">
        <v>229</v>
      </c>
      <c r="X79" s="562">
        <v>0</v>
      </c>
      <c r="Y79" s="185" t="s">
        <v>25</v>
      </c>
      <c r="Z79" s="565"/>
    </row>
    <row r="80" spans="1:26" x14ac:dyDescent="0.2">
      <c r="A80" s="448"/>
      <c r="B80" s="449" t="s">
        <v>25</v>
      </c>
      <c r="C80" s="508" t="s">
        <v>158</v>
      </c>
      <c r="D80" s="449">
        <v>27453</v>
      </c>
      <c r="E80" s="449" t="s">
        <v>138</v>
      </c>
      <c r="F80" s="509" t="s">
        <v>159</v>
      </c>
      <c r="G80" s="510">
        <v>36902</v>
      </c>
      <c r="H80" s="532"/>
      <c r="I80" s="532"/>
      <c r="J80" s="533"/>
      <c r="K80" s="534"/>
      <c r="L80" s="535"/>
      <c r="M80" s="520">
        <v>-7188000</v>
      </c>
      <c r="N80" s="520">
        <v>0</v>
      </c>
      <c r="O80" s="520">
        <v>-7188000</v>
      </c>
      <c r="P80" s="517"/>
      <c r="Q80" s="525"/>
      <c r="R80" s="561"/>
      <c r="S80" s="561"/>
      <c r="T80" s="562" t="s">
        <v>229</v>
      </c>
      <c r="U80" s="562">
        <v>0</v>
      </c>
      <c r="V80" s="403"/>
      <c r="W80" s="562" t="s">
        <v>229</v>
      </c>
      <c r="X80" s="562">
        <v>0</v>
      </c>
      <c r="Y80" s="185" t="s">
        <v>25</v>
      </c>
      <c r="Z80" s="565"/>
    </row>
    <row r="81" spans="1:26" x14ac:dyDescent="0.2">
      <c r="A81" s="448"/>
      <c r="B81" s="449"/>
      <c r="C81" s="508"/>
      <c r="D81" s="449"/>
      <c r="E81" s="508"/>
      <c r="F81" s="509"/>
      <c r="G81" s="449"/>
      <c r="H81" s="536"/>
      <c r="I81" s="536"/>
      <c r="J81" s="537"/>
      <c r="K81" s="522">
        <v>0</v>
      </c>
      <c r="L81" s="522">
        <v>0</v>
      </c>
      <c r="M81" s="523">
        <v>0</v>
      </c>
      <c r="N81" s="523">
        <v>0</v>
      </c>
      <c r="O81" s="523">
        <v>0</v>
      </c>
      <c r="P81" s="517"/>
      <c r="Q81" s="525"/>
      <c r="R81" s="561"/>
      <c r="S81" s="561"/>
      <c r="T81" s="562" t="s">
        <v>229</v>
      </c>
      <c r="U81" s="562" t="s">
        <v>229</v>
      </c>
      <c r="V81" s="405">
        <v>0</v>
      </c>
      <c r="W81" s="562" t="s">
        <v>229</v>
      </c>
      <c r="X81" s="562" t="s">
        <v>229</v>
      </c>
      <c r="Y81" s="185"/>
      <c r="Z81" s="565"/>
    </row>
    <row r="82" spans="1:26" x14ac:dyDescent="0.2">
      <c r="A82" s="448"/>
      <c r="B82" s="449"/>
      <c r="C82" s="508"/>
      <c r="D82" s="449"/>
      <c r="E82" s="449"/>
      <c r="F82" s="509"/>
      <c r="G82" s="510"/>
      <c r="H82" s="511"/>
      <c r="I82" s="511"/>
      <c r="J82" s="512"/>
      <c r="K82" s="513"/>
      <c r="L82" s="514"/>
      <c r="M82" s="515"/>
      <c r="N82" s="515"/>
      <c r="O82" s="515"/>
      <c r="P82" s="455"/>
      <c r="Q82" s="516"/>
      <c r="R82" s="404"/>
      <c r="S82" s="404"/>
      <c r="T82" s="562" t="s">
        <v>229</v>
      </c>
      <c r="U82" s="562" t="s">
        <v>229</v>
      </c>
      <c r="V82" s="244"/>
      <c r="W82" s="562" t="s">
        <v>229</v>
      </c>
      <c r="X82" s="562" t="s">
        <v>229</v>
      </c>
      <c r="Y82" s="185"/>
      <c r="Z82" s="565"/>
    </row>
    <row r="83" spans="1:26" x14ac:dyDescent="0.2">
      <c r="A83" s="448"/>
      <c r="B83" s="449" t="s">
        <v>25</v>
      </c>
      <c r="C83" s="508" t="s">
        <v>94</v>
      </c>
      <c r="D83" s="449" t="s">
        <v>164</v>
      </c>
      <c r="E83" s="449" t="s">
        <v>64</v>
      </c>
      <c r="F83" s="509" t="s">
        <v>159</v>
      </c>
      <c r="G83" s="510">
        <v>36908</v>
      </c>
      <c r="H83" s="511">
        <v>5.0015000000000009</v>
      </c>
      <c r="I83" s="511">
        <v>4.3398333333333339</v>
      </c>
      <c r="J83" s="512">
        <v>0.66166666666666707</v>
      </c>
      <c r="K83" s="513">
        <v>4197500</v>
      </c>
      <c r="L83" s="514">
        <v>11500</v>
      </c>
      <c r="M83" s="515">
        <v>2782655</v>
      </c>
      <c r="N83" s="515">
        <v>0</v>
      </c>
      <c r="O83" s="515">
        <v>2782655</v>
      </c>
      <c r="P83" s="455"/>
      <c r="Q83" s="516">
        <v>-2782655</v>
      </c>
      <c r="R83" s="404">
        <v>296124.99999999901</v>
      </c>
      <c r="S83" s="404">
        <v>-3078780</v>
      </c>
      <c r="T83" s="562" t="s">
        <v>229</v>
      </c>
      <c r="U83" s="562">
        <v>-3078780</v>
      </c>
      <c r="V83" s="244">
        <v>0</v>
      </c>
      <c r="W83" s="562" t="s">
        <v>229</v>
      </c>
      <c r="X83" s="562">
        <v>0</v>
      </c>
      <c r="Y83" s="185" t="s">
        <v>25</v>
      </c>
      <c r="Z83" s="565">
        <f>SUM(Q59:Q86)</f>
        <v>-7076080.0000000009</v>
      </c>
    </row>
    <row r="84" spans="1:26" x14ac:dyDescent="0.2">
      <c r="A84" s="448"/>
      <c r="B84" s="449" t="s">
        <v>25</v>
      </c>
      <c r="C84" s="508" t="s">
        <v>94</v>
      </c>
      <c r="D84" s="449" t="s">
        <v>165</v>
      </c>
      <c r="E84" s="449" t="s">
        <v>64</v>
      </c>
      <c r="F84" s="509" t="s">
        <v>159</v>
      </c>
      <c r="G84" s="510">
        <v>36908</v>
      </c>
      <c r="H84" s="511">
        <v>3.7014999999999998</v>
      </c>
      <c r="I84" s="511">
        <v>3.351583333333334</v>
      </c>
      <c r="J84" s="512">
        <v>0.34991666666666577</v>
      </c>
      <c r="K84" s="513">
        <v>-4197500</v>
      </c>
      <c r="L84" s="514">
        <v>-11500</v>
      </c>
      <c r="M84" s="515">
        <v>-74634.999999999171</v>
      </c>
      <c r="N84" s="515">
        <v>0</v>
      </c>
      <c r="O84" s="515">
        <v>-74634.999999999171</v>
      </c>
      <c r="P84" s="455"/>
      <c r="Q84" s="516">
        <v>74634.999999999171</v>
      </c>
      <c r="R84" s="404">
        <v>-13719.499999999392</v>
      </c>
      <c r="S84" s="404">
        <v>88354.499999998559</v>
      </c>
      <c r="T84" s="562" t="s">
        <v>229</v>
      </c>
      <c r="U84" s="562">
        <v>88354.499999998559</v>
      </c>
      <c r="V84" s="244">
        <v>0</v>
      </c>
      <c r="W84" s="562" t="s">
        <v>229</v>
      </c>
      <c r="X84" s="562">
        <v>0</v>
      </c>
      <c r="Y84" s="185" t="s">
        <v>25</v>
      </c>
      <c r="Z84" s="567">
        <f>SUM(X59:X86)</f>
        <v>3836132.5</v>
      </c>
    </row>
    <row r="85" spans="1:26" x14ac:dyDescent="0.2">
      <c r="A85" s="448"/>
      <c r="B85" s="449" t="s">
        <v>25</v>
      </c>
      <c r="C85" s="508" t="s">
        <v>163</v>
      </c>
      <c r="D85" s="449">
        <v>27458</v>
      </c>
      <c r="E85" s="449" t="s">
        <v>138</v>
      </c>
      <c r="F85" s="509" t="s">
        <v>159</v>
      </c>
      <c r="G85" s="510">
        <v>36902</v>
      </c>
      <c r="H85" s="532"/>
      <c r="I85" s="532"/>
      <c r="J85" s="533"/>
      <c r="K85" s="534"/>
      <c r="L85" s="538"/>
      <c r="M85" s="520">
        <v>-2708020</v>
      </c>
      <c r="N85" s="520">
        <v>0</v>
      </c>
      <c r="O85" s="520">
        <v>-2708020</v>
      </c>
      <c r="P85" s="517"/>
      <c r="Q85" s="516"/>
      <c r="R85" s="561"/>
      <c r="S85" s="561"/>
      <c r="T85" s="562" t="s">
        <v>229</v>
      </c>
      <c r="U85" s="562">
        <v>0</v>
      </c>
      <c r="V85" s="403"/>
      <c r="W85" s="562" t="s">
        <v>229</v>
      </c>
      <c r="X85" s="562">
        <v>0</v>
      </c>
      <c r="Y85" s="185" t="s">
        <v>25</v>
      </c>
      <c r="Z85" s="570">
        <f>+Z83-Z84</f>
        <v>-10912212.5</v>
      </c>
    </row>
    <row r="86" spans="1:26" x14ac:dyDescent="0.2">
      <c r="A86" s="448"/>
      <c r="B86" s="449"/>
      <c r="C86" s="508"/>
      <c r="D86" s="449"/>
      <c r="E86" s="508"/>
      <c r="F86" s="539"/>
      <c r="G86" s="449"/>
      <c r="H86" s="536"/>
      <c r="I86" s="536"/>
      <c r="J86" s="537"/>
      <c r="K86" s="522"/>
      <c r="L86" s="524"/>
      <c r="M86" s="523">
        <v>0</v>
      </c>
      <c r="N86" s="523">
        <v>0</v>
      </c>
      <c r="O86" s="523">
        <v>0</v>
      </c>
      <c r="P86" s="517"/>
      <c r="Q86" s="516"/>
      <c r="R86" s="561"/>
      <c r="S86" s="561"/>
      <c r="T86" s="562" t="s">
        <v>229</v>
      </c>
      <c r="U86" s="562" t="s">
        <v>229</v>
      </c>
      <c r="V86" s="405">
        <v>0</v>
      </c>
      <c r="W86" s="562" t="s">
        <v>229</v>
      </c>
      <c r="X86" s="562" t="s">
        <v>229</v>
      </c>
      <c r="Y86" s="185"/>
      <c r="Z86" s="565"/>
    </row>
    <row r="87" spans="1:26" ht="8.1" customHeight="1" x14ac:dyDescent="0.2">
      <c r="B87" s="185"/>
      <c r="C87" s="187"/>
      <c r="D87" s="185"/>
      <c r="E87" s="187"/>
      <c r="F87" s="51"/>
      <c r="G87" s="185"/>
      <c r="H87" s="187"/>
      <c r="I87" s="187"/>
      <c r="J87" s="189"/>
      <c r="K87" s="200"/>
      <c r="L87" s="201"/>
      <c r="M87" s="282"/>
      <c r="N87" s="282"/>
      <c r="O87" s="282"/>
      <c r="P87" s="262"/>
      <c r="Q87" s="266"/>
      <c r="R87" s="561"/>
      <c r="S87" s="561"/>
      <c r="T87" s="562" t="s">
        <v>229</v>
      </c>
      <c r="U87" s="562" t="s">
        <v>229</v>
      </c>
      <c r="V87" s="405"/>
      <c r="W87" s="562" t="s">
        <v>229</v>
      </c>
      <c r="X87" s="562" t="s">
        <v>229</v>
      </c>
      <c r="Y87" s="185"/>
      <c r="Z87" s="565"/>
    </row>
    <row r="88" spans="1:26" x14ac:dyDescent="0.2">
      <c r="B88" s="57"/>
      <c r="C88" s="57"/>
      <c r="D88" s="57"/>
      <c r="E88" s="57"/>
      <c r="F88" s="51"/>
      <c r="G88" s="122"/>
      <c r="H88" s="53"/>
      <c r="I88" s="53"/>
      <c r="J88" s="60"/>
      <c r="K88" s="76"/>
      <c r="L88" s="76"/>
      <c r="M88" s="65"/>
      <c r="N88" s="56"/>
      <c r="O88" s="56"/>
      <c r="P88" s="265"/>
      <c r="Q88" s="266"/>
      <c r="R88" s="404"/>
      <c r="S88" s="404"/>
      <c r="T88" s="562" t="s">
        <v>229</v>
      </c>
      <c r="U88" s="562" t="s">
        <v>229</v>
      </c>
      <c r="V88" s="447"/>
      <c r="W88" s="562" t="s">
        <v>229</v>
      </c>
      <c r="X88" s="562" t="s">
        <v>229</v>
      </c>
      <c r="Y88" s="185"/>
      <c r="Z88" s="565"/>
    </row>
    <row r="89" spans="1:26" x14ac:dyDescent="0.2">
      <c r="B89" s="185"/>
      <c r="C89" s="187"/>
      <c r="D89" s="185"/>
      <c r="E89" s="187"/>
      <c r="F89" s="187"/>
      <c r="G89" s="185"/>
      <c r="H89" s="209"/>
      <c r="I89" s="209"/>
      <c r="J89" s="210"/>
      <c r="K89" s="200"/>
      <c r="L89" s="201"/>
      <c r="M89" s="282"/>
      <c r="N89" s="282"/>
      <c r="O89" s="282"/>
      <c r="P89" s="262"/>
      <c r="Q89" s="266"/>
      <c r="R89" s="561"/>
      <c r="S89" s="561"/>
      <c r="T89" s="562"/>
      <c r="U89" s="562"/>
      <c r="V89" s="405"/>
      <c r="W89" s="562"/>
      <c r="X89" s="562"/>
      <c r="Y89" s="185"/>
      <c r="Z89" s="565"/>
    </row>
    <row r="90" spans="1:26" ht="8.1" customHeight="1" x14ac:dyDescent="0.2">
      <c r="B90" s="185"/>
      <c r="C90" s="187"/>
      <c r="D90" s="185"/>
      <c r="E90" s="187"/>
      <c r="F90" s="187"/>
      <c r="G90" s="185"/>
      <c r="H90" s="187"/>
      <c r="I90" s="187"/>
      <c r="J90" s="189"/>
      <c r="K90" s="200"/>
      <c r="L90" s="201"/>
      <c r="M90" s="282"/>
      <c r="N90" s="282"/>
      <c r="O90" s="282"/>
      <c r="P90" s="262"/>
      <c r="Q90" s="266"/>
      <c r="R90" s="561"/>
      <c r="S90" s="561"/>
      <c r="T90" s="562"/>
      <c r="U90" s="562"/>
      <c r="V90" s="405"/>
      <c r="W90" s="562"/>
      <c r="X90" s="562"/>
      <c r="Y90" s="185"/>
    </row>
    <row r="91" spans="1:26" ht="12" thickBot="1" x14ac:dyDescent="0.25">
      <c r="B91" s="57"/>
      <c r="C91" s="57"/>
      <c r="D91" s="57"/>
      <c r="E91" s="57"/>
      <c r="F91" s="57"/>
      <c r="G91" s="57"/>
      <c r="H91" s="111"/>
      <c r="I91" s="58"/>
      <c r="J91" s="58"/>
      <c r="K91" s="406">
        <v>0</v>
      </c>
      <c r="L91" s="406">
        <v>0</v>
      </c>
      <c r="M91" s="406">
        <v>49587.5</v>
      </c>
      <c r="N91" s="406">
        <v>0</v>
      </c>
      <c r="O91" s="406">
        <v>58774.999999999593</v>
      </c>
      <c r="P91" s="279">
        <v>0</v>
      </c>
      <c r="Q91" s="279">
        <v>-4972180</v>
      </c>
      <c r="R91" s="571">
        <v>36081435.5</v>
      </c>
      <c r="S91" s="571">
        <v>-41053615.5</v>
      </c>
      <c r="T91" s="571">
        <v>0</v>
      </c>
      <c r="U91" s="571">
        <v>-41053615.5</v>
      </c>
      <c r="V91" s="572">
        <v>-5940032.5</v>
      </c>
      <c r="W91" s="571">
        <v>0</v>
      </c>
      <c r="X91" s="571">
        <v>5940032.5</v>
      </c>
      <c r="Y91" s="573"/>
    </row>
    <row r="92" spans="1:26" ht="11.1" customHeight="1" thickTop="1" x14ac:dyDescent="0.2">
      <c r="B92" s="80"/>
      <c r="C92" s="81"/>
      <c r="D92" s="80"/>
      <c r="E92" s="81"/>
      <c r="F92" s="81"/>
      <c r="G92" s="80"/>
      <c r="H92" s="81"/>
      <c r="I92" s="81"/>
      <c r="J92" s="81"/>
      <c r="K92" s="81"/>
      <c r="L92" s="81"/>
      <c r="M92" s="81"/>
      <c r="N92" s="82"/>
      <c r="O92" s="113" t="s">
        <v>66</v>
      </c>
      <c r="V92" s="548"/>
    </row>
    <row r="93" spans="1:26" x14ac:dyDescent="0.2">
      <c r="B93" s="109"/>
      <c r="C93" s="110"/>
      <c r="D93" s="109"/>
      <c r="E93" s="110"/>
      <c r="F93" s="110"/>
      <c r="G93" s="109"/>
      <c r="H93" s="110"/>
      <c r="I93" s="110"/>
      <c r="J93" s="110"/>
      <c r="K93" s="110"/>
      <c r="L93" s="110"/>
      <c r="M93" s="110"/>
      <c r="N93" s="110"/>
      <c r="O93" s="118"/>
      <c r="P93" s="280" t="s">
        <v>178</v>
      </c>
      <c r="Q93" s="281">
        <v>-4972180</v>
      </c>
      <c r="V93" s="555"/>
    </row>
    <row r="94" spans="1:26" ht="9" customHeight="1" x14ac:dyDescent="0.2">
      <c r="B94" s="202" t="s">
        <v>99</v>
      </c>
      <c r="C94" s="110"/>
      <c r="D94" s="109"/>
      <c r="E94" s="110"/>
      <c r="F94" s="110"/>
      <c r="G94" s="109"/>
      <c r="H94" s="110"/>
      <c r="I94" s="110"/>
      <c r="J94" s="110"/>
      <c r="K94" s="110"/>
      <c r="L94" s="110"/>
      <c r="M94" s="110"/>
      <c r="N94" s="110"/>
      <c r="O94" s="118"/>
      <c r="V94" s="555"/>
    </row>
    <row r="95" spans="1:26" ht="9" customHeight="1" x14ac:dyDescent="0.2">
      <c r="B95" s="109"/>
      <c r="C95" s="110"/>
      <c r="D95" s="109"/>
      <c r="E95" s="110"/>
      <c r="F95" s="110"/>
      <c r="G95" s="109"/>
      <c r="H95" s="110"/>
      <c r="I95" s="110"/>
      <c r="J95" s="110"/>
      <c r="K95" s="110"/>
      <c r="L95" s="110"/>
      <c r="M95" s="110"/>
      <c r="N95" s="110"/>
      <c r="O95" s="118"/>
      <c r="V95" s="555"/>
    </row>
    <row r="96" spans="1:26" ht="9" customHeight="1" x14ac:dyDescent="0.2">
      <c r="B96" s="109"/>
      <c r="C96" s="110"/>
      <c r="D96" s="109"/>
      <c r="E96" s="110"/>
      <c r="F96" s="110"/>
      <c r="G96" s="109"/>
      <c r="H96" s="110"/>
      <c r="I96" s="110"/>
      <c r="J96" s="110"/>
      <c r="K96" s="110"/>
      <c r="L96" s="110"/>
      <c r="M96" s="110"/>
      <c r="N96" s="110"/>
      <c r="O96" s="118"/>
      <c r="V96" s="555"/>
    </row>
    <row r="97" spans="1:26" ht="9" customHeight="1" x14ac:dyDescent="0.2">
      <c r="B97" s="109"/>
      <c r="C97" s="110"/>
      <c r="D97" s="109"/>
      <c r="E97" s="110"/>
      <c r="F97" s="110"/>
      <c r="G97" s="109"/>
      <c r="H97" s="110"/>
      <c r="I97" s="110"/>
      <c r="J97" s="110"/>
      <c r="K97" s="110"/>
      <c r="L97" s="110"/>
      <c r="M97" s="110"/>
      <c r="N97" s="110"/>
      <c r="O97" s="118"/>
      <c r="V97" s="555"/>
    </row>
    <row r="98" spans="1:26" x14ac:dyDescent="0.2">
      <c r="B98" s="276" t="s">
        <v>76</v>
      </c>
      <c r="C98" s="252"/>
      <c r="D98" s="252"/>
      <c r="E98" s="252"/>
      <c r="F98" s="252"/>
      <c r="G98" s="252"/>
      <c r="H98" s="252"/>
      <c r="I98" s="252"/>
      <c r="J98" s="252"/>
      <c r="K98" s="252"/>
      <c r="L98" s="252"/>
      <c r="M98" s="252"/>
      <c r="N98" s="252"/>
      <c r="O98" s="252"/>
      <c r="P98" s="252"/>
      <c r="V98" s="574"/>
    </row>
    <row r="99" spans="1:26" ht="12.75" x14ac:dyDescent="0.2">
      <c r="B99" s="256" t="s">
        <v>1</v>
      </c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R99" s="135"/>
      <c r="S99" s="135"/>
      <c r="V99" s="94"/>
    </row>
    <row r="100" spans="1:26" ht="12.75" x14ac:dyDescent="0.2">
      <c r="B100" s="83"/>
      <c r="L100" s="110"/>
      <c r="P100" s="253"/>
      <c r="Q100" s="253"/>
      <c r="R100" s="135"/>
      <c r="S100" s="135"/>
      <c r="Y100" s="94"/>
    </row>
    <row r="101" spans="1:26" s="94" customFormat="1" ht="12.75" x14ac:dyDescent="0.2">
      <c r="A101" s="46"/>
      <c r="B101" s="236" t="s">
        <v>2</v>
      </c>
      <c r="C101" s="218" t="s">
        <v>3</v>
      </c>
      <c r="D101" s="218" t="s">
        <v>3</v>
      </c>
      <c r="E101" s="218" t="s">
        <v>3</v>
      </c>
      <c r="F101" s="218" t="s">
        <v>4</v>
      </c>
      <c r="G101" s="218" t="s">
        <v>74</v>
      </c>
      <c r="H101" s="218" t="s">
        <v>3</v>
      </c>
      <c r="I101" s="218" t="s">
        <v>5</v>
      </c>
      <c r="J101" s="218" t="s">
        <v>6</v>
      </c>
      <c r="K101" s="218" t="s">
        <v>3</v>
      </c>
      <c r="L101" s="218" t="s">
        <v>15</v>
      </c>
      <c r="M101" s="224"/>
      <c r="N101" s="220"/>
      <c r="O101" s="220"/>
      <c r="P101" s="220"/>
      <c r="Q101" s="232"/>
      <c r="R101" s="135"/>
      <c r="S101" s="135"/>
      <c r="V101" s="575"/>
    </row>
    <row r="102" spans="1:26" s="94" customFormat="1" ht="12.75" x14ac:dyDescent="0.2">
      <c r="A102" s="46"/>
      <c r="B102" s="237" t="s">
        <v>8</v>
      </c>
      <c r="C102" s="219" t="s">
        <v>8</v>
      </c>
      <c r="D102" s="219" t="s">
        <v>9</v>
      </c>
      <c r="E102" s="219" t="s">
        <v>10</v>
      </c>
      <c r="F102" s="219" t="s">
        <v>11</v>
      </c>
      <c r="G102" s="219" t="s">
        <v>43</v>
      </c>
      <c r="H102" s="219" t="s">
        <v>12</v>
      </c>
      <c r="I102" s="219" t="s">
        <v>13</v>
      </c>
      <c r="J102" s="219"/>
      <c r="K102" s="219" t="s">
        <v>14</v>
      </c>
      <c r="L102" s="219"/>
      <c r="M102" s="225" t="s">
        <v>60</v>
      </c>
      <c r="N102" s="221"/>
      <c r="O102" s="226"/>
      <c r="P102" s="233"/>
      <c r="Q102" s="230"/>
      <c r="R102" s="135"/>
      <c r="S102" s="135"/>
      <c r="V102" s="576"/>
    </row>
    <row r="103" spans="1:26" s="94" customFormat="1" ht="12.75" x14ac:dyDescent="0.2">
      <c r="A103" s="46"/>
      <c r="B103" s="237"/>
      <c r="C103" s="219"/>
      <c r="D103" s="219"/>
      <c r="E103" s="219"/>
      <c r="F103" s="219"/>
      <c r="G103" s="219"/>
      <c r="H103" s="219"/>
      <c r="I103" s="219" t="s">
        <v>17</v>
      </c>
      <c r="J103" s="219"/>
      <c r="K103" s="219" t="s">
        <v>34</v>
      </c>
      <c r="L103" s="219"/>
      <c r="M103" s="227" t="s">
        <v>19</v>
      </c>
      <c r="N103" s="227" t="s">
        <v>41</v>
      </c>
      <c r="O103" s="227" t="s">
        <v>84</v>
      </c>
      <c r="P103" s="223" t="s">
        <v>198</v>
      </c>
      <c r="Q103" s="439"/>
      <c r="R103" s="135"/>
      <c r="S103" s="135"/>
      <c r="V103" s="550" t="s">
        <v>21</v>
      </c>
      <c r="W103" s="547" t="s">
        <v>212</v>
      </c>
      <c r="X103" s="548"/>
    </row>
    <row r="104" spans="1:26" s="94" customFormat="1" ht="12.75" x14ac:dyDescent="0.2">
      <c r="A104" s="46"/>
      <c r="B104" s="234"/>
      <c r="C104" s="223"/>
      <c r="D104" s="223"/>
      <c r="E104" s="223"/>
      <c r="F104" s="223"/>
      <c r="G104" s="223"/>
      <c r="H104" s="223"/>
      <c r="I104" s="223" t="s">
        <v>22</v>
      </c>
      <c r="J104" s="223"/>
      <c r="K104" s="223" t="s">
        <v>35</v>
      </c>
      <c r="L104" s="228"/>
      <c r="M104" s="229" t="s">
        <v>68</v>
      </c>
      <c r="N104" s="229" t="s">
        <v>68</v>
      </c>
      <c r="O104" s="229" t="s">
        <v>68</v>
      </c>
      <c r="P104" s="221" t="s">
        <v>32</v>
      </c>
      <c r="Q104" s="231" t="s">
        <v>25</v>
      </c>
      <c r="R104" s="135"/>
      <c r="S104" s="135" t="s">
        <v>230</v>
      </c>
      <c r="V104" s="554" t="s">
        <v>210</v>
      </c>
      <c r="W104" s="551" t="s">
        <v>211</v>
      </c>
      <c r="X104" s="552"/>
    </row>
    <row r="105" spans="1:26" s="94" customFormat="1" ht="22.5" hidden="1" customHeight="1" x14ac:dyDescent="0.2">
      <c r="B105" s="95" t="s">
        <v>32</v>
      </c>
      <c r="C105" s="95" t="s">
        <v>33</v>
      </c>
      <c r="D105" s="95">
        <v>25834</v>
      </c>
      <c r="E105" s="95" t="s">
        <v>27</v>
      </c>
      <c r="F105" s="96" t="s">
        <v>54</v>
      </c>
      <c r="G105" s="93"/>
      <c r="H105" s="97" t="s">
        <v>59</v>
      </c>
      <c r="I105" s="93"/>
      <c r="J105" s="93"/>
      <c r="K105" s="98">
        <v>15000000</v>
      </c>
      <c r="L105" s="99"/>
      <c r="M105" s="100">
        <v>-6992000.0000000056</v>
      </c>
      <c r="N105" s="101"/>
      <c r="O105" s="102">
        <v>-6992000.0000000056</v>
      </c>
      <c r="P105" s="93"/>
      <c r="Q105" s="222"/>
      <c r="R105" s="135"/>
      <c r="S105" s="135"/>
      <c r="V105" s="100"/>
      <c r="W105" s="94" t="s">
        <v>32</v>
      </c>
      <c r="X105" s="94" t="s">
        <v>25</v>
      </c>
    </row>
    <row r="106" spans="1:26" s="94" customFormat="1" x14ac:dyDescent="0.2">
      <c r="A106" s="466"/>
      <c r="B106" s="467" t="s">
        <v>32</v>
      </c>
      <c r="C106" s="467" t="s">
        <v>203</v>
      </c>
      <c r="D106" s="468" t="s">
        <v>202</v>
      </c>
      <c r="E106" s="467" t="s">
        <v>64</v>
      </c>
      <c r="F106" s="468" t="s">
        <v>209</v>
      </c>
      <c r="G106" s="469">
        <v>37007</v>
      </c>
      <c r="H106" s="470">
        <v>3.8574000000000006</v>
      </c>
      <c r="I106" s="470">
        <v>3.8288000000000006</v>
      </c>
      <c r="J106" s="470">
        <v>2.8599999999999959E-2</v>
      </c>
      <c r="K106" s="471">
        <v>765000</v>
      </c>
      <c r="L106" s="471">
        <v>24677.419354838708</v>
      </c>
      <c r="M106" s="472">
        <v>21975.000000000106</v>
      </c>
      <c r="N106" s="472">
        <v>0</v>
      </c>
      <c r="O106" s="472">
        <v>21975.000000000106</v>
      </c>
      <c r="P106" s="473">
        <v>-21975.000000000106</v>
      </c>
      <c r="Q106" s="474"/>
      <c r="R106" s="102"/>
      <c r="S106" s="102"/>
      <c r="U106" s="94" t="s">
        <v>229</v>
      </c>
      <c r="V106" s="102">
        <v>21975</v>
      </c>
      <c r="W106" s="562">
        <v>-21975</v>
      </c>
      <c r="X106" s="562" t="s">
        <v>229</v>
      </c>
      <c r="Y106" s="185" t="s">
        <v>32</v>
      </c>
      <c r="Z106" s="102"/>
    </row>
    <row r="107" spans="1:26" s="94" customFormat="1" x14ac:dyDescent="0.2">
      <c r="A107" s="466"/>
      <c r="B107" s="467" t="s">
        <v>32</v>
      </c>
      <c r="C107" s="467" t="s">
        <v>203</v>
      </c>
      <c r="D107" s="468" t="s">
        <v>205</v>
      </c>
      <c r="E107" s="467" t="s">
        <v>64</v>
      </c>
      <c r="F107" s="468" t="s">
        <v>209</v>
      </c>
      <c r="G107" s="469">
        <v>37007</v>
      </c>
      <c r="H107" s="470">
        <v>3.9124000000000003</v>
      </c>
      <c r="I107" s="470">
        <v>3.8568000000000007</v>
      </c>
      <c r="J107" s="470">
        <v>5.559999999999965E-2</v>
      </c>
      <c r="K107" s="471">
        <v>-765000</v>
      </c>
      <c r="L107" s="471">
        <v>-24677.419354838708</v>
      </c>
      <c r="M107" s="472">
        <v>-42525.000000000073</v>
      </c>
      <c r="N107" s="472">
        <v>0</v>
      </c>
      <c r="O107" s="472">
        <v>-42525.000000000073</v>
      </c>
      <c r="P107" s="473">
        <v>42525.000000000073</v>
      </c>
      <c r="Q107" s="474"/>
      <c r="R107" s="102">
        <f>SUM(P106:P107)</f>
        <v>20549.999999999967</v>
      </c>
      <c r="S107" s="102">
        <f>+R107-Z107</f>
        <v>-3.2741809263825417E-11</v>
      </c>
      <c r="U107" s="94" t="s">
        <v>229</v>
      </c>
      <c r="V107" s="102">
        <v>-42525</v>
      </c>
      <c r="W107" s="562">
        <v>42525</v>
      </c>
      <c r="X107" s="562" t="s">
        <v>229</v>
      </c>
      <c r="Y107" s="185" t="s">
        <v>32</v>
      </c>
      <c r="Z107" s="102">
        <f>SUM(W106:W107)</f>
        <v>20550</v>
      </c>
    </row>
    <row r="108" spans="1:26" s="94" customFormat="1" x14ac:dyDescent="0.2">
      <c r="A108" s="45"/>
      <c r="B108" s="57" t="s">
        <v>32</v>
      </c>
      <c r="C108" s="185" t="s">
        <v>33</v>
      </c>
      <c r="D108" s="126">
        <v>25834</v>
      </c>
      <c r="E108" s="57" t="s">
        <v>64</v>
      </c>
      <c r="F108" s="126" t="s">
        <v>67</v>
      </c>
      <c r="G108" s="153"/>
      <c r="H108" s="176">
        <v>2.3199999999999998</v>
      </c>
      <c r="I108" s="176">
        <v>3.7602000000000002</v>
      </c>
      <c r="J108" s="176">
        <v>-1.4402000000000004</v>
      </c>
      <c r="K108" s="98">
        <v>-15000000</v>
      </c>
      <c r="L108" s="98">
        <v>-98039.215686274503</v>
      </c>
      <c r="M108" s="102">
        <v>21692000.000000007</v>
      </c>
      <c r="N108" s="102">
        <v>0</v>
      </c>
      <c r="O108" s="102">
        <v>21692000.000000007</v>
      </c>
      <c r="P108" s="244">
        <v>-21692000.000000007</v>
      </c>
      <c r="Q108" s="246"/>
      <c r="R108" s="102">
        <f>SUM(P108)</f>
        <v>-21692000.000000007</v>
      </c>
      <c r="S108" s="102">
        <f>+R108-Z108</f>
        <v>-21692000.000000007</v>
      </c>
      <c r="V108" s="102">
        <v>0</v>
      </c>
      <c r="W108" s="562">
        <v>0</v>
      </c>
      <c r="X108" s="562" t="s">
        <v>229</v>
      </c>
      <c r="Y108" s="185" t="s">
        <v>32</v>
      </c>
      <c r="Z108" s="102">
        <f>SUM(W108)</f>
        <v>0</v>
      </c>
    </row>
    <row r="109" spans="1:26" s="94" customFormat="1" x14ac:dyDescent="0.2">
      <c r="A109" s="475"/>
      <c r="B109" s="476" t="s">
        <v>32</v>
      </c>
      <c r="C109" s="476" t="s">
        <v>61</v>
      </c>
      <c r="D109" s="477" t="s">
        <v>184</v>
      </c>
      <c r="E109" s="476" t="s">
        <v>64</v>
      </c>
      <c r="F109" s="477" t="s">
        <v>67</v>
      </c>
      <c r="G109" s="478"/>
      <c r="H109" s="479">
        <v>3.3</v>
      </c>
      <c r="I109" s="479">
        <v>3.7602000000000002</v>
      </c>
      <c r="J109" s="479">
        <v>-0.46020000000000039</v>
      </c>
      <c r="K109" s="480">
        <v>15000000</v>
      </c>
      <c r="L109" s="480">
        <v>98039.215686274503</v>
      </c>
      <c r="M109" s="481">
        <v>-6992000.0000000056</v>
      </c>
      <c r="N109" s="481">
        <v>0</v>
      </c>
      <c r="O109" s="481">
        <v>-6992000.0000000056</v>
      </c>
      <c r="P109" s="482">
        <v>6992000.0000000056</v>
      </c>
      <c r="Q109" s="483"/>
      <c r="R109" s="102">
        <f>SUM(P109)</f>
        <v>6992000.0000000056</v>
      </c>
      <c r="S109" s="102">
        <f>+R109-Z109</f>
        <v>6992000.0000000056</v>
      </c>
      <c r="T109" s="577">
        <f>+S109+S119</f>
        <v>7005400.0013220944</v>
      </c>
      <c r="V109" s="102">
        <v>0</v>
      </c>
      <c r="W109" s="562">
        <v>0</v>
      </c>
      <c r="X109" s="562" t="s">
        <v>229</v>
      </c>
      <c r="Y109" s="185" t="s">
        <v>32</v>
      </c>
      <c r="Z109" s="102">
        <f>SUM(W109)</f>
        <v>0</v>
      </c>
    </row>
    <row r="110" spans="1:26" s="94" customFormat="1" x14ac:dyDescent="0.2">
      <c r="A110" s="45"/>
      <c r="B110" s="57" t="s">
        <v>32</v>
      </c>
      <c r="C110" s="185" t="s">
        <v>114</v>
      </c>
      <c r="D110" s="126">
        <v>12007624</v>
      </c>
      <c r="E110" s="57" t="s">
        <v>64</v>
      </c>
      <c r="F110" s="126" t="s">
        <v>113</v>
      </c>
      <c r="G110" s="153">
        <v>36901</v>
      </c>
      <c r="H110" s="176">
        <v>3.87</v>
      </c>
      <c r="I110" s="176">
        <v>3.74</v>
      </c>
      <c r="J110" s="176">
        <v>0.13</v>
      </c>
      <c r="K110" s="98">
        <v>500000</v>
      </c>
      <c r="L110" s="98">
        <v>16666.666666666668</v>
      </c>
      <c r="M110" s="102">
        <v>65000</v>
      </c>
      <c r="N110" s="102">
        <v>0</v>
      </c>
      <c r="O110" s="102">
        <v>65000</v>
      </c>
      <c r="P110" s="244">
        <v>-65000</v>
      </c>
      <c r="Q110" s="246"/>
      <c r="R110" s="102">
        <f>SUM(P110)</f>
        <v>-65000</v>
      </c>
      <c r="S110" s="102">
        <f>+R110-Z110</f>
        <v>0</v>
      </c>
      <c r="V110" s="102">
        <v>65000</v>
      </c>
      <c r="W110" s="562">
        <v>-65000</v>
      </c>
      <c r="X110" s="562" t="s">
        <v>229</v>
      </c>
      <c r="Y110" s="185" t="s">
        <v>32</v>
      </c>
      <c r="Z110" s="102">
        <f>SUM(W110)</f>
        <v>-65000</v>
      </c>
    </row>
    <row r="111" spans="1:26" s="94" customFormat="1" ht="12.75" x14ac:dyDescent="0.2">
      <c r="A111" s="457"/>
      <c r="B111" s="458" t="s">
        <v>32</v>
      </c>
      <c r="C111" s="458" t="s">
        <v>31</v>
      </c>
      <c r="D111" s="459" t="s">
        <v>98</v>
      </c>
      <c r="E111" s="458" t="s">
        <v>64</v>
      </c>
      <c r="F111" s="459" t="s">
        <v>97</v>
      </c>
      <c r="G111" s="460">
        <v>36837</v>
      </c>
      <c r="H111" s="461"/>
      <c r="I111" s="461"/>
      <c r="J111" s="461"/>
      <c r="K111" s="462"/>
      <c r="L111" s="462"/>
      <c r="M111" s="463">
        <v>8765.3237278669112</v>
      </c>
      <c r="N111" s="463">
        <v>906.88929641427239</v>
      </c>
      <c r="O111" s="463">
        <v>7858.4344314526388</v>
      </c>
      <c r="P111" s="464">
        <v>-7858.4344314526388</v>
      </c>
      <c r="Q111" s="465"/>
      <c r="R111" s="135"/>
      <c r="S111" s="135"/>
      <c r="V111" s="102">
        <v>3639.62</v>
      </c>
      <c r="W111" s="562">
        <v>-3639.62</v>
      </c>
      <c r="X111" s="562" t="s">
        <v>229</v>
      </c>
      <c r="Y111" s="185" t="s">
        <v>32</v>
      </c>
      <c r="Z111" s="135"/>
    </row>
    <row r="112" spans="1:26" s="94" customFormat="1" ht="12.75" x14ac:dyDescent="0.2">
      <c r="A112" s="457"/>
      <c r="B112" s="458" t="s">
        <v>32</v>
      </c>
      <c r="C112" s="458" t="s">
        <v>31</v>
      </c>
      <c r="D112" s="459" t="s">
        <v>112</v>
      </c>
      <c r="E112" s="458" t="s">
        <v>64</v>
      </c>
      <c r="F112" s="459" t="s">
        <v>113</v>
      </c>
      <c r="G112" s="460">
        <v>36901</v>
      </c>
      <c r="H112" s="461">
        <v>3.74</v>
      </c>
      <c r="I112" s="461">
        <v>3.82</v>
      </c>
      <c r="J112" s="461">
        <v>-7.9999999999999627E-2</v>
      </c>
      <c r="K112" s="462">
        <v>-500000</v>
      </c>
      <c r="L112" s="462">
        <v>-16666.666666666668</v>
      </c>
      <c r="M112" s="463">
        <v>-40000</v>
      </c>
      <c r="N112" s="463">
        <v>0</v>
      </c>
      <c r="O112" s="463">
        <v>-40000</v>
      </c>
      <c r="P112" s="464">
        <v>40000</v>
      </c>
      <c r="Q112" s="465"/>
      <c r="R112" s="578">
        <f>SUM(P111:P112)</f>
        <v>32141.565568547361</v>
      </c>
      <c r="S112" s="578">
        <f>+R112-Z112</f>
        <v>-4218.8144314526362</v>
      </c>
      <c r="V112" s="102">
        <v>-40000</v>
      </c>
      <c r="W112" s="562">
        <v>40000</v>
      </c>
      <c r="X112" s="562" t="s">
        <v>229</v>
      </c>
      <c r="Y112" s="185" t="s">
        <v>32</v>
      </c>
      <c r="Z112" s="578">
        <f>SUM(W111:W112)</f>
        <v>36360.379999999997</v>
      </c>
    </row>
    <row r="113" spans="1:26" s="94" customFormat="1" ht="12.75" x14ac:dyDescent="0.2">
      <c r="A113" s="448"/>
      <c r="B113" s="449" t="s">
        <v>32</v>
      </c>
      <c r="C113" s="449" t="s">
        <v>72</v>
      </c>
      <c r="D113" s="450" t="s">
        <v>182</v>
      </c>
      <c r="E113" s="449" t="s">
        <v>64</v>
      </c>
      <c r="F113" s="450" t="s">
        <v>181</v>
      </c>
      <c r="G113" s="451">
        <v>36924</v>
      </c>
      <c r="H113" s="452">
        <v>4.1938571428571425</v>
      </c>
      <c r="I113" s="452">
        <v>4.1820000000000004</v>
      </c>
      <c r="J113" s="452">
        <v>1.1857142857142122E-2</v>
      </c>
      <c r="K113" s="453">
        <v>-1070000</v>
      </c>
      <c r="L113" s="453">
        <v>-34516.129032258068</v>
      </c>
      <c r="M113" s="454">
        <v>-12805.000000000295</v>
      </c>
      <c r="N113" s="454">
        <v>5344.999999999889</v>
      </c>
      <c r="O113" s="454">
        <v>-18150.000000000182</v>
      </c>
      <c r="P113" s="455">
        <v>18150.000000000182</v>
      </c>
      <c r="Q113" s="456"/>
      <c r="R113" s="135"/>
      <c r="S113" s="135"/>
      <c r="U113" s="94" t="s">
        <v>229</v>
      </c>
      <c r="V113" s="102">
        <v>-18150</v>
      </c>
      <c r="W113" s="562">
        <v>18150</v>
      </c>
      <c r="X113" s="562" t="s">
        <v>229</v>
      </c>
      <c r="Y113" s="185" t="s">
        <v>32</v>
      </c>
      <c r="Z113" s="135"/>
    </row>
    <row r="114" spans="1:26" s="94" customFormat="1" ht="12.75" x14ac:dyDescent="0.2">
      <c r="A114" s="448"/>
      <c r="B114" s="449" t="s">
        <v>32</v>
      </c>
      <c r="C114" s="449" t="s">
        <v>72</v>
      </c>
      <c r="D114" s="450" t="s">
        <v>189</v>
      </c>
      <c r="E114" s="449" t="s">
        <v>64</v>
      </c>
      <c r="F114" s="450" t="s">
        <v>181</v>
      </c>
      <c r="G114" s="451">
        <v>36924</v>
      </c>
      <c r="H114" s="452">
        <v>4.2838571428571433</v>
      </c>
      <c r="I114" s="452">
        <v>4.2134285714285715</v>
      </c>
      <c r="J114" s="452">
        <v>7.0428571428571729E-2</v>
      </c>
      <c r="K114" s="453">
        <v>1070000</v>
      </c>
      <c r="L114" s="453">
        <v>34516.129032258068</v>
      </c>
      <c r="M114" s="454">
        <v>75630</v>
      </c>
      <c r="N114" s="454">
        <v>10155.000000000062</v>
      </c>
      <c r="O114" s="454">
        <v>65475</v>
      </c>
      <c r="P114" s="455">
        <v>-65475</v>
      </c>
      <c r="Q114" s="456"/>
      <c r="R114" s="135"/>
      <c r="S114" s="135"/>
      <c r="U114" s="94" t="s">
        <v>229</v>
      </c>
      <c r="V114" s="102">
        <v>65475</v>
      </c>
      <c r="W114" s="562">
        <v>-65475</v>
      </c>
      <c r="X114" s="562" t="s">
        <v>229</v>
      </c>
      <c r="Y114" s="185" t="s">
        <v>32</v>
      </c>
      <c r="Z114" s="135"/>
    </row>
    <row r="115" spans="1:26" s="94" customFormat="1" ht="12.75" x14ac:dyDescent="0.2">
      <c r="A115" s="448"/>
      <c r="B115" s="449" t="s">
        <v>32</v>
      </c>
      <c r="C115" s="449" t="s">
        <v>72</v>
      </c>
      <c r="D115" s="450" t="s">
        <v>223</v>
      </c>
      <c r="E115" s="449" t="s">
        <v>64</v>
      </c>
      <c r="F115" s="450" t="s">
        <v>224</v>
      </c>
      <c r="G115" s="451">
        <v>37033</v>
      </c>
      <c r="H115" s="452">
        <v>3.6274999999999999</v>
      </c>
      <c r="I115" s="452">
        <v>3.6385000000000014</v>
      </c>
      <c r="J115" s="452">
        <v>-1.1000000000002785E-2</v>
      </c>
      <c r="K115" s="453">
        <v>300000</v>
      </c>
      <c r="L115" s="453">
        <v>10000</v>
      </c>
      <c r="M115" s="454">
        <v>-3299.9999999999618</v>
      </c>
      <c r="N115" s="454">
        <v>0</v>
      </c>
      <c r="O115" s="454">
        <v>-3299.9999999999618</v>
      </c>
      <c r="P115" s="455">
        <v>3299.9999999999618</v>
      </c>
      <c r="Q115" s="456"/>
      <c r="R115" s="135"/>
      <c r="S115" s="135"/>
      <c r="V115" s="102">
        <v>3300</v>
      </c>
      <c r="W115" s="562">
        <v>-3300</v>
      </c>
      <c r="X115" s="562" t="s">
        <v>229</v>
      </c>
      <c r="Y115" s="185" t="s">
        <v>32</v>
      </c>
      <c r="Z115" s="135"/>
    </row>
    <row r="116" spans="1:26" s="94" customFormat="1" ht="12.75" x14ac:dyDescent="0.2">
      <c r="A116" s="448"/>
      <c r="B116" s="449" t="s">
        <v>32</v>
      </c>
      <c r="C116" s="449" t="s">
        <v>72</v>
      </c>
      <c r="D116" s="450" t="s">
        <v>225</v>
      </c>
      <c r="E116" s="449" t="s">
        <v>64</v>
      </c>
      <c r="F116" s="450" t="s">
        <v>224</v>
      </c>
      <c r="G116" s="451">
        <v>37033</v>
      </c>
      <c r="H116" s="452">
        <v>3.6324999999999998</v>
      </c>
      <c r="I116" s="452">
        <v>3.6211666666666655</v>
      </c>
      <c r="J116" s="452">
        <v>1.1333333333331641E-2</v>
      </c>
      <c r="K116" s="453">
        <v>-300000</v>
      </c>
      <c r="L116" s="453">
        <v>-10000</v>
      </c>
      <c r="M116" s="454">
        <v>-3399.9999999999018</v>
      </c>
      <c r="N116" s="454">
        <v>0</v>
      </c>
      <c r="O116" s="454">
        <v>-3399.9999999999018</v>
      </c>
      <c r="P116" s="455">
        <v>3399.9999999999018</v>
      </c>
      <c r="Q116" s="456"/>
      <c r="R116" s="135"/>
      <c r="S116" s="135"/>
      <c r="V116" s="102">
        <v>3400</v>
      </c>
      <c r="W116" s="562">
        <v>-3400</v>
      </c>
      <c r="X116" s="562" t="s">
        <v>229</v>
      </c>
      <c r="Y116" s="185" t="s">
        <v>32</v>
      </c>
      <c r="Z116" s="135"/>
    </row>
    <row r="117" spans="1:26" s="94" customFormat="1" ht="12.75" x14ac:dyDescent="0.2">
      <c r="A117" s="448"/>
      <c r="B117" s="449" t="s">
        <v>32</v>
      </c>
      <c r="C117" s="449" t="s">
        <v>72</v>
      </c>
      <c r="D117" s="450" t="s">
        <v>118</v>
      </c>
      <c r="E117" s="449" t="s">
        <v>64</v>
      </c>
      <c r="F117" s="450" t="s">
        <v>119</v>
      </c>
      <c r="G117" s="451">
        <v>36894</v>
      </c>
      <c r="H117" s="452">
        <v>4.0078181818181822</v>
      </c>
      <c r="I117" s="452">
        <v>3.0189090909090912</v>
      </c>
      <c r="J117" s="452">
        <v>0.98890909090909096</v>
      </c>
      <c r="K117" s="453">
        <v>6680000</v>
      </c>
      <c r="L117" s="453">
        <v>20000</v>
      </c>
      <c r="M117" s="454">
        <v>11881480</v>
      </c>
      <c r="N117" s="454">
        <v>2229540</v>
      </c>
      <c r="O117" s="454">
        <v>9651940</v>
      </c>
      <c r="P117" s="455">
        <v>-9651940</v>
      </c>
      <c r="Q117" s="456"/>
      <c r="R117" s="135"/>
      <c r="S117" s="135"/>
      <c r="V117" s="102">
        <v>9651940</v>
      </c>
      <c r="W117" s="562">
        <v>-9651940</v>
      </c>
      <c r="X117" s="562" t="s">
        <v>229</v>
      </c>
      <c r="Y117" s="185" t="s">
        <v>32</v>
      </c>
      <c r="Z117" s="135"/>
    </row>
    <row r="118" spans="1:26" s="94" customFormat="1" ht="12.75" x14ac:dyDescent="0.2">
      <c r="A118" s="448"/>
      <c r="B118" s="449" t="s">
        <v>32</v>
      </c>
      <c r="C118" s="449" t="s">
        <v>72</v>
      </c>
      <c r="D118" s="450" t="s">
        <v>120</v>
      </c>
      <c r="E118" s="449" t="s">
        <v>64</v>
      </c>
      <c r="F118" s="450" t="s">
        <v>119</v>
      </c>
      <c r="G118" s="451">
        <v>36894</v>
      </c>
      <c r="H118" s="452">
        <v>3.9454545454545458</v>
      </c>
      <c r="I118" s="452">
        <v>3.0189090909090912</v>
      </c>
      <c r="J118" s="452">
        <v>0.92654545454545456</v>
      </c>
      <c r="K118" s="453">
        <v>-6680000</v>
      </c>
      <c r="L118" s="453">
        <v>-20000</v>
      </c>
      <c r="M118" s="454">
        <v>-11226840</v>
      </c>
      <c r="N118" s="454">
        <v>-1994340</v>
      </c>
      <c r="O118" s="454">
        <v>-9232500</v>
      </c>
      <c r="P118" s="455">
        <v>9232500</v>
      </c>
      <c r="Q118" s="456"/>
      <c r="R118" s="135"/>
      <c r="S118" s="135"/>
      <c r="V118" s="102">
        <v>-9232500</v>
      </c>
      <c r="W118" s="562">
        <v>9232500</v>
      </c>
      <c r="X118" s="562" t="s">
        <v>229</v>
      </c>
      <c r="Y118" s="185" t="s">
        <v>32</v>
      </c>
      <c r="Z118" s="135"/>
    </row>
    <row r="119" spans="1:26" s="94" customFormat="1" ht="12.75" x14ac:dyDescent="0.2">
      <c r="A119" s="448"/>
      <c r="B119" s="449" t="s">
        <v>32</v>
      </c>
      <c r="C119" s="449" t="s">
        <v>72</v>
      </c>
      <c r="D119" s="450"/>
      <c r="E119" s="449" t="s">
        <v>64</v>
      </c>
      <c r="F119" s="450" t="s">
        <v>79</v>
      </c>
      <c r="G119" s="451"/>
      <c r="H119" s="452">
        <v>0.94</v>
      </c>
      <c r="I119" s="452">
        <v>0.9</v>
      </c>
      <c r="J119" s="452">
        <v>0.04</v>
      </c>
      <c r="K119" s="453">
        <v>62401635.288479991</v>
      </c>
      <c r="L119" s="453">
        <v>85481.692175999982</v>
      </c>
      <c r="M119" s="454">
        <v>1535955.7144932181</v>
      </c>
      <c r="N119" s="454">
        <v>449118.88581530692</v>
      </c>
      <c r="O119" s="454">
        <v>1086836.8286779115</v>
      </c>
      <c r="P119" s="455">
        <v>-1086836.8286779115</v>
      </c>
      <c r="Q119" s="456"/>
      <c r="R119" s="578">
        <f>SUM(P113:P119)</f>
        <v>-1546901.8286779115</v>
      </c>
      <c r="S119" s="578">
        <f>+R119-Z119</f>
        <v>13400.00132208853</v>
      </c>
      <c r="V119" s="102">
        <v>1086836.83</v>
      </c>
      <c r="W119" s="562">
        <v>-1086836.83</v>
      </c>
      <c r="X119" s="562" t="s">
        <v>229</v>
      </c>
      <c r="Y119" s="185" t="s">
        <v>32</v>
      </c>
      <c r="Z119" s="578">
        <f>SUM(W113:W119)</f>
        <v>-1560301.83</v>
      </c>
    </row>
    <row r="120" spans="1:26" s="94" customFormat="1" ht="12.75" x14ac:dyDescent="0.2">
      <c r="A120" s="45"/>
      <c r="B120" s="57" t="s">
        <v>25</v>
      </c>
      <c r="C120" s="185" t="s">
        <v>61</v>
      </c>
      <c r="D120" s="126" t="s">
        <v>196</v>
      </c>
      <c r="E120" s="57" t="s">
        <v>64</v>
      </c>
      <c r="F120" s="126" t="s">
        <v>150</v>
      </c>
      <c r="G120" s="153">
        <v>36866</v>
      </c>
      <c r="H120" s="176">
        <v>4.0061666666666662</v>
      </c>
      <c r="I120" s="176">
        <v>3.9688750000000002</v>
      </c>
      <c r="J120" s="176">
        <v>3.7291666666666057E-2</v>
      </c>
      <c r="K120" s="98">
        <v>-1825000</v>
      </c>
      <c r="L120" s="98">
        <v>-5000</v>
      </c>
      <c r="M120" s="102">
        <v>68024.999999999898</v>
      </c>
      <c r="N120" s="102">
        <v>0</v>
      </c>
      <c r="O120" s="102">
        <v>68024.999999999898</v>
      </c>
      <c r="P120" s="244"/>
      <c r="Q120" s="246">
        <v>-68024.999999999898</v>
      </c>
      <c r="R120" s="135"/>
      <c r="S120" s="135"/>
      <c r="V120" s="102">
        <v>31325</v>
      </c>
      <c r="W120" s="562" t="s">
        <v>229</v>
      </c>
      <c r="X120" s="562">
        <v>-31325</v>
      </c>
      <c r="Y120" s="185" t="s">
        <v>25</v>
      </c>
    </row>
    <row r="121" spans="1:26" s="94" customFormat="1" ht="12.75" x14ac:dyDescent="0.2">
      <c r="A121" s="45"/>
      <c r="B121" s="57" t="s">
        <v>25</v>
      </c>
      <c r="C121" s="185" t="s">
        <v>61</v>
      </c>
      <c r="D121" s="126" t="s">
        <v>185</v>
      </c>
      <c r="E121" s="57" t="s">
        <v>64</v>
      </c>
      <c r="F121" s="126" t="s">
        <v>150</v>
      </c>
      <c r="G121" s="153">
        <v>36866</v>
      </c>
      <c r="H121" s="176">
        <v>4.47</v>
      </c>
      <c r="I121" s="176">
        <v>3.9761666666666664</v>
      </c>
      <c r="J121" s="176">
        <v>0.49383333333333335</v>
      </c>
      <c r="K121" s="98">
        <v>-1825000</v>
      </c>
      <c r="L121" s="98">
        <v>-5000</v>
      </c>
      <c r="M121" s="102">
        <v>904070</v>
      </c>
      <c r="N121" s="102">
        <v>0</v>
      </c>
      <c r="O121" s="102">
        <v>904070</v>
      </c>
      <c r="P121" s="244"/>
      <c r="Q121" s="246">
        <v>-904070</v>
      </c>
      <c r="R121" s="135"/>
      <c r="S121" s="135"/>
      <c r="V121" s="102">
        <v>286685</v>
      </c>
      <c r="W121" s="562" t="s">
        <v>229</v>
      </c>
      <c r="X121" s="562">
        <v>-286685</v>
      </c>
      <c r="Y121" s="185" t="s">
        <v>25</v>
      </c>
    </row>
    <row r="122" spans="1:26" s="94" customFormat="1" ht="12.75" x14ac:dyDescent="0.2">
      <c r="A122" s="45"/>
      <c r="B122" s="57" t="s">
        <v>25</v>
      </c>
      <c r="C122" s="185" t="s">
        <v>61</v>
      </c>
      <c r="D122" s="126" t="s">
        <v>186</v>
      </c>
      <c r="E122" s="57" t="s">
        <v>64</v>
      </c>
      <c r="F122" s="126" t="s">
        <v>150</v>
      </c>
      <c r="G122" s="153">
        <v>36867</v>
      </c>
      <c r="H122" s="176">
        <v>4.3899999999999997</v>
      </c>
      <c r="I122" s="176">
        <v>3.9761666666666664</v>
      </c>
      <c r="J122" s="176">
        <v>0.41383333333333328</v>
      </c>
      <c r="K122" s="98">
        <v>1825000</v>
      </c>
      <c r="L122" s="98">
        <v>5000</v>
      </c>
      <c r="M122" s="102">
        <v>-758070</v>
      </c>
      <c r="N122" s="102">
        <v>0</v>
      </c>
      <c r="O122" s="102">
        <v>-758070</v>
      </c>
      <c r="P122" s="244"/>
      <c r="Q122" s="246">
        <v>758070</v>
      </c>
      <c r="R122" s="135"/>
      <c r="S122" s="135"/>
      <c r="V122" s="102">
        <v>-226285</v>
      </c>
      <c r="W122" s="562" t="s">
        <v>229</v>
      </c>
      <c r="X122" s="562">
        <v>226285</v>
      </c>
      <c r="Y122" s="185" t="s">
        <v>25</v>
      </c>
    </row>
    <row r="123" spans="1:26" s="94" customFormat="1" ht="12.75" x14ac:dyDescent="0.2">
      <c r="A123" s="45"/>
      <c r="B123" s="57" t="s">
        <v>25</v>
      </c>
      <c r="C123" s="185" t="s">
        <v>61</v>
      </c>
      <c r="D123" s="126" t="s">
        <v>197</v>
      </c>
      <c r="E123" s="57" t="s">
        <v>64</v>
      </c>
      <c r="F123" s="126" t="s">
        <v>150</v>
      </c>
      <c r="G123" s="153">
        <v>36867</v>
      </c>
      <c r="H123" s="176">
        <v>4.0161666666666669</v>
      </c>
      <c r="I123" s="176">
        <v>3.9688750000000002</v>
      </c>
      <c r="J123" s="176">
        <v>4.7291666666666732E-2</v>
      </c>
      <c r="K123" s="98">
        <v>1825000</v>
      </c>
      <c r="L123" s="98">
        <v>5000</v>
      </c>
      <c r="M123" s="102">
        <v>-86275</v>
      </c>
      <c r="N123" s="102">
        <v>0</v>
      </c>
      <c r="O123" s="102">
        <v>-86275</v>
      </c>
      <c r="P123" s="244"/>
      <c r="Q123" s="246">
        <v>86275</v>
      </c>
      <c r="R123" s="135"/>
      <c r="S123" s="135"/>
      <c r="V123" s="102">
        <v>-38875</v>
      </c>
      <c r="W123" s="562" t="s">
        <v>229</v>
      </c>
      <c r="X123" s="562">
        <v>38875</v>
      </c>
      <c r="Y123" s="185" t="s">
        <v>25</v>
      </c>
    </row>
    <row r="124" spans="1:26" s="94" customFormat="1" ht="12.75" x14ac:dyDescent="0.2">
      <c r="B124" s="57"/>
      <c r="C124" s="185"/>
      <c r="D124" s="442"/>
      <c r="E124" s="57"/>
      <c r="F124" s="185"/>
      <c r="G124" s="442"/>
      <c r="H124" s="443"/>
      <c r="I124" s="443"/>
      <c r="J124" s="443"/>
      <c r="K124" s="438"/>
      <c r="L124" s="438"/>
      <c r="M124" s="102"/>
      <c r="N124" s="146"/>
      <c r="O124" s="146"/>
      <c r="P124" s="244"/>
      <c r="Q124" s="354"/>
      <c r="R124" s="135"/>
      <c r="S124" s="135"/>
      <c r="V124" s="146"/>
      <c r="W124" s="562" t="s">
        <v>229</v>
      </c>
      <c r="X124" s="562" t="s">
        <v>229</v>
      </c>
      <c r="Y124" s="185"/>
    </row>
    <row r="125" spans="1:26" s="94" customFormat="1" ht="12.75" x14ac:dyDescent="0.2">
      <c r="B125" s="57"/>
      <c r="C125" s="185"/>
      <c r="D125" s="93"/>
      <c r="E125" s="57"/>
      <c r="F125" s="126"/>
      <c r="G125" s="93"/>
      <c r="H125" s="176"/>
      <c r="I125" s="176"/>
      <c r="J125" s="176"/>
      <c r="K125" s="98"/>
      <c r="L125" s="98"/>
      <c r="M125" s="102"/>
      <c r="N125" s="146"/>
      <c r="O125" s="146"/>
      <c r="P125" s="246"/>
      <c r="Q125" s="185"/>
      <c r="R125" s="135"/>
      <c r="S125" s="135"/>
      <c r="V125" s="146"/>
      <c r="W125" s="562" t="s">
        <v>229</v>
      </c>
      <c r="X125" s="562" t="s">
        <v>229</v>
      </c>
      <c r="Y125" s="185"/>
    </row>
    <row r="126" spans="1:26" ht="12.75" x14ac:dyDescent="0.2">
      <c r="B126" s="57"/>
      <c r="C126" s="185"/>
      <c r="D126" s="57"/>
      <c r="E126" s="57"/>
      <c r="F126" s="96"/>
      <c r="G126" s="217"/>
      <c r="H126" s="61"/>
      <c r="I126" s="61"/>
      <c r="J126" s="445"/>
      <c r="K126" s="76"/>
      <c r="L126" s="125"/>
      <c r="M126" s="65"/>
      <c r="N126" s="65"/>
      <c r="O126" s="65"/>
      <c r="P126" s="265"/>
      <c r="Q126" s="265"/>
      <c r="R126" s="135"/>
      <c r="S126" s="135"/>
      <c r="T126" s="562" t="s">
        <v>229</v>
      </c>
      <c r="U126" s="562" t="s">
        <v>229</v>
      </c>
      <c r="V126" s="244"/>
      <c r="W126" s="562" t="s">
        <v>229</v>
      </c>
      <c r="X126" s="562" t="s">
        <v>229</v>
      </c>
      <c r="Y126" s="185"/>
    </row>
    <row r="127" spans="1:26" ht="12.75" x14ac:dyDescent="0.2">
      <c r="B127" s="57"/>
      <c r="C127" s="185"/>
      <c r="D127" s="57"/>
      <c r="E127" s="57"/>
      <c r="F127" s="96"/>
      <c r="G127" s="217"/>
      <c r="H127" s="444"/>
      <c r="I127" s="444"/>
      <c r="J127" s="84"/>
      <c r="K127" s="77"/>
      <c r="L127" s="77"/>
      <c r="M127" s="446"/>
      <c r="N127" s="446"/>
      <c r="O127" s="446"/>
      <c r="P127" s="265"/>
      <c r="Q127" s="265"/>
      <c r="R127" s="135"/>
      <c r="S127" s="135"/>
      <c r="T127" s="562" t="s">
        <v>229</v>
      </c>
      <c r="U127" s="562" t="s">
        <v>229</v>
      </c>
      <c r="V127" s="244"/>
      <c r="W127" s="562" t="s">
        <v>229</v>
      </c>
      <c r="X127" s="562" t="s">
        <v>229</v>
      </c>
      <c r="Y127" s="185"/>
    </row>
    <row r="128" spans="1:26" s="94" customFormat="1" ht="12.75" x14ac:dyDescent="0.2">
      <c r="B128" s="57"/>
      <c r="C128" s="185"/>
      <c r="D128" s="93"/>
      <c r="E128" s="57"/>
      <c r="F128" s="126"/>
      <c r="G128" s="93"/>
      <c r="H128" s="176"/>
      <c r="I128" s="176"/>
      <c r="J128" s="176"/>
      <c r="K128" s="98"/>
      <c r="L128" s="98"/>
      <c r="M128" s="102"/>
      <c r="N128" s="102"/>
      <c r="O128" s="102"/>
      <c r="P128" s="244"/>
      <c r="Q128" s="185"/>
      <c r="R128" s="135"/>
      <c r="S128" s="135"/>
      <c r="V128" s="102"/>
      <c r="W128" s="562" t="s">
        <v>229</v>
      </c>
      <c r="X128" s="562" t="s">
        <v>229</v>
      </c>
      <c r="Y128" s="185"/>
    </row>
    <row r="129" spans="2:25" s="94" customFormat="1" ht="11.25" customHeight="1" x14ac:dyDescent="0.2">
      <c r="B129" s="57"/>
      <c r="C129" s="185"/>
      <c r="D129" s="93"/>
      <c r="E129" s="57"/>
      <c r="F129" s="126"/>
      <c r="G129" s="93"/>
      <c r="H129" s="103"/>
      <c r="I129" s="103"/>
      <c r="J129" s="103"/>
      <c r="K129" s="98"/>
      <c r="L129" s="98"/>
      <c r="M129" s="102"/>
      <c r="N129" s="146"/>
      <c r="O129" s="146"/>
      <c r="P129" s="244"/>
      <c r="Q129" s="185"/>
      <c r="R129" s="135"/>
      <c r="S129" s="135"/>
      <c r="V129" s="146"/>
      <c r="W129" s="562" t="s">
        <v>229</v>
      </c>
      <c r="X129" s="562" t="s">
        <v>229</v>
      </c>
      <c r="Y129" s="185"/>
    </row>
    <row r="130" spans="2:25" ht="12" thickBot="1" x14ac:dyDescent="0.25">
      <c r="B130" s="57"/>
      <c r="C130" s="57"/>
      <c r="D130" s="57"/>
      <c r="E130" s="119"/>
      <c r="F130" s="59"/>
      <c r="G130" s="110"/>
      <c r="H130" s="58"/>
      <c r="I130" s="59"/>
      <c r="J130" s="59"/>
      <c r="K130" s="278">
        <v>62401635.288479984</v>
      </c>
      <c r="L130" s="278">
        <v>85481.692175999982</v>
      </c>
      <c r="M130" s="238">
        <v>17087686.038221087</v>
      </c>
      <c r="N130" s="238">
        <v>700725.77511172136</v>
      </c>
      <c r="O130" s="238">
        <v>16386960.263109365</v>
      </c>
      <c r="P130" s="235">
        <v>-16259210.263109367</v>
      </c>
      <c r="Q130" s="238">
        <v>-127750</v>
      </c>
      <c r="R130" s="579"/>
      <c r="S130" s="579"/>
      <c r="T130" s="579">
        <v>0</v>
      </c>
      <c r="U130" s="579">
        <v>0</v>
      </c>
      <c r="V130" s="579">
        <v>1621241.4526128666</v>
      </c>
      <c r="W130" s="579">
        <v>-1568391.4526128669</v>
      </c>
      <c r="X130" s="579">
        <v>-52850.000000000073</v>
      </c>
      <c r="Y130" s="246"/>
    </row>
    <row r="131" spans="2:25" ht="12" thickTop="1" x14ac:dyDescent="0.2">
      <c r="B131" s="80"/>
      <c r="C131" s="80"/>
      <c r="D131" s="80"/>
      <c r="E131" s="141"/>
      <c r="F131" s="82"/>
      <c r="G131" s="120"/>
      <c r="H131" s="81"/>
      <c r="I131" s="82"/>
      <c r="J131" s="82"/>
      <c r="K131" s="121"/>
      <c r="L131" s="121"/>
      <c r="M131" s="142"/>
      <c r="N131" s="142"/>
      <c r="O131" s="142"/>
      <c r="P131" s="255"/>
      <c r="Q131" s="254"/>
      <c r="R131" s="580"/>
      <c r="S131" s="580"/>
      <c r="T131" s="580"/>
      <c r="U131" s="580"/>
      <c r="V131" s="580"/>
      <c r="W131" s="580"/>
      <c r="X131" s="580"/>
      <c r="Y131" s="573"/>
    </row>
    <row r="132" spans="2:25" x14ac:dyDescent="0.2">
      <c r="B132" s="110"/>
      <c r="C132" s="110"/>
      <c r="D132" s="109"/>
      <c r="E132" s="110"/>
      <c r="F132" s="110"/>
      <c r="G132" s="110"/>
      <c r="H132" s="110"/>
      <c r="I132" s="110"/>
      <c r="J132" s="110"/>
      <c r="K132" s="116"/>
      <c r="L132" s="116"/>
      <c r="M132" s="117"/>
      <c r="N132" s="117"/>
      <c r="O132" s="117"/>
      <c r="P132" s="269"/>
      <c r="V132" s="559"/>
    </row>
    <row r="133" spans="2:25" ht="12" customHeight="1" x14ac:dyDescent="0.2">
      <c r="B133" s="22" t="s">
        <v>140</v>
      </c>
      <c r="C133" s="22"/>
      <c r="D133" s="186"/>
      <c r="E133" s="22"/>
      <c r="F133" s="22"/>
      <c r="M133" s="45" t="s">
        <v>135</v>
      </c>
      <c r="P133" s="270"/>
      <c r="Q133" s="270">
        <v>16534530.85</v>
      </c>
    </row>
    <row r="134" spans="2:25" x14ac:dyDescent="0.2">
      <c r="B134" s="22" t="s">
        <v>141</v>
      </c>
      <c r="C134" s="22"/>
      <c r="D134" s="186"/>
      <c r="E134" s="22"/>
      <c r="F134" s="22"/>
      <c r="M134" s="45" t="s">
        <v>214</v>
      </c>
    </row>
    <row r="135" spans="2:25" x14ac:dyDescent="0.2">
      <c r="B135" s="22"/>
      <c r="C135" s="22"/>
      <c r="D135" s="186"/>
      <c r="E135" s="22"/>
      <c r="F135" s="22"/>
      <c r="M135" s="45" t="s">
        <v>215</v>
      </c>
      <c r="P135" s="270">
        <v>185.30822108708321</v>
      </c>
      <c r="Q135" s="270"/>
      <c r="R135" s="581"/>
      <c r="S135" s="581"/>
    </row>
    <row r="136" spans="2:25" x14ac:dyDescent="0.2">
      <c r="B136" s="22"/>
      <c r="C136" s="22"/>
      <c r="D136" s="186"/>
      <c r="E136" s="22"/>
      <c r="F136" s="22"/>
      <c r="M136" s="45" t="s">
        <v>228</v>
      </c>
      <c r="P136" s="270"/>
      <c r="Q136" s="270"/>
      <c r="R136" s="581"/>
      <c r="S136" s="581"/>
    </row>
    <row r="137" spans="2:25" x14ac:dyDescent="0.2">
      <c r="B137" s="22" t="s">
        <v>142</v>
      </c>
      <c r="C137" s="22"/>
      <c r="D137" s="186"/>
      <c r="E137" s="22"/>
      <c r="F137" s="22"/>
      <c r="M137" s="45" t="s">
        <v>216</v>
      </c>
      <c r="P137" s="270">
        <v>-6699.9999999998636</v>
      </c>
      <c r="Q137" s="270"/>
    </row>
    <row r="138" spans="2:25" x14ac:dyDescent="0.2">
      <c r="B138" s="22" t="s">
        <v>143</v>
      </c>
      <c r="C138" s="22"/>
      <c r="D138" s="186"/>
      <c r="E138" s="22"/>
      <c r="F138" s="22"/>
      <c r="M138" s="45" t="s">
        <v>213</v>
      </c>
      <c r="P138" s="271">
        <v>-141055.89511172142</v>
      </c>
      <c r="Q138" s="269">
        <v>-147570.58689063421</v>
      </c>
      <c r="R138" s="581"/>
      <c r="S138" s="581"/>
    </row>
    <row r="139" spans="2:25" x14ac:dyDescent="0.2">
      <c r="B139" s="22"/>
      <c r="C139" s="22"/>
      <c r="D139" s="186"/>
      <c r="E139" s="22"/>
      <c r="F139" s="22"/>
      <c r="P139" s="269"/>
      <c r="Q139" s="258"/>
    </row>
    <row r="140" spans="2:25" x14ac:dyDescent="0.2">
      <c r="B140" s="242"/>
      <c r="M140" s="45" t="s">
        <v>136</v>
      </c>
      <c r="P140" s="270"/>
      <c r="Q140" s="272">
        <v>16386960.263109365</v>
      </c>
      <c r="R140" s="581">
        <v>0</v>
      </c>
      <c r="S140" s="581"/>
    </row>
    <row r="141" spans="2:25" x14ac:dyDescent="0.2">
      <c r="M141" s="45" t="s">
        <v>144</v>
      </c>
      <c r="P141" s="270"/>
      <c r="Q141" s="273">
        <v>4972180</v>
      </c>
    </row>
    <row r="142" spans="2:25" ht="12" thickBot="1" x14ac:dyDescent="0.25">
      <c r="O142" s="45" t="s">
        <v>145</v>
      </c>
      <c r="P142" s="270"/>
      <c r="Q142" s="274">
        <v>21359140.263109367</v>
      </c>
    </row>
    <row r="143" spans="2:25" ht="12" thickTop="1" x14ac:dyDescent="0.2"/>
    <row r="144" spans="2:25" x14ac:dyDescent="0.2">
      <c r="P144" s="270">
        <v>-141055.9</v>
      </c>
    </row>
    <row r="145" spans="13:22" x14ac:dyDescent="0.2">
      <c r="O145" s="352"/>
      <c r="V145" s="582"/>
    </row>
    <row r="146" spans="13:22" ht="12.75" x14ac:dyDescent="0.2">
      <c r="M146"/>
      <c r="N146"/>
      <c r="O146" s="352"/>
      <c r="V146" s="582"/>
    </row>
    <row r="147" spans="13:22" ht="12.75" x14ac:dyDescent="0.2">
      <c r="M147"/>
      <c r="N147"/>
      <c r="O147" s="352"/>
      <c r="V147" s="582"/>
    </row>
    <row r="148" spans="13:22" ht="12.75" x14ac:dyDescent="0.2">
      <c r="M148"/>
      <c r="N148"/>
      <c r="O148" s="352"/>
      <c r="V148" s="582"/>
    </row>
    <row r="149" spans="13:22" ht="12.75" x14ac:dyDescent="0.2">
      <c r="M149"/>
      <c r="N149"/>
      <c r="O149" s="352"/>
      <c r="V149" s="582"/>
    </row>
    <row r="150" spans="13:22" ht="12.75" x14ac:dyDescent="0.2">
      <c r="M150"/>
      <c r="N150"/>
      <c r="O150" s="352"/>
      <c r="V150" s="582"/>
    </row>
    <row r="151" spans="13:22" ht="12.75" x14ac:dyDescent="0.2">
      <c r="M151"/>
      <c r="N151"/>
      <c r="O151" s="178"/>
      <c r="V151" s="583"/>
    </row>
  </sheetData>
  <phoneticPr fontId="0" type="noConversion"/>
  <printOptions horizontalCentered="1" verticalCentered="1"/>
  <pageMargins left="0.2" right="0.22" top="0.25" bottom="0.35" header="0.28000000000000003" footer="0.22"/>
  <pageSetup paperSize="5" scale="61" fitToHeight="0" orientation="landscape" horizontalDpi="300" verticalDpi="300" r:id="rId1"/>
  <headerFooter alignWithMargins="0">
    <oddFooter>&amp;L&amp;"Arial,Italic"&amp;8&amp;D&amp;T&amp;R&amp;"Arial,Italic"&amp;8&amp;F&amp;A</oddFooter>
  </headerFooter>
  <rowBreaks count="1" manualBreakCount="1">
    <brk id="96" max="25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zoomScale="85" workbookViewId="0">
      <selection activeCell="G28" sqref="G28"/>
    </sheetView>
  </sheetViews>
  <sheetFormatPr defaultRowHeight="11.25" x14ac:dyDescent="0.2"/>
  <cols>
    <col min="1" max="2" width="10.7109375" style="45" customWidth="1"/>
    <col min="3" max="3" width="13.7109375" style="45" customWidth="1"/>
    <col min="4" max="4" width="10.7109375" style="45" customWidth="1"/>
    <col min="5" max="5" width="0" style="45" hidden="1" customWidth="1"/>
    <col min="6" max="6" width="12.7109375" style="45" customWidth="1"/>
    <col min="7" max="7" width="14.28515625" style="45" customWidth="1"/>
    <col min="8" max="8" width="10.7109375" style="45" customWidth="1"/>
    <col min="9" max="11" width="17.7109375" style="45" customWidth="1"/>
    <col min="12" max="12" width="17.28515625" style="45" bestFit="1" customWidth="1"/>
    <col min="13" max="16384" width="9.140625" style="45"/>
  </cols>
  <sheetData>
    <row r="1" spans="1:12" s="44" customFormat="1" ht="10.5" x14ac:dyDescent="0.15">
      <c r="A1" s="154" t="s">
        <v>46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2" s="44" customFormat="1" ht="10.5" x14ac:dyDescent="0.15">
      <c r="A2" s="154" t="s">
        <v>101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</row>
    <row r="3" spans="1:12" s="112" customFormat="1" x14ac:dyDescent="0.2">
      <c r="A3" s="154" t="s">
        <v>115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</row>
    <row r="4" spans="1:12" s="112" customFormat="1" x14ac:dyDescent="0.2">
      <c r="A4" s="588" t="s">
        <v>191</v>
      </c>
      <c r="B4" s="588"/>
      <c r="C4" s="588"/>
      <c r="D4" s="588"/>
      <c r="E4" s="588"/>
      <c r="F4" s="588"/>
      <c r="G4" s="588"/>
      <c r="H4" s="588"/>
      <c r="I4" s="588"/>
      <c r="J4" s="588"/>
      <c r="K4" s="588"/>
    </row>
    <row r="6" spans="1:12" s="46" customFormat="1" x14ac:dyDescent="0.2">
      <c r="A6" s="361" t="s">
        <v>39</v>
      </c>
      <c r="B6" s="362" t="s">
        <v>3</v>
      </c>
      <c r="C6" s="362" t="s">
        <v>3</v>
      </c>
      <c r="D6" s="362" t="s">
        <v>32</v>
      </c>
      <c r="E6" s="362"/>
      <c r="F6" s="362" t="s">
        <v>78</v>
      </c>
      <c r="G6" s="362" t="s">
        <v>117</v>
      </c>
      <c r="H6" s="362"/>
      <c r="I6" s="363" t="s">
        <v>42</v>
      </c>
      <c r="J6" s="364"/>
      <c r="K6" s="365"/>
    </row>
    <row r="7" spans="1:12" s="46" customFormat="1" x14ac:dyDescent="0.2">
      <c r="A7" s="366" t="s">
        <v>43</v>
      </c>
      <c r="B7" s="367" t="s">
        <v>9</v>
      </c>
      <c r="C7" s="367" t="s">
        <v>8</v>
      </c>
      <c r="D7" s="367" t="s">
        <v>104</v>
      </c>
      <c r="E7" s="367"/>
      <c r="F7" s="367" t="s">
        <v>107</v>
      </c>
      <c r="G7" s="367" t="s">
        <v>108</v>
      </c>
      <c r="H7" s="367"/>
      <c r="I7" s="367" t="s">
        <v>19</v>
      </c>
      <c r="J7" s="367" t="s">
        <v>20</v>
      </c>
      <c r="K7" s="368" t="s">
        <v>21</v>
      </c>
    </row>
    <row r="8" spans="1:12" x14ac:dyDescent="0.2">
      <c r="A8" s="169"/>
      <c r="B8" s="170"/>
      <c r="C8" s="170"/>
      <c r="D8" s="367"/>
      <c r="E8" s="170"/>
      <c r="F8" s="170"/>
      <c r="G8" s="369" t="s">
        <v>105</v>
      </c>
      <c r="H8" s="367"/>
      <c r="I8" s="333" t="s">
        <v>24</v>
      </c>
      <c r="J8" s="333" t="s">
        <v>24</v>
      </c>
      <c r="K8" s="334" t="s">
        <v>24</v>
      </c>
    </row>
    <row r="9" spans="1:12" ht="12.75" x14ac:dyDescent="0.2">
      <c r="A9" s="162"/>
      <c r="B9" s="163"/>
      <c r="C9" s="163"/>
      <c r="D9" s="370"/>
      <c r="E9" s="163"/>
      <c r="F9" s="163"/>
      <c r="G9" s="371"/>
      <c r="H9" s="372"/>
      <c r="I9" s="335"/>
      <c r="J9" s="335"/>
      <c r="K9" s="336"/>
      <c r="L9" s="379" t="s">
        <v>207</v>
      </c>
    </row>
    <row r="10" spans="1:12" ht="12.75" x14ac:dyDescent="0.2">
      <c r="A10" s="166">
        <v>36923</v>
      </c>
      <c r="B10" s="58"/>
      <c r="C10" s="57" t="s">
        <v>32</v>
      </c>
      <c r="D10" s="53">
        <v>6.2</v>
      </c>
      <c r="E10" s="58"/>
      <c r="F10" s="64">
        <f>20000*28</f>
        <v>560000</v>
      </c>
      <c r="G10" s="53"/>
      <c r="H10" s="53"/>
      <c r="I10" s="79">
        <f>+F10*D10</f>
        <v>3472000</v>
      </c>
      <c r="J10" s="56">
        <f>+I10</f>
        <v>3472000</v>
      </c>
      <c r="K10" s="56"/>
      <c r="L10" s="357">
        <f>IF(K10=0,0,IF(A10&lt;(Summary!$K$3+365),K10,0))</f>
        <v>0</v>
      </c>
    </row>
    <row r="11" spans="1:12" ht="12.75" x14ac:dyDescent="0.2">
      <c r="A11" s="166">
        <v>36951</v>
      </c>
      <c r="B11" s="58"/>
      <c r="C11" s="57" t="s">
        <v>32</v>
      </c>
      <c r="D11" s="53">
        <v>6.2</v>
      </c>
      <c r="E11" s="58"/>
      <c r="F11" s="64">
        <f>20000*31</f>
        <v>620000</v>
      </c>
      <c r="G11" s="53"/>
      <c r="H11" s="53"/>
      <c r="I11" s="79">
        <f t="shared" ref="I11:I20" si="0">+F11*D11</f>
        <v>3844000</v>
      </c>
      <c r="J11" s="56">
        <f>+I11</f>
        <v>3844000</v>
      </c>
      <c r="K11" s="56"/>
      <c r="L11" s="357">
        <f>IF(K11=0,0,IF(A11&lt;(Summary!$K$3+365),K11,0))</f>
        <v>0</v>
      </c>
    </row>
    <row r="12" spans="1:12" ht="12.75" x14ac:dyDescent="0.2">
      <c r="A12" s="166">
        <v>36982</v>
      </c>
      <c r="B12" s="58"/>
      <c r="C12" s="57" t="s">
        <v>32</v>
      </c>
      <c r="D12" s="53">
        <v>6.2</v>
      </c>
      <c r="E12" s="58"/>
      <c r="F12" s="64">
        <f>20000*30</f>
        <v>600000</v>
      </c>
      <c r="G12" s="53"/>
      <c r="H12" s="53"/>
      <c r="I12" s="79">
        <f t="shared" si="0"/>
        <v>3720000</v>
      </c>
      <c r="J12" s="56">
        <f>+I12</f>
        <v>3720000</v>
      </c>
      <c r="K12" s="56"/>
      <c r="L12" s="357">
        <f>IF(K12=0,0,IF(A12&lt;(Summary!$K$3+365),K12,0))</f>
        <v>0</v>
      </c>
    </row>
    <row r="13" spans="1:12" ht="12.75" x14ac:dyDescent="0.2">
      <c r="A13" s="166">
        <v>37012</v>
      </c>
      <c r="B13" s="58"/>
      <c r="C13" s="57" t="s">
        <v>32</v>
      </c>
      <c r="D13" s="53">
        <v>6.2</v>
      </c>
      <c r="E13" s="58"/>
      <c r="F13" s="64">
        <f>20000*31</f>
        <v>620000</v>
      </c>
      <c r="G13" s="53"/>
      <c r="H13" s="53"/>
      <c r="I13" s="79">
        <f t="shared" si="0"/>
        <v>3844000</v>
      </c>
      <c r="J13" s="56">
        <f>+I13</f>
        <v>3844000</v>
      </c>
      <c r="K13" s="56"/>
      <c r="L13" s="357">
        <f>IF(K13=0,0,IF(A13&lt;(Summary!$K$3+365),K13,0))</f>
        <v>0</v>
      </c>
    </row>
    <row r="14" spans="1:12" ht="12.75" x14ac:dyDescent="0.2">
      <c r="A14" s="166">
        <v>37043</v>
      </c>
      <c r="B14" s="58"/>
      <c r="C14" s="57" t="s">
        <v>32</v>
      </c>
      <c r="D14" s="53">
        <v>6.2</v>
      </c>
      <c r="E14" s="58"/>
      <c r="F14" s="64">
        <f>20000*30</f>
        <v>600000</v>
      </c>
      <c r="G14" s="53"/>
      <c r="H14" s="53"/>
      <c r="I14" s="79">
        <f t="shared" si="0"/>
        <v>3720000</v>
      </c>
      <c r="J14" s="56"/>
      <c r="K14" s="56">
        <f t="shared" ref="K14:K20" si="1">+I14</f>
        <v>3720000</v>
      </c>
      <c r="L14" s="357">
        <f>IF(K14=0,0,IF(A14&lt;(Summary!$K$3+365),K14,0))</f>
        <v>3720000</v>
      </c>
    </row>
    <row r="15" spans="1:12" ht="12.75" x14ac:dyDescent="0.2">
      <c r="A15" s="166">
        <v>37073</v>
      </c>
      <c r="B15" s="58"/>
      <c r="C15" s="57" t="s">
        <v>32</v>
      </c>
      <c r="D15" s="53">
        <v>6.2</v>
      </c>
      <c r="E15" s="58"/>
      <c r="F15" s="64">
        <f>20000*31</f>
        <v>620000</v>
      </c>
      <c r="G15" s="53"/>
      <c r="H15" s="53"/>
      <c r="I15" s="79">
        <f t="shared" si="0"/>
        <v>3844000</v>
      </c>
      <c r="J15" s="56"/>
      <c r="K15" s="56">
        <f t="shared" si="1"/>
        <v>3844000</v>
      </c>
      <c r="L15" s="357">
        <f>IF(K15=0,0,IF(A15&lt;(Summary!$K$3+365),K15,0))</f>
        <v>3844000</v>
      </c>
    </row>
    <row r="16" spans="1:12" ht="12.75" x14ac:dyDescent="0.2">
      <c r="A16" s="166">
        <v>37104</v>
      </c>
      <c r="B16" s="58"/>
      <c r="C16" s="57" t="s">
        <v>32</v>
      </c>
      <c r="D16" s="53">
        <v>6.2</v>
      </c>
      <c r="E16" s="58"/>
      <c r="F16" s="64">
        <f>20000*31</f>
        <v>620000</v>
      </c>
      <c r="G16" s="53"/>
      <c r="H16" s="53"/>
      <c r="I16" s="79">
        <f t="shared" si="0"/>
        <v>3844000</v>
      </c>
      <c r="J16" s="56"/>
      <c r="K16" s="56">
        <f t="shared" si="1"/>
        <v>3844000</v>
      </c>
      <c r="L16" s="357">
        <f>IF(K16=0,0,IF(A16&lt;(Summary!$K$3+365),K16,0))</f>
        <v>3844000</v>
      </c>
    </row>
    <row r="17" spans="1:12" ht="12.75" x14ac:dyDescent="0.2">
      <c r="A17" s="166">
        <v>37135</v>
      </c>
      <c r="B17" s="58"/>
      <c r="C17" s="57" t="s">
        <v>32</v>
      </c>
      <c r="D17" s="53">
        <v>6.2</v>
      </c>
      <c r="E17" s="58"/>
      <c r="F17" s="64">
        <f>20000*30</f>
        <v>600000</v>
      </c>
      <c r="G17" s="53"/>
      <c r="H17" s="53"/>
      <c r="I17" s="79">
        <f t="shared" si="0"/>
        <v>3720000</v>
      </c>
      <c r="J17" s="56"/>
      <c r="K17" s="56">
        <f t="shared" si="1"/>
        <v>3720000</v>
      </c>
      <c r="L17" s="357">
        <f>IF(K17=0,0,IF(A17&lt;(Summary!$K$3+365),K17,0))</f>
        <v>3720000</v>
      </c>
    </row>
    <row r="18" spans="1:12" ht="12.75" x14ac:dyDescent="0.2">
      <c r="A18" s="166">
        <v>37165</v>
      </c>
      <c r="B18" s="58"/>
      <c r="C18" s="57" t="s">
        <v>32</v>
      </c>
      <c r="D18" s="53">
        <v>6.2</v>
      </c>
      <c r="E18" s="58"/>
      <c r="F18" s="64">
        <f>20000*31</f>
        <v>620000</v>
      </c>
      <c r="G18" s="53"/>
      <c r="H18" s="53"/>
      <c r="I18" s="79">
        <f t="shared" si="0"/>
        <v>3844000</v>
      </c>
      <c r="J18" s="56"/>
      <c r="K18" s="56">
        <f t="shared" si="1"/>
        <v>3844000</v>
      </c>
      <c r="L18" s="357">
        <f>IF(K18=0,0,IF(A18&lt;(Summary!$K$3+365),K18,0))</f>
        <v>3844000</v>
      </c>
    </row>
    <row r="19" spans="1:12" ht="12.75" x14ac:dyDescent="0.2">
      <c r="A19" s="166">
        <v>37196</v>
      </c>
      <c r="B19" s="58"/>
      <c r="C19" s="57" t="s">
        <v>32</v>
      </c>
      <c r="D19" s="53">
        <v>6.2</v>
      </c>
      <c r="E19" s="58"/>
      <c r="F19" s="64">
        <f>20000*30</f>
        <v>600000</v>
      </c>
      <c r="G19" s="53"/>
      <c r="H19" s="53"/>
      <c r="I19" s="79">
        <f t="shared" si="0"/>
        <v>3720000</v>
      </c>
      <c r="J19" s="56"/>
      <c r="K19" s="56">
        <f t="shared" si="1"/>
        <v>3720000</v>
      </c>
      <c r="L19" s="357">
        <f>IF(K19=0,0,IF(A19&lt;(Summary!$K$3+365),K19,0))</f>
        <v>3720000</v>
      </c>
    </row>
    <row r="20" spans="1:12" ht="12.75" x14ac:dyDescent="0.2">
      <c r="A20" s="166">
        <v>37226</v>
      </c>
      <c r="B20" s="58"/>
      <c r="C20" s="57" t="s">
        <v>32</v>
      </c>
      <c r="D20" s="53">
        <v>6.2</v>
      </c>
      <c r="E20" s="58"/>
      <c r="F20" s="71">
        <f>20000*31</f>
        <v>620000</v>
      </c>
      <c r="G20" s="53"/>
      <c r="H20" s="53"/>
      <c r="I20" s="86">
        <f t="shared" si="0"/>
        <v>3844000</v>
      </c>
      <c r="J20" s="72"/>
      <c r="K20" s="72">
        <f t="shared" si="1"/>
        <v>3844000</v>
      </c>
      <c r="L20" s="357">
        <f>IF(K20=0,0,IF(A20&lt;(Summary!$K$3+365),K20,0))</f>
        <v>3844000</v>
      </c>
    </row>
    <row r="21" spans="1:12" x14ac:dyDescent="0.2">
      <c r="A21" s="166"/>
      <c r="B21" s="58"/>
      <c r="C21" s="57"/>
      <c r="D21" s="53"/>
      <c r="E21" s="58"/>
      <c r="F21" s="64">
        <f>SUM(F10:F20)</f>
        <v>6680000</v>
      </c>
      <c r="G21" s="53"/>
      <c r="H21" s="53"/>
      <c r="I21" s="79">
        <f>SUM(I10:I20)</f>
        <v>41416000</v>
      </c>
      <c r="J21" s="79">
        <f>SUM(J10:J20)</f>
        <v>14880000</v>
      </c>
      <c r="K21" s="56">
        <f>SUM(K10:K20)</f>
        <v>26536000</v>
      </c>
      <c r="L21" s="65">
        <f>SUM(L10:L20)</f>
        <v>26536000</v>
      </c>
    </row>
    <row r="22" spans="1:12" x14ac:dyDescent="0.2">
      <c r="A22" s="166"/>
      <c r="B22" s="58"/>
      <c r="C22" s="57"/>
      <c r="D22" s="53"/>
      <c r="E22" s="58"/>
      <c r="F22" s="64"/>
      <c r="G22" s="53"/>
      <c r="H22" s="53"/>
      <c r="I22" s="79"/>
      <c r="J22" s="56"/>
      <c r="K22" s="56"/>
      <c r="L22" s="58"/>
    </row>
    <row r="23" spans="1:12" x14ac:dyDescent="0.2">
      <c r="A23" s="166"/>
      <c r="B23" s="58"/>
      <c r="C23" s="57"/>
      <c r="D23" s="53"/>
      <c r="E23" s="58"/>
      <c r="F23" s="64"/>
      <c r="G23" s="53"/>
      <c r="H23" s="53"/>
      <c r="I23" s="79"/>
      <c r="J23" s="56"/>
      <c r="K23" s="56"/>
      <c r="L23" s="58"/>
    </row>
    <row r="24" spans="1:12" ht="12.75" x14ac:dyDescent="0.2">
      <c r="A24" s="166">
        <v>36923</v>
      </c>
      <c r="B24" s="58"/>
      <c r="C24" s="57" t="s">
        <v>117</v>
      </c>
      <c r="D24" s="53"/>
      <c r="E24" s="58"/>
      <c r="F24" s="64">
        <f>-20000*28</f>
        <v>-560000</v>
      </c>
      <c r="G24" s="53">
        <v>6.2930000000000001</v>
      </c>
      <c r="H24" s="53"/>
      <c r="I24" s="79">
        <f>+G24*F24</f>
        <v>-3524080</v>
      </c>
      <c r="J24" s="56">
        <f>+I24</f>
        <v>-3524080</v>
      </c>
      <c r="K24" s="56"/>
      <c r="L24" s="357">
        <f>IF(K24=0,0,IF(A24&lt;(Summary!$K$3+365),K24,0))</f>
        <v>0</v>
      </c>
    </row>
    <row r="25" spans="1:12" ht="12.75" x14ac:dyDescent="0.2">
      <c r="A25" s="166">
        <v>36951</v>
      </c>
      <c r="B25" s="58"/>
      <c r="C25" s="57" t="s">
        <v>117</v>
      </c>
      <c r="D25" s="53"/>
      <c r="E25" s="58"/>
      <c r="F25" s="64">
        <f>-20000*31</f>
        <v>-620000</v>
      </c>
      <c r="G25" s="53">
        <v>4.9980000000000002</v>
      </c>
      <c r="H25" s="53"/>
      <c r="I25" s="79">
        <f t="shared" ref="I25:I34" si="2">+G25*F25</f>
        <v>-3098760</v>
      </c>
      <c r="J25" s="56">
        <f>+I25</f>
        <v>-3098760</v>
      </c>
      <c r="K25" s="56"/>
      <c r="L25" s="357">
        <f>IF(K25=0,0,IF(A25&lt;(Summary!$K$3+365),K25,0))</f>
        <v>0</v>
      </c>
    </row>
    <row r="26" spans="1:12" ht="12.75" x14ac:dyDescent="0.2">
      <c r="A26" s="166">
        <v>36982</v>
      </c>
      <c r="B26" s="58"/>
      <c r="C26" s="57" t="s">
        <v>117</v>
      </c>
      <c r="D26" s="53"/>
      <c r="E26" s="58"/>
      <c r="F26" s="64">
        <f>-20000*30</f>
        <v>-600000</v>
      </c>
      <c r="G26" s="53">
        <v>5.3840000000000003</v>
      </c>
      <c r="H26" s="53"/>
      <c r="I26" s="79">
        <f t="shared" si="2"/>
        <v>-3230400</v>
      </c>
      <c r="J26" s="56">
        <f>+I26</f>
        <v>-3230400</v>
      </c>
      <c r="K26" s="56"/>
      <c r="L26" s="357">
        <f>IF(K26=0,0,IF(A26&lt;(Summary!$K$3+365),K26,0))</f>
        <v>0</v>
      </c>
    </row>
    <row r="27" spans="1:12" ht="12.75" x14ac:dyDescent="0.2">
      <c r="A27" s="166">
        <v>37012</v>
      </c>
      <c r="B27" s="58"/>
      <c r="C27" s="57" t="s">
        <v>117</v>
      </c>
      <c r="D27" s="53"/>
      <c r="E27" s="58"/>
      <c r="F27" s="64">
        <f>-20000*31</f>
        <v>-620000</v>
      </c>
      <c r="G27" s="53">
        <v>4.891</v>
      </c>
      <c r="H27" s="53"/>
      <c r="I27" s="79">
        <f t="shared" si="2"/>
        <v>-3032420</v>
      </c>
      <c r="J27" s="56">
        <f>+I27</f>
        <v>-3032420</v>
      </c>
      <c r="K27" s="56"/>
      <c r="L27" s="357">
        <f>IF(K27=0,0,IF(A27&lt;(Summary!$K$3+365),K27,0))</f>
        <v>0</v>
      </c>
    </row>
    <row r="28" spans="1:12" ht="12.75" x14ac:dyDescent="0.2">
      <c r="A28" s="166">
        <v>37043</v>
      </c>
      <c r="B28" s="58"/>
      <c r="C28" s="57" t="s">
        <v>117</v>
      </c>
      <c r="D28" s="53"/>
      <c r="E28" s="58"/>
      <c r="F28" s="64">
        <f>-20000*30</f>
        <v>-600000</v>
      </c>
      <c r="G28" s="53">
        <v>3.738</v>
      </c>
      <c r="H28" s="53"/>
      <c r="I28" s="79">
        <f t="shared" si="2"/>
        <v>-2242800</v>
      </c>
      <c r="J28" s="56"/>
      <c r="K28" s="56">
        <f t="shared" ref="K28:K34" si="3">+J28+I28</f>
        <v>-2242800</v>
      </c>
      <c r="L28" s="357">
        <f>IF(K28=0,0,IF(A28&lt;(Summary!$K$3+365),K28,0))</f>
        <v>-2242800</v>
      </c>
    </row>
    <row r="29" spans="1:12" ht="12.75" x14ac:dyDescent="0.2">
      <c r="A29" s="166">
        <v>37073</v>
      </c>
      <c r="B29" s="58"/>
      <c r="C29" s="57" t="s">
        <v>117</v>
      </c>
      <c r="D29" s="53"/>
      <c r="E29" s="58"/>
      <c r="F29" s="64">
        <f>-20000*31</f>
        <v>-620000</v>
      </c>
      <c r="G29" s="53">
        <f>+[4]NYMEX!$C9</f>
        <v>3.9140000000000001</v>
      </c>
      <c r="H29" s="53"/>
      <c r="I29" s="79">
        <f t="shared" si="2"/>
        <v>-2426680</v>
      </c>
      <c r="J29" s="56"/>
      <c r="K29" s="56">
        <f t="shared" si="3"/>
        <v>-2426680</v>
      </c>
      <c r="L29" s="357">
        <f>IF(K29=0,0,IF(A29&lt;(Summary!$K$3+365),K29,0))</f>
        <v>-2426680</v>
      </c>
    </row>
    <row r="30" spans="1:12" ht="12.75" x14ac:dyDescent="0.2">
      <c r="A30" s="166">
        <v>37104</v>
      </c>
      <c r="B30" s="58"/>
      <c r="C30" s="57" t="s">
        <v>117</v>
      </c>
      <c r="D30" s="53"/>
      <c r="E30" s="58"/>
      <c r="F30" s="64">
        <f>-20000*31</f>
        <v>-620000</v>
      </c>
      <c r="G30" s="53">
        <f>+[4]NYMEX!$C10</f>
        <v>3.99</v>
      </c>
      <c r="H30" s="53"/>
      <c r="I30" s="79">
        <f t="shared" si="2"/>
        <v>-2473800</v>
      </c>
      <c r="J30" s="56"/>
      <c r="K30" s="56">
        <f t="shared" si="3"/>
        <v>-2473800</v>
      </c>
      <c r="L30" s="357">
        <f>IF(K30=0,0,IF(A30&lt;(Summary!$K$3+365),K30,0))</f>
        <v>-2473800</v>
      </c>
    </row>
    <row r="31" spans="1:12" ht="12.75" x14ac:dyDescent="0.2">
      <c r="A31" s="166">
        <v>37135</v>
      </c>
      <c r="B31" s="58"/>
      <c r="C31" s="57" t="s">
        <v>117</v>
      </c>
      <c r="D31" s="53"/>
      <c r="E31" s="58"/>
      <c r="F31" s="64">
        <f>-20000*30</f>
        <v>-600000</v>
      </c>
      <c r="G31" s="53">
        <f>+[4]NYMEX!$C11</f>
        <v>4.0220000000000002</v>
      </c>
      <c r="H31" s="53"/>
      <c r="I31" s="79">
        <f t="shared" si="2"/>
        <v>-2413200</v>
      </c>
      <c r="J31" s="56"/>
      <c r="K31" s="56">
        <f t="shared" si="3"/>
        <v>-2413200</v>
      </c>
      <c r="L31" s="357">
        <f>IF(K31=0,0,IF(A31&lt;(Summary!$K$3+365),K31,0))</f>
        <v>-2413200</v>
      </c>
    </row>
    <row r="32" spans="1:12" ht="12.75" x14ac:dyDescent="0.2">
      <c r="A32" s="166">
        <v>37165</v>
      </c>
      <c r="B32" s="58"/>
      <c r="C32" s="57" t="s">
        <v>117</v>
      </c>
      <c r="D32" s="53"/>
      <c r="E32" s="58"/>
      <c r="F32" s="64">
        <f>-20000*31</f>
        <v>-620000</v>
      </c>
      <c r="G32" s="53">
        <f>+[4]NYMEX!$C12</f>
        <v>4.048</v>
      </c>
      <c r="H32" s="53"/>
      <c r="I32" s="79">
        <f t="shared" si="2"/>
        <v>-2509760</v>
      </c>
      <c r="J32" s="56"/>
      <c r="K32" s="56">
        <f t="shared" si="3"/>
        <v>-2509760</v>
      </c>
      <c r="L32" s="357">
        <f>IF(K32=0,0,IF(A32&lt;(Summary!$K$3+365),K32,0))</f>
        <v>-2509760</v>
      </c>
    </row>
    <row r="33" spans="1:12" ht="12.75" x14ac:dyDescent="0.2">
      <c r="A33" s="166">
        <v>37196</v>
      </c>
      <c r="B33" s="58"/>
      <c r="C33" s="57" t="s">
        <v>117</v>
      </c>
      <c r="D33" s="53"/>
      <c r="E33" s="58"/>
      <c r="F33" s="64">
        <f>-20000*30</f>
        <v>-600000</v>
      </c>
      <c r="G33" s="53">
        <f>+[4]NYMEX!$C13</f>
        <v>4.21</v>
      </c>
      <c r="H33" s="53"/>
      <c r="I33" s="79">
        <f t="shared" si="2"/>
        <v>-2526000</v>
      </c>
      <c r="J33" s="56"/>
      <c r="K33" s="56">
        <f t="shared" si="3"/>
        <v>-2526000</v>
      </c>
      <c r="L33" s="357">
        <f>IF(K33=0,0,IF(A33&lt;(Summary!$K$3+365),K33,0))</f>
        <v>-2526000</v>
      </c>
    </row>
    <row r="34" spans="1:12" ht="12.75" x14ac:dyDescent="0.2">
      <c r="A34" s="166">
        <v>37226</v>
      </c>
      <c r="B34" s="58"/>
      <c r="C34" s="57" t="s">
        <v>117</v>
      </c>
      <c r="D34" s="53"/>
      <c r="E34" s="58"/>
      <c r="F34" s="71">
        <f>-20000*31</f>
        <v>-620000</v>
      </c>
      <c r="G34" s="53">
        <f>+[4]NYMEX!$C14</f>
        <v>4.3730000000000002</v>
      </c>
      <c r="H34" s="53"/>
      <c r="I34" s="86">
        <f t="shared" si="2"/>
        <v>-2711260</v>
      </c>
      <c r="J34" s="72"/>
      <c r="K34" s="73">
        <f t="shared" si="3"/>
        <v>-2711260</v>
      </c>
      <c r="L34" s="357">
        <f>IF(K34=0,0,IF(A34&lt;(Summary!$K$3+365),K34,0))</f>
        <v>-2711260</v>
      </c>
    </row>
    <row r="35" spans="1:12" x14ac:dyDescent="0.2">
      <c r="A35" s="166"/>
      <c r="B35" s="58"/>
      <c r="C35" s="57"/>
      <c r="D35" s="53"/>
      <c r="E35" s="58"/>
      <c r="F35" s="64">
        <f>SUM(F24:F34)</f>
        <v>-6680000</v>
      </c>
      <c r="G35" s="53"/>
      <c r="H35" s="53"/>
      <c r="I35" s="79">
        <f>SUM(I24:I34)</f>
        <v>-30189160</v>
      </c>
      <c r="J35" s="79">
        <f>SUM(J24:J34)</f>
        <v>-12885660</v>
      </c>
      <c r="K35" s="79">
        <f>SUM(K24:K34)</f>
        <v>-17303500</v>
      </c>
      <c r="L35" s="65">
        <f>SUM(L24:L34)</f>
        <v>-17303500</v>
      </c>
    </row>
    <row r="36" spans="1:12" x14ac:dyDescent="0.2">
      <c r="A36" s="166"/>
      <c r="B36" s="58"/>
      <c r="C36" s="57"/>
      <c r="D36" s="53"/>
      <c r="E36" s="58"/>
      <c r="F36" s="64"/>
      <c r="G36" s="53"/>
      <c r="H36" s="53"/>
      <c r="I36" s="79"/>
      <c r="J36" s="56"/>
      <c r="K36" s="56"/>
      <c r="L36" s="58"/>
    </row>
    <row r="37" spans="1:12" x14ac:dyDescent="0.2">
      <c r="A37" s="58"/>
      <c r="B37" s="58"/>
      <c r="C37" s="58"/>
      <c r="D37" s="58"/>
      <c r="E37" s="58"/>
      <c r="F37" s="58"/>
      <c r="G37" s="58"/>
      <c r="H37" s="53"/>
      <c r="I37" s="58"/>
      <c r="J37" s="59"/>
      <c r="K37" s="59"/>
      <c r="L37" s="81"/>
    </row>
    <row r="38" spans="1:12" ht="12" thickBot="1" x14ac:dyDescent="0.25">
      <c r="A38" s="58"/>
      <c r="B38" s="58"/>
      <c r="C38" s="58"/>
      <c r="D38" s="58"/>
      <c r="E38" s="58"/>
      <c r="F38" s="168">
        <f>+F35+F21</f>
        <v>0</v>
      </c>
      <c r="G38" s="58"/>
      <c r="H38" s="58"/>
      <c r="I38" s="238">
        <f>+I21+I35</f>
        <v>11226840</v>
      </c>
      <c r="J38" s="238">
        <f>+J21+J35</f>
        <v>1994340</v>
      </c>
      <c r="K38" s="238">
        <f>+K21+K35</f>
        <v>9232500</v>
      </c>
      <c r="L38" s="238">
        <f>+L21+L35</f>
        <v>9232500</v>
      </c>
    </row>
    <row r="39" spans="1:12" ht="12" thickTop="1" x14ac:dyDescent="0.2">
      <c r="A39" s="81"/>
      <c r="B39" s="81"/>
      <c r="C39" s="81"/>
      <c r="D39" s="81"/>
      <c r="E39" s="81"/>
      <c r="F39" s="81"/>
      <c r="G39" s="81"/>
      <c r="H39" s="81"/>
      <c r="I39" s="81"/>
      <c r="J39" s="82"/>
      <c r="K39" s="82"/>
      <c r="L39" s="82"/>
    </row>
    <row r="41" spans="1:12" x14ac:dyDescent="0.2">
      <c r="A41" s="22" t="s">
        <v>37</v>
      </c>
      <c r="J41" s="143"/>
    </row>
  </sheetData>
  <mergeCells count="1">
    <mergeCell ref="A4:K4"/>
  </mergeCells>
  <phoneticPr fontId="0" type="noConversion"/>
  <pageMargins left="0.75" right="0.75" top="1" bottom="1" header="0.5" footer="0.5"/>
  <pageSetup scale="80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2"/>
  <sheetViews>
    <sheetView zoomScale="90" workbookViewId="0">
      <selection activeCell="G16" sqref="G16"/>
    </sheetView>
  </sheetViews>
  <sheetFormatPr defaultRowHeight="12.75" x14ac:dyDescent="0.2"/>
  <cols>
    <col min="1" max="1" width="10.7109375" customWidth="1"/>
    <col min="2" max="2" width="14.28515625" customWidth="1"/>
    <col min="3" max="3" width="13.7109375" customWidth="1"/>
    <col min="4" max="4" width="15" bestFit="1" customWidth="1"/>
    <col min="5" max="5" width="0" hidden="1" customWidth="1"/>
    <col min="6" max="7" width="15" bestFit="1" customWidth="1"/>
    <col min="8" max="8" width="13.42578125" style="128" customWidth="1"/>
    <col min="9" max="9" width="17.85546875" bestFit="1" customWidth="1"/>
    <col min="10" max="10" width="14.42578125" customWidth="1"/>
    <col min="11" max="11" width="17.28515625" customWidth="1"/>
  </cols>
  <sheetData>
    <row r="1" spans="1:12" s="2" customFormat="1" ht="15" x14ac:dyDescent="0.2">
      <c r="A1" s="1" t="s">
        <v>46</v>
      </c>
      <c r="B1" s="1"/>
      <c r="C1" s="1"/>
      <c r="D1" s="1"/>
      <c r="E1" s="1"/>
      <c r="F1" s="1"/>
      <c r="G1" s="1"/>
      <c r="H1" s="127"/>
      <c r="I1" s="1"/>
      <c r="J1" s="1"/>
      <c r="K1" s="1"/>
    </row>
    <row r="2" spans="1:12" s="2" customFormat="1" ht="15" x14ac:dyDescent="0.2">
      <c r="A2" s="1" t="s">
        <v>81</v>
      </c>
      <c r="B2" s="1"/>
      <c r="C2" s="1"/>
      <c r="D2" s="1"/>
      <c r="E2" s="1"/>
      <c r="F2" s="1"/>
      <c r="G2" s="1"/>
      <c r="H2" s="127"/>
      <c r="I2" s="1"/>
      <c r="J2" s="1"/>
      <c r="K2" s="1"/>
    </row>
    <row r="3" spans="1:12" s="4" customFormat="1" ht="15.75" x14ac:dyDescent="0.25">
      <c r="A3" s="592" t="s">
        <v>92</v>
      </c>
      <c r="B3" s="592"/>
      <c r="C3" s="592"/>
      <c r="D3" s="592"/>
      <c r="E3" s="592"/>
      <c r="F3" s="592"/>
      <c r="G3" s="592"/>
      <c r="H3" s="592"/>
      <c r="I3" s="592"/>
      <c r="J3" s="592"/>
      <c r="K3" s="592"/>
    </row>
    <row r="4" spans="1:12" s="4" customFormat="1" ht="15.75" x14ac:dyDescent="0.25">
      <c r="A4" s="591"/>
      <c r="B4" s="591"/>
      <c r="C4" s="591"/>
      <c r="D4" s="591"/>
      <c r="E4" s="591"/>
      <c r="F4" s="591"/>
      <c r="G4" s="591"/>
      <c r="H4" s="591"/>
      <c r="I4" s="591"/>
      <c r="J4" s="591"/>
      <c r="K4" s="591"/>
    </row>
    <row r="5" spans="1:12" x14ac:dyDescent="0.2">
      <c r="A5" s="316"/>
      <c r="B5" s="316"/>
      <c r="C5" s="316"/>
      <c r="D5" s="316"/>
      <c r="E5" s="316"/>
      <c r="F5" s="316"/>
      <c r="G5" s="316"/>
      <c r="H5" s="389"/>
      <c r="I5" s="316"/>
      <c r="J5" s="316"/>
    </row>
    <row r="6" spans="1:12" s="7" customFormat="1" x14ac:dyDescent="0.2">
      <c r="A6" s="319" t="s">
        <v>39</v>
      </c>
      <c r="B6" s="290" t="s">
        <v>3</v>
      </c>
      <c r="C6" s="290" t="s">
        <v>3</v>
      </c>
      <c r="D6" s="290" t="s">
        <v>32</v>
      </c>
      <c r="E6" s="290"/>
      <c r="F6" s="290" t="s">
        <v>14</v>
      </c>
      <c r="G6" s="290" t="s">
        <v>85</v>
      </c>
      <c r="H6" s="291" t="s">
        <v>42</v>
      </c>
      <c r="I6" s="292"/>
      <c r="J6" s="293"/>
    </row>
    <row r="7" spans="1:12" s="7" customFormat="1" x14ac:dyDescent="0.2">
      <c r="A7" s="320" t="s">
        <v>43</v>
      </c>
      <c r="B7" s="294" t="s">
        <v>9</v>
      </c>
      <c r="C7" s="294" t="s">
        <v>8</v>
      </c>
      <c r="D7" s="294" t="s">
        <v>82</v>
      </c>
      <c r="E7" s="294"/>
      <c r="F7" s="294" t="s">
        <v>44</v>
      </c>
      <c r="G7" s="294" t="s">
        <v>83</v>
      </c>
      <c r="H7" s="294" t="s">
        <v>19</v>
      </c>
      <c r="I7" s="294" t="s">
        <v>20</v>
      </c>
      <c r="J7" s="295" t="s">
        <v>21</v>
      </c>
    </row>
    <row r="8" spans="1:12" x14ac:dyDescent="0.2">
      <c r="A8" s="321"/>
      <c r="B8" s="296"/>
      <c r="C8" s="296"/>
      <c r="D8" s="147" t="s">
        <v>95</v>
      </c>
      <c r="E8" s="296"/>
      <c r="F8" s="296"/>
      <c r="G8" s="297" t="s">
        <v>96</v>
      </c>
      <c r="H8" s="298" t="s">
        <v>24</v>
      </c>
      <c r="I8" s="298" t="s">
        <v>24</v>
      </c>
      <c r="J8" s="299" t="s">
        <v>24</v>
      </c>
      <c r="K8" s="379" t="s">
        <v>207</v>
      </c>
    </row>
    <row r="9" spans="1:12" s="135" customFormat="1" x14ac:dyDescent="0.2">
      <c r="A9" s="129">
        <v>36831</v>
      </c>
      <c r="B9" s="130" t="s">
        <v>93</v>
      </c>
      <c r="C9" s="131" t="s">
        <v>94</v>
      </c>
      <c r="D9" s="414">
        <v>63754.1</v>
      </c>
      <c r="E9" s="376"/>
      <c r="F9" s="415"/>
      <c r="G9" s="414">
        <v>65033.440000000002</v>
      </c>
      <c r="H9" s="414">
        <f>+G9-D9</f>
        <v>1279.3400000000038</v>
      </c>
      <c r="I9" s="133">
        <f t="shared" ref="I9:I15" si="0">+H9</f>
        <v>1279.3400000000038</v>
      </c>
      <c r="J9" s="151"/>
      <c r="K9" s="357">
        <f>IF(J9=0,0,IF(A9&lt;(Summary!$K$3+365),J9,0))</f>
        <v>0</v>
      </c>
      <c r="L9" s="134"/>
    </row>
    <row r="10" spans="1:12" x14ac:dyDescent="0.2">
      <c r="A10" s="23">
        <v>36861</v>
      </c>
      <c r="B10" s="130" t="s">
        <v>93</v>
      </c>
      <c r="C10" s="131" t="s">
        <v>94</v>
      </c>
      <c r="D10" s="414">
        <v>65879.34</v>
      </c>
      <c r="E10" s="376"/>
      <c r="F10" s="415"/>
      <c r="G10" s="414">
        <v>66423.8</v>
      </c>
      <c r="H10" s="414">
        <f t="shared" ref="H10:H32" si="1">+G10-D10</f>
        <v>544.4600000000064</v>
      </c>
      <c r="I10" s="133">
        <f t="shared" si="0"/>
        <v>544.4600000000064</v>
      </c>
      <c r="J10" s="41"/>
      <c r="K10" s="357">
        <f>IF(J10=0,0,IF(A10&lt;(Summary!$K$3+365),J10,0))</f>
        <v>0</v>
      </c>
      <c r="L10" s="115"/>
    </row>
    <row r="11" spans="1:12" x14ac:dyDescent="0.2">
      <c r="A11" s="23">
        <v>36892</v>
      </c>
      <c r="B11" s="130" t="s">
        <v>93</v>
      </c>
      <c r="C11" s="131" t="s">
        <v>94</v>
      </c>
      <c r="D11" s="414">
        <v>65879.34</v>
      </c>
      <c r="E11" s="381"/>
      <c r="F11" s="416"/>
      <c r="G11" s="414">
        <f>100466*0.66777</f>
        <v>67088.180819999994</v>
      </c>
      <c r="H11" s="414">
        <f t="shared" si="1"/>
        <v>1208.8408199999976</v>
      </c>
      <c r="I11" s="133">
        <f t="shared" si="0"/>
        <v>1208.8408199999976</v>
      </c>
      <c r="J11" s="41"/>
      <c r="K11" s="357">
        <f>IF(J11=0,0,IF(A11&lt;(Summary!$K$3+365),J11,0))</f>
        <v>0</v>
      </c>
      <c r="L11" s="115"/>
    </row>
    <row r="12" spans="1:12" x14ac:dyDescent="0.2">
      <c r="A12" s="23">
        <v>36923</v>
      </c>
      <c r="B12" s="130" t="s">
        <v>93</v>
      </c>
      <c r="C12" s="131" t="s">
        <v>94</v>
      </c>
      <c r="D12" s="414">
        <v>59504.26</v>
      </c>
      <c r="E12" s="381"/>
      <c r="F12" s="416"/>
      <c r="G12" s="414">
        <f>90744*0.6544</f>
        <v>59382.873599999999</v>
      </c>
      <c r="H12" s="414">
        <f t="shared" si="1"/>
        <v>-121.38640000000305</v>
      </c>
      <c r="I12" s="133">
        <f t="shared" si="0"/>
        <v>-121.38640000000305</v>
      </c>
      <c r="J12" s="41"/>
      <c r="K12" s="357">
        <f>IF(J12=0,0,IF(A12&lt;(Summary!$K$3+365),J12,0))</f>
        <v>0</v>
      </c>
      <c r="L12" s="115"/>
    </row>
    <row r="13" spans="1:12" x14ac:dyDescent="0.2">
      <c r="A13" s="23">
        <v>36951</v>
      </c>
      <c r="B13" s="130" t="s">
        <v>93</v>
      </c>
      <c r="C13" s="131" t="s">
        <v>94</v>
      </c>
      <c r="D13" s="414">
        <v>65879.34</v>
      </c>
      <c r="E13" s="381"/>
      <c r="F13" s="416"/>
      <c r="G13" s="414">
        <f>100466*0.64226</f>
        <v>64525.293160000008</v>
      </c>
      <c r="H13" s="414">
        <f t="shared" si="1"/>
        <v>-1354.0468399999882</v>
      </c>
      <c r="I13" s="133">
        <f t="shared" si="0"/>
        <v>-1354.0468399999882</v>
      </c>
      <c r="J13" s="41"/>
      <c r="K13" s="357">
        <f>IF(J13=0,0,IF(A13&lt;(Summary!$K$3+365),J13,0))</f>
        <v>0</v>
      </c>
      <c r="L13" s="115"/>
    </row>
    <row r="14" spans="1:12" x14ac:dyDescent="0.2">
      <c r="A14" s="23">
        <v>36982</v>
      </c>
      <c r="B14" s="130" t="s">
        <v>93</v>
      </c>
      <c r="C14" s="131" t="s">
        <v>94</v>
      </c>
      <c r="D14" s="414">
        <v>63754.1</v>
      </c>
      <c r="E14" s="381"/>
      <c r="F14" s="416"/>
      <c r="G14" s="414">
        <f>97225*0.6399</f>
        <v>62214.277500000004</v>
      </c>
      <c r="H14" s="414">
        <f t="shared" si="1"/>
        <v>-1539.8224999999948</v>
      </c>
      <c r="I14" s="133">
        <f t="shared" si="0"/>
        <v>-1539.8224999999948</v>
      </c>
      <c r="J14" s="41"/>
      <c r="K14" s="357">
        <f>IF(J14=0,0,IF(A14&lt;(Summary!$K$3+365),J14,0))</f>
        <v>0</v>
      </c>
      <c r="L14" s="115"/>
    </row>
    <row r="15" spans="1:12" x14ac:dyDescent="0.2">
      <c r="A15" s="23">
        <v>37012</v>
      </c>
      <c r="B15" s="130" t="s">
        <v>93</v>
      </c>
      <c r="C15" s="131" t="s">
        <v>94</v>
      </c>
      <c r="D15" s="414">
        <v>65879.34</v>
      </c>
      <c r="E15" s="381"/>
      <c r="F15" s="414">
        <f>100466</f>
        <v>100466</v>
      </c>
      <c r="G15" s="414">
        <f>100466*1/1.5467</f>
        <v>64955.065623585702</v>
      </c>
      <c r="H15" s="414">
        <f t="shared" si="1"/>
        <v>-924.27437641429424</v>
      </c>
      <c r="I15" s="133">
        <f t="shared" si="0"/>
        <v>-924.27437641429424</v>
      </c>
      <c r="J15" s="41"/>
      <c r="K15" s="357">
        <f>IF(J15=0,0,IF(A15&lt;(Summary!$K$3+365),J15,0))</f>
        <v>0</v>
      </c>
      <c r="L15" s="115"/>
    </row>
    <row r="16" spans="1:12" x14ac:dyDescent="0.2">
      <c r="A16" s="23">
        <v>37043</v>
      </c>
      <c r="B16" s="130" t="s">
        <v>93</v>
      </c>
      <c r="C16" s="131" t="s">
        <v>94</v>
      </c>
      <c r="D16" s="414">
        <v>63754.1</v>
      </c>
      <c r="E16" s="381"/>
      <c r="F16" s="414">
        <f>97225</f>
        <v>97225</v>
      </c>
      <c r="G16" s="414">
        <f>F16*(1/[6]Curves!$W11)</f>
        <v>63247.234078789334</v>
      </c>
      <c r="H16" s="414">
        <f t="shared" si="1"/>
        <v>-506.86592121066496</v>
      </c>
      <c r="I16" s="136"/>
      <c r="J16" s="41">
        <f t="shared" ref="J16:J32" si="2">+H16</f>
        <v>-506.86592121066496</v>
      </c>
      <c r="K16" s="357">
        <f>IF(J16=0,0,IF(A16&lt;(Summary!$K$3+365),J16,0))</f>
        <v>-506.86592121066496</v>
      </c>
      <c r="L16" s="115"/>
    </row>
    <row r="17" spans="1:12" x14ac:dyDescent="0.2">
      <c r="A17" s="23">
        <v>37073</v>
      </c>
      <c r="B17" s="130" t="s">
        <v>93</v>
      </c>
      <c r="C17" s="131" t="s">
        <v>94</v>
      </c>
      <c r="D17" s="414">
        <v>65879.34</v>
      </c>
      <c r="E17" s="381"/>
      <c r="F17" s="414">
        <f>100466</f>
        <v>100466</v>
      </c>
      <c r="G17" s="414">
        <f>F17*(1/[6]Curves!$W12)</f>
        <v>65333.527420636827</v>
      </c>
      <c r="H17" s="414">
        <f t="shared" si="1"/>
        <v>-545.81257936316979</v>
      </c>
      <c r="I17" s="136"/>
      <c r="J17" s="41">
        <f t="shared" si="2"/>
        <v>-545.81257936316979</v>
      </c>
      <c r="K17" s="357">
        <f>IF(J17=0,0,IF(A17&lt;(Summary!$K$3+365),J17,0))</f>
        <v>-545.81257936316979</v>
      </c>
      <c r="L17" s="115"/>
    </row>
    <row r="18" spans="1:12" x14ac:dyDescent="0.2">
      <c r="A18" s="23">
        <v>37104</v>
      </c>
      <c r="B18" s="130" t="s">
        <v>93</v>
      </c>
      <c r="C18" s="131" t="s">
        <v>94</v>
      </c>
      <c r="D18" s="414">
        <v>65879.34</v>
      </c>
      <c r="E18" s="381"/>
      <c r="F18" s="414">
        <f>100466</f>
        <v>100466</v>
      </c>
      <c r="G18" s="414">
        <f>F18*(1/[6]Curves!$W13)</f>
        <v>65309.617268414055</v>
      </c>
      <c r="H18" s="414">
        <f t="shared" si="1"/>
        <v>-569.7227315859418</v>
      </c>
      <c r="I18" s="136"/>
      <c r="J18" s="41">
        <f t="shared" si="2"/>
        <v>-569.7227315859418</v>
      </c>
      <c r="K18" s="357">
        <f>IF(J18=0,0,IF(A18&lt;(Summary!$K$3+365),J18,0))</f>
        <v>-569.7227315859418</v>
      </c>
      <c r="L18" s="115"/>
    </row>
    <row r="19" spans="1:12" x14ac:dyDescent="0.2">
      <c r="A19" s="23">
        <v>37135</v>
      </c>
      <c r="B19" s="130" t="s">
        <v>93</v>
      </c>
      <c r="C19" s="131" t="s">
        <v>94</v>
      </c>
      <c r="D19" s="414">
        <v>63754.1</v>
      </c>
      <c r="E19" s="381"/>
      <c r="F19" s="414">
        <f>97225</f>
        <v>97225</v>
      </c>
      <c r="G19" s="414">
        <f>F19*(1/[6]Curves!$W14)</f>
        <v>63176.483364877007</v>
      </c>
      <c r="H19" s="414">
        <f t="shared" si="1"/>
        <v>-577.61663512299128</v>
      </c>
      <c r="I19" s="136"/>
      <c r="J19" s="41">
        <f t="shared" si="2"/>
        <v>-577.61663512299128</v>
      </c>
      <c r="K19" s="357">
        <f>IF(J19=0,0,IF(A19&lt;(Summary!$K$3+365),J19,0))</f>
        <v>-577.61663512299128</v>
      </c>
      <c r="L19" s="115"/>
    </row>
    <row r="20" spans="1:12" x14ac:dyDescent="0.2">
      <c r="A20" s="23">
        <v>37165</v>
      </c>
      <c r="B20" s="130" t="s">
        <v>93</v>
      </c>
      <c r="C20" s="131" t="s">
        <v>94</v>
      </c>
      <c r="D20" s="414">
        <v>65879.34</v>
      </c>
      <c r="E20" s="381"/>
      <c r="F20" s="414">
        <f>100466</f>
        <v>100466</v>
      </c>
      <c r="G20" s="414">
        <f>F20*(1/[6]Curves!$W15)</f>
        <v>65243.316899173689</v>
      </c>
      <c r="H20" s="414">
        <f t="shared" si="1"/>
        <v>-636.0231008263072</v>
      </c>
      <c r="I20" s="136"/>
      <c r="J20" s="41">
        <f t="shared" si="2"/>
        <v>-636.0231008263072</v>
      </c>
      <c r="K20" s="357">
        <f>IF(J20=0,0,IF(A20&lt;(Summary!$K$3+365),J20,0))</f>
        <v>-636.0231008263072</v>
      </c>
      <c r="L20" s="115"/>
    </row>
    <row r="21" spans="1:12" x14ac:dyDescent="0.2">
      <c r="A21" s="23">
        <v>37196</v>
      </c>
      <c r="B21" s="130" t="s">
        <v>93</v>
      </c>
      <c r="C21" s="131" t="s">
        <v>94</v>
      </c>
      <c r="D21" s="414">
        <v>63754.1</v>
      </c>
      <c r="E21" s="381"/>
      <c r="F21" s="414">
        <f>97225</f>
        <v>97225</v>
      </c>
      <c r="G21" s="414">
        <f>F21*(1/[6]Curves!$W16)</f>
        <v>63111.739012778671</v>
      </c>
      <c r="H21" s="414">
        <f t="shared" si="1"/>
        <v>-642.36098722132738</v>
      </c>
      <c r="I21" s="136"/>
      <c r="J21" s="41">
        <f t="shared" si="2"/>
        <v>-642.36098722132738</v>
      </c>
      <c r="K21" s="357">
        <f>IF(J21=0,0,IF(A21&lt;(Summary!$K$3+365),J21,0))</f>
        <v>-642.36098722132738</v>
      </c>
      <c r="L21" s="115"/>
    </row>
    <row r="22" spans="1:12" x14ac:dyDescent="0.2">
      <c r="A22" s="23">
        <v>37226</v>
      </c>
      <c r="B22" s="130" t="s">
        <v>93</v>
      </c>
      <c r="C22" s="131" t="s">
        <v>94</v>
      </c>
      <c r="D22" s="414">
        <v>65879.34</v>
      </c>
      <c r="E22" s="381"/>
      <c r="F22" s="414">
        <f>100466</f>
        <v>100466</v>
      </c>
      <c r="G22" s="414">
        <f>F22*(1/[6]Curves!$W17)</f>
        <v>65189.019700216231</v>
      </c>
      <c r="H22" s="414">
        <f t="shared" si="1"/>
        <v>-690.32029978376522</v>
      </c>
      <c r="I22" s="136"/>
      <c r="J22" s="41">
        <f t="shared" si="2"/>
        <v>-690.32029978376522</v>
      </c>
      <c r="K22" s="357">
        <f>IF(J22=0,0,IF(A22&lt;(Summary!$K$3+365),J22,0))</f>
        <v>-690.32029978376522</v>
      </c>
      <c r="L22" s="115"/>
    </row>
    <row r="23" spans="1:12" x14ac:dyDescent="0.2">
      <c r="A23" s="23">
        <v>37257</v>
      </c>
      <c r="B23" s="130" t="s">
        <v>93</v>
      </c>
      <c r="C23" s="131" t="s">
        <v>94</v>
      </c>
      <c r="D23" s="414">
        <v>65879.34</v>
      </c>
      <c r="E23" s="381"/>
      <c r="F23" s="414">
        <f>100466</f>
        <v>100466</v>
      </c>
      <c r="G23" s="414">
        <f>F23*(1/[6]Curves!$W18)</f>
        <v>65163.497953784208</v>
      </c>
      <c r="H23" s="414">
        <f t="shared" si="1"/>
        <v>-715.84204621578829</v>
      </c>
      <c r="I23" s="136"/>
      <c r="J23" s="41">
        <f t="shared" si="2"/>
        <v>-715.84204621578829</v>
      </c>
      <c r="K23" s="357">
        <f>IF(J23=0,0,IF(A23&lt;(Summary!$K$3+365),J23,0))</f>
        <v>-715.84204621578829</v>
      </c>
      <c r="L23" s="115"/>
    </row>
    <row r="24" spans="1:12" x14ac:dyDescent="0.2">
      <c r="A24" s="23">
        <v>37288</v>
      </c>
      <c r="B24" s="130" t="s">
        <v>93</v>
      </c>
      <c r="C24" s="131" t="s">
        <v>94</v>
      </c>
      <c r="D24" s="414">
        <v>59504.26</v>
      </c>
      <c r="E24" s="381"/>
      <c r="F24" s="414">
        <f>97225</f>
        <v>97225</v>
      </c>
      <c r="G24" s="414">
        <f>F24*(1/[6]Curves!$W19)</f>
        <v>63041.741691609473</v>
      </c>
      <c r="H24" s="414">
        <f t="shared" si="1"/>
        <v>3537.4816916094715</v>
      </c>
      <c r="I24" s="136"/>
      <c r="J24" s="41">
        <f t="shared" si="2"/>
        <v>3537.4816916094715</v>
      </c>
      <c r="K24" s="357">
        <f>IF(J24=0,0,IF(A24&lt;(Summary!$K$3+365),J24,0))</f>
        <v>3537.4816916094715</v>
      </c>
      <c r="L24" s="115"/>
    </row>
    <row r="25" spans="1:12" x14ac:dyDescent="0.2">
      <c r="A25" s="23">
        <v>37316</v>
      </c>
      <c r="B25" s="130" t="s">
        <v>93</v>
      </c>
      <c r="C25" s="131" t="s">
        <v>94</v>
      </c>
      <c r="D25" s="414">
        <v>65879.34</v>
      </c>
      <c r="E25" s="381"/>
      <c r="F25" s="414">
        <f>100466</f>
        <v>100466</v>
      </c>
      <c r="G25" s="414">
        <f>F25*(1/[6]Curves!$W20)</f>
        <v>65126.577944575765</v>
      </c>
      <c r="H25" s="414">
        <f t="shared" si="1"/>
        <v>-752.76205542423122</v>
      </c>
      <c r="I25" s="136"/>
      <c r="J25" s="41">
        <f t="shared" si="2"/>
        <v>-752.76205542423122</v>
      </c>
      <c r="K25" s="357">
        <f>IF(J25=0,0,IF(A25&lt;(Summary!$K$3+365),J25,0))</f>
        <v>-752.76205542423122</v>
      </c>
      <c r="L25" s="115"/>
    </row>
    <row r="26" spans="1:12" x14ac:dyDescent="0.2">
      <c r="A26" s="23">
        <v>37347</v>
      </c>
      <c r="B26" s="130" t="s">
        <v>93</v>
      </c>
      <c r="C26" s="131" t="s">
        <v>94</v>
      </c>
      <c r="D26" s="414">
        <v>63754.1</v>
      </c>
      <c r="E26" s="381"/>
      <c r="F26" s="414">
        <f>97225</f>
        <v>97225</v>
      </c>
      <c r="G26" s="414">
        <f>F26*(1/[6]Curves!$W21)</f>
        <v>63007.070489323305</v>
      </c>
      <c r="H26" s="414">
        <f t="shared" si="1"/>
        <v>-747.02951067669346</v>
      </c>
      <c r="I26" s="136"/>
      <c r="J26" s="41">
        <f t="shared" si="2"/>
        <v>-747.02951067669346</v>
      </c>
      <c r="K26" s="357">
        <f>IF(J26=0,0,IF(A26&lt;(Summary!$K$3+365),J26,0))</f>
        <v>-747.02951067669346</v>
      </c>
      <c r="L26" s="115"/>
    </row>
    <row r="27" spans="1:12" x14ac:dyDescent="0.2">
      <c r="A27" s="23">
        <v>37377</v>
      </c>
      <c r="B27" s="130" t="s">
        <v>93</v>
      </c>
      <c r="C27" s="131" t="s">
        <v>94</v>
      </c>
      <c r="D27" s="414">
        <v>65879.34</v>
      </c>
      <c r="E27" s="381"/>
      <c r="F27" s="414">
        <f>100466</f>
        <v>100466</v>
      </c>
      <c r="G27" s="414">
        <f>F27*(1/[6]Curves!$W22)</f>
        <v>65086.590240865509</v>
      </c>
      <c r="H27" s="414">
        <f t="shared" si="1"/>
        <v>-792.74975913448725</v>
      </c>
      <c r="I27" s="136"/>
      <c r="J27" s="41">
        <f t="shared" si="2"/>
        <v>-792.74975913448725</v>
      </c>
      <c r="K27" s="357">
        <f>IF(J27=0,0,IF(A27&lt;(Summary!$K$3+365),J27,0))</f>
        <v>-792.74975913448725</v>
      </c>
      <c r="L27" s="115"/>
    </row>
    <row r="28" spans="1:12" x14ac:dyDescent="0.2">
      <c r="A28" s="23">
        <v>37408</v>
      </c>
      <c r="B28" s="130" t="s">
        <v>93</v>
      </c>
      <c r="C28" s="131" t="s">
        <v>94</v>
      </c>
      <c r="D28" s="414">
        <v>63754.1</v>
      </c>
      <c r="E28" s="381"/>
      <c r="F28" s="414">
        <f>97225</f>
        <v>97225</v>
      </c>
      <c r="G28" s="414">
        <f>F28*(1/[6]Curves!$W23)</f>
        <v>62966.759665884114</v>
      </c>
      <c r="H28" s="414">
        <f t="shared" si="1"/>
        <v>-787.34033411588462</v>
      </c>
      <c r="I28" s="136"/>
      <c r="J28" s="41">
        <f t="shared" si="2"/>
        <v>-787.34033411588462</v>
      </c>
      <c r="K28" s="357">
        <f>IF(J28=0,0,IF(A28&lt;(Summary!$K$3+365),J28,0))</f>
        <v>0</v>
      </c>
      <c r="L28" s="115"/>
    </row>
    <row r="29" spans="1:12" x14ac:dyDescent="0.2">
      <c r="A29" s="23">
        <v>37438</v>
      </c>
      <c r="B29" s="130" t="s">
        <v>93</v>
      </c>
      <c r="C29" s="131" t="s">
        <v>94</v>
      </c>
      <c r="D29" s="414">
        <v>65879.34</v>
      </c>
      <c r="E29" s="381"/>
      <c r="F29" s="414">
        <f>100466</f>
        <v>100466</v>
      </c>
      <c r="G29" s="414">
        <f>F29*(1/[6]Curves!$W24)</f>
        <v>65045.279770454727</v>
      </c>
      <c r="H29" s="414">
        <f t="shared" si="1"/>
        <v>-834.06022954526998</v>
      </c>
      <c r="I29" s="136"/>
      <c r="J29" s="41">
        <f t="shared" si="2"/>
        <v>-834.06022954526998</v>
      </c>
      <c r="K29" s="357">
        <f>IF(J29=0,0,IF(A29&lt;(Summary!$K$3+365),J29,0))</f>
        <v>0</v>
      </c>
      <c r="L29" s="115"/>
    </row>
    <row r="30" spans="1:12" x14ac:dyDescent="0.2">
      <c r="A30" s="23">
        <v>37469</v>
      </c>
      <c r="B30" s="130" t="s">
        <v>93</v>
      </c>
      <c r="C30" s="131" t="s">
        <v>94</v>
      </c>
      <c r="D30" s="414">
        <v>65879.34</v>
      </c>
      <c r="E30" s="381"/>
      <c r="F30" s="414">
        <f>100466</f>
        <v>100466</v>
      </c>
      <c r="G30" s="414">
        <f>F30*(1/[6]Curves!$W25)</f>
        <v>65024.158546641338</v>
      </c>
      <c r="H30" s="414">
        <f t="shared" si="1"/>
        <v>-855.18145335865847</v>
      </c>
      <c r="I30" s="136"/>
      <c r="J30" s="41">
        <f t="shared" si="2"/>
        <v>-855.18145335865847</v>
      </c>
      <c r="K30" s="357">
        <f>IF(J30=0,0,IF(A30&lt;(Summary!$K$3+365),J30,0))</f>
        <v>0</v>
      </c>
      <c r="L30" s="115"/>
    </row>
    <row r="31" spans="1:12" x14ac:dyDescent="0.2">
      <c r="A31" s="23">
        <v>37500</v>
      </c>
      <c r="B31" s="130" t="s">
        <v>93</v>
      </c>
      <c r="C31" s="131" t="s">
        <v>94</v>
      </c>
      <c r="D31" s="414">
        <v>63754.1</v>
      </c>
      <c r="E31" s="381"/>
      <c r="F31" s="414">
        <f>97225</f>
        <v>97225</v>
      </c>
      <c r="G31" s="414">
        <f>F31*(1/[6]Curves!$W26)</f>
        <v>62906.512474944473</v>
      </c>
      <c r="H31" s="414">
        <f t="shared" si="1"/>
        <v>-847.58752505552548</v>
      </c>
      <c r="I31" s="136"/>
      <c r="J31" s="41">
        <f t="shared" si="2"/>
        <v>-847.58752505552548</v>
      </c>
      <c r="K31" s="357">
        <f>IF(J31=0,0,IF(A31&lt;(Summary!$K$3+365),J31,0))</f>
        <v>0</v>
      </c>
      <c r="L31" s="115"/>
    </row>
    <row r="32" spans="1:12" x14ac:dyDescent="0.2">
      <c r="A32" s="23">
        <v>37530</v>
      </c>
      <c r="B32" s="130" t="s">
        <v>93</v>
      </c>
      <c r="C32" s="131" t="s">
        <v>94</v>
      </c>
      <c r="D32" s="414">
        <v>65879.34</v>
      </c>
      <c r="E32" s="381"/>
      <c r="F32" s="414">
        <f>100466</f>
        <v>100466</v>
      </c>
      <c r="G32" s="414">
        <f>F32*(1/[6]Curves!$W27)</f>
        <v>64984.699045578593</v>
      </c>
      <c r="H32" s="414">
        <f t="shared" si="1"/>
        <v>-894.64095442140388</v>
      </c>
      <c r="I32" s="136"/>
      <c r="J32" s="41">
        <f t="shared" si="2"/>
        <v>-894.64095442140388</v>
      </c>
      <c r="K32" s="357">
        <f>IF(J32=0,0,IF(A32&lt;(Summary!$K$3+365),J32,0))</f>
        <v>0</v>
      </c>
      <c r="L32" s="115"/>
    </row>
    <row r="33" spans="1:11" x14ac:dyDescent="0.2">
      <c r="A33" s="23"/>
      <c r="B33" s="130"/>
      <c r="C33" s="15"/>
      <c r="D33" s="138"/>
      <c r="E33" s="14"/>
      <c r="F33" s="137"/>
      <c r="G33" s="138"/>
      <c r="H33" s="132"/>
      <c r="I33" s="136"/>
      <c r="J33" s="16"/>
      <c r="K33" s="381"/>
    </row>
    <row r="34" spans="1:11" x14ac:dyDescent="0.2">
      <c r="A34" s="23"/>
      <c r="B34" s="14"/>
      <c r="C34" s="15"/>
      <c r="D34" s="138"/>
      <c r="E34" s="14"/>
      <c r="F34" s="137"/>
      <c r="G34" s="138"/>
      <c r="H34" s="132"/>
      <c r="I34" s="136"/>
      <c r="J34" s="16"/>
      <c r="K34" s="381"/>
    </row>
    <row r="35" spans="1:11" x14ac:dyDescent="0.2">
      <c r="A35" s="23"/>
      <c r="B35" s="14"/>
      <c r="C35" s="15"/>
      <c r="D35" s="138"/>
      <c r="E35" s="14"/>
      <c r="F35" s="137"/>
      <c r="G35" s="138"/>
      <c r="H35" s="132"/>
      <c r="I35" s="136"/>
      <c r="J35" s="16"/>
      <c r="K35" s="381"/>
    </row>
    <row r="36" spans="1:11" ht="13.5" thickBot="1" x14ac:dyDescent="0.25">
      <c r="A36" s="23"/>
      <c r="B36" s="14"/>
      <c r="C36" s="15"/>
      <c r="D36" s="417">
        <f>SUM(D9:D35)</f>
        <v>1551352.0800000003</v>
      </c>
      <c r="E36" s="418"/>
      <c r="F36" s="419">
        <f t="shared" ref="F36:K36" si="3">SUM(F9:F35)</f>
        <v>1785701</v>
      </c>
      <c r="G36" s="417">
        <f t="shared" si="3"/>
        <v>1542586.7562721327</v>
      </c>
      <c r="H36" s="417">
        <f t="shared" si="3"/>
        <v>-8765.3237278669112</v>
      </c>
      <c r="I36" s="139">
        <f t="shared" si="3"/>
        <v>-906.88929641427239</v>
      </c>
      <c r="J36" s="139">
        <f t="shared" si="3"/>
        <v>-7858.4344314526388</v>
      </c>
      <c r="K36" s="139">
        <f t="shared" si="3"/>
        <v>-3639.6239349558964</v>
      </c>
    </row>
    <row r="37" spans="1:11" ht="13.5" thickTop="1" x14ac:dyDescent="0.2">
      <c r="A37" s="23"/>
      <c r="B37" s="14"/>
      <c r="C37" s="15"/>
      <c r="D37" s="138"/>
      <c r="E37" s="14"/>
      <c r="G37" s="14"/>
      <c r="H37" s="132"/>
      <c r="I37" s="136"/>
      <c r="J37" s="148"/>
      <c r="K37" s="149"/>
    </row>
    <row r="38" spans="1:11" x14ac:dyDescent="0.2">
      <c r="A38" s="20"/>
      <c r="B38" s="20"/>
      <c r="C38" s="20"/>
      <c r="D38" s="20"/>
      <c r="E38" s="20"/>
      <c r="F38" s="20"/>
      <c r="G38" s="20"/>
      <c r="H38" s="140"/>
      <c r="I38" s="43"/>
      <c r="J38" s="152"/>
      <c r="K38" s="150"/>
    </row>
    <row r="39" spans="1:11" x14ac:dyDescent="0.2">
      <c r="I39" s="21"/>
      <c r="J39" s="21"/>
      <c r="K39" s="150"/>
    </row>
    <row r="40" spans="1:11" x14ac:dyDescent="0.2">
      <c r="A40" s="22"/>
      <c r="I40" s="21"/>
      <c r="J40" s="21"/>
    </row>
    <row r="41" spans="1:11" x14ac:dyDescent="0.2">
      <c r="I41" s="21"/>
      <c r="J41" s="21"/>
    </row>
    <row r="42" spans="1:11" x14ac:dyDescent="0.2">
      <c r="I42" s="21"/>
      <c r="J42" s="21"/>
    </row>
    <row r="43" spans="1:11" x14ac:dyDescent="0.2">
      <c r="I43" s="21"/>
      <c r="J43" s="21"/>
    </row>
    <row r="44" spans="1:11" x14ac:dyDescent="0.2">
      <c r="I44" s="21"/>
      <c r="J44" s="21"/>
    </row>
    <row r="45" spans="1:11" x14ac:dyDescent="0.2">
      <c r="I45" s="21"/>
      <c r="J45" s="21"/>
    </row>
    <row r="46" spans="1:11" x14ac:dyDescent="0.2">
      <c r="I46" s="21"/>
      <c r="J46" s="21"/>
    </row>
    <row r="47" spans="1:11" x14ac:dyDescent="0.2">
      <c r="I47" s="21"/>
      <c r="J47" s="21"/>
    </row>
    <row r="48" spans="1:11" x14ac:dyDescent="0.2">
      <c r="I48" s="21"/>
      <c r="J48" s="21"/>
    </row>
    <row r="49" spans="9:10" x14ac:dyDescent="0.2">
      <c r="I49" s="21"/>
      <c r="J49" s="21"/>
    </row>
    <row r="50" spans="9:10" x14ac:dyDescent="0.2">
      <c r="I50" s="21"/>
      <c r="J50" s="21"/>
    </row>
    <row r="51" spans="9:10" x14ac:dyDescent="0.2">
      <c r="I51" s="21"/>
      <c r="J51" s="21"/>
    </row>
    <row r="52" spans="9:10" x14ac:dyDescent="0.2">
      <c r="I52" s="21"/>
      <c r="J52" s="21"/>
    </row>
    <row r="53" spans="9:10" x14ac:dyDescent="0.2">
      <c r="I53" s="21"/>
      <c r="J53" s="21"/>
    </row>
    <row r="54" spans="9:10" x14ac:dyDescent="0.2">
      <c r="I54" s="21"/>
      <c r="J54" s="21"/>
    </row>
    <row r="55" spans="9:10" x14ac:dyDescent="0.2">
      <c r="I55" s="21"/>
      <c r="J55" s="21"/>
    </row>
    <row r="56" spans="9:10" x14ac:dyDescent="0.2">
      <c r="I56" s="21"/>
      <c r="J56" s="21"/>
    </row>
    <row r="57" spans="9:10" x14ac:dyDescent="0.2">
      <c r="I57" s="21"/>
      <c r="J57" s="21"/>
    </row>
    <row r="58" spans="9:10" x14ac:dyDescent="0.2">
      <c r="I58" s="21"/>
      <c r="J58" s="21"/>
    </row>
    <row r="59" spans="9:10" x14ac:dyDescent="0.2">
      <c r="I59" s="21"/>
      <c r="J59" s="21"/>
    </row>
    <row r="60" spans="9:10" x14ac:dyDescent="0.2">
      <c r="I60" s="21"/>
      <c r="J60" s="21"/>
    </row>
    <row r="61" spans="9:10" x14ac:dyDescent="0.2">
      <c r="I61" s="21"/>
      <c r="J61" s="21"/>
    </row>
    <row r="62" spans="9:10" x14ac:dyDescent="0.2">
      <c r="I62" s="21"/>
      <c r="J62" s="21"/>
    </row>
  </sheetData>
  <mergeCells count="2">
    <mergeCell ref="A3:K3"/>
    <mergeCell ref="A4:K4"/>
  </mergeCells>
  <phoneticPr fontId="0" type="noConversion"/>
  <pageMargins left="0.75" right="0.75" top="1" bottom="1" header="0.5" footer="0.5"/>
  <pageSetup scale="84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2"/>
  <sheetViews>
    <sheetView zoomScale="90" workbookViewId="0">
      <selection activeCell="G14" sqref="G14"/>
    </sheetView>
  </sheetViews>
  <sheetFormatPr defaultRowHeight="11.25" x14ac:dyDescent="0.2"/>
  <cols>
    <col min="1" max="1" width="10.7109375" style="45" customWidth="1"/>
    <col min="2" max="3" width="9.28515625" style="45" bestFit="1" customWidth="1"/>
    <col min="4" max="4" width="10.7109375" style="45" customWidth="1"/>
    <col min="5" max="5" width="0" style="45" hidden="1" customWidth="1"/>
    <col min="6" max="6" width="12.7109375" style="45" customWidth="1"/>
    <col min="7" max="7" width="14.28515625" style="45" customWidth="1"/>
    <col min="8" max="8" width="10.7109375" style="45" customWidth="1"/>
    <col min="9" max="9" width="17.140625" style="45" bestFit="1" customWidth="1"/>
    <col min="10" max="10" width="13.42578125" style="45" customWidth="1"/>
    <col min="11" max="11" width="17.140625" style="45" bestFit="1" customWidth="1"/>
    <col min="12" max="12" width="17.28515625" style="45" bestFit="1" customWidth="1"/>
    <col min="13" max="16384" width="9.140625" style="45"/>
  </cols>
  <sheetData>
    <row r="1" spans="1:12" s="44" customFormat="1" ht="10.5" x14ac:dyDescent="0.15">
      <c r="A1" s="154" t="s">
        <v>46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2" s="44" customFormat="1" ht="10.5" x14ac:dyDescent="0.15">
      <c r="A2" s="154" t="s">
        <v>101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</row>
    <row r="3" spans="1:12" s="112" customFormat="1" x14ac:dyDescent="0.2">
      <c r="A3" s="154" t="s">
        <v>109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</row>
    <row r="4" spans="1:12" s="112" customFormat="1" x14ac:dyDescent="0.2">
      <c r="A4" s="588" t="s">
        <v>110</v>
      </c>
      <c r="B4" s="588"/>
      <c r="C4" s="588"/>
      <c r="D4" s="588"/>
      <c r="E4" s="588"/>
      <c r="F4" s="588"/>
      <c r="G4" s="588"/>
      <c r="H4" s="588"/>
      <c r="I4" s="588"/>
      <c r="J4" s="588"/>
      <c r="K4" s="588"/>
    </row>
    <row r="6" spans="1:12" s="46" customFormat="1" x14ac:dyDescent="0.2">
      <c r="A6" s="361" t="s">
        <v>39</v>
      </c>
      <c r="B6" s="362" t="s">
        <v>3</v>
      </c>
      <c r="C6" s="362" t="s">
        <v>3</v>
      </c>
      <c r="D6" s="362" t="s">
        <v>111</v>
      </c>
      <c r="E6" s="362"/>
      <c r="F6" s="362" t="s">
        <v>78</v>
      </c>
      <c r="G6" s="362" t="s">
        <v>32</v>
      </c>
      <c r="H6" s="362"/>
      <c r="I6" s="363" t="s">
        <v>42</v>
      </c>
      <c r="J6" s="364"/>
      <c r="K6" s="365"/>
    </row>
    <row r="7" spans="1:12" s="46" customFormat="1" x14ac:dyDescent="0.2">
      <c r="A7" s="366" t="s">
        <v>43</v>
      </c>
      <c r="B7" s="367" t="s">
        <v>9</v>
      </c>
      <c r="C7" s="367" t="s">
        <v>8</v>
      </c>
      <c r="D7" s="367" t="s">
        <v>104</v>
      </c>
      <c r="E7" s="367"/>
      <c r="F7" s="367" t="s">
        <v>107</v>
      </c>
      <c r="G7" s="367" t="s">
        <v>108</v>
      </c>
      <c r="H7" s="367"/>
      <c r="I7" s="367" t="s">
        <v>19</v>
      </c>
      <c r="J7" s="367" t="s">
        <v>20</v>
      </c>
      <c r="K7" s="368" t="s">
        <v>21</v>
      </c>
    </row>
    <row r="8" spans="1:12" x14ac:dyDescent="0.2">
      <c r="A8" s="169"/>
      <c r="B8" s="170"/>
      <c r="C8" s="170"/>
      <c r="D8" s="367" t="s">
        <v>106</v>
      </c>
      <c r="E8" s="170"/>
      <c r="F8" s="170"/>
      <c r="G8" s="369" t="s">
        <v>88</v>
      </c>
      <c r="H8" s="367"/>
      <c r="I8" s="333" t="s">
        <v>24</v>
      </c>
      <c r="J8" s="333" t="s">
        <v>24</v>
      </c>
      <c r="K8" s="334" t="s">
        <v>24</v>
      </c>
    </row>
    <row r="9" spans="1:12" x14ac:dyDescent="0.2">
      <c r="A9" s="162"/>
      <c r="B9" s="163"/>
      <c r="C9" s="163"/>
      <c r="D9" s="370">
        <v>0.06</v>
      </c>
      <c r="E9" s="163"/>
      <c r="F9" s="163"/>
      <c r="G9" s="371"/>
      <c r="H9" s="372"/>
      <c r="I9" s="335"/>
      <c r="J9" s="335"/>
      <c r="K9" s="336"/>
      <c r="L9" s="111" t="s">
        <v>207</v>
      </c>
    </row>
    <row r="10" spans="1:12" x14ac:dyDescent="0.2">
      <c r="A10" s="166">
        <v>37347</v>
      </c>
      <c r="B10" s="58"/>
      <c r="C10" s="57" t="s">
        <v>94</v>
      </c>
      <c r="D10" s="53">
        <f>+'[4]Henry Hub'!$E$14+D9</f>
        <v>3.87</v>
      </c>
      <c r="E10" s="58"/>
      <c r="F10" s="64">
        <v>-500000</v>
      </c>
      <c r="G10" s="53"/>
      <c r="H10" s="53"/>
      <c r="I10" s="79">
        <f>+F10*D10</f>
        <v>-1935000</v>
      </c>
      <c r="J10" s="56"/>
      <c r="K10" s="56">
        <f>+I10</f>
        <v>-1935000</v>
      </c>
      <c r="L10" s="434">
        <f>IF(K10=0,0,IF(A10&lt;(Summary!$K$3+365),K10,0))</f>
        <v>-1935000</v>
      </c>
    </row>
    <row r="11" spans="1:12" x14ac:dyDescent="0.2">
      <c r="A11" s="166"/>
      <c r="B11" s="58"/>
      <c r="C11" s="57"/>
      <c r="D11" s="53"/>
      <c r="E11" s="58"/>
      <c r="F11" s="64"/>
      <c r="G11" s="58"/>
      <c r="H11" s="53"/>
      <c r="I11" s="79"/>
      <c r="J11" s="59"/>
      <c r="K11" s="56"/>
      <c r="L11" s="434"/>
    </row>
    <row r="12" spans="1:12" x14ac:dyDescent="0.2">
      <c r="A12" s="58"/>
      <c r="B12" s="58"/>
      <c r="C12" s="58"/>
      <c r="D12" s="58"/>
      <c r="E12" s="58"/>
      <c r="F12" s="284">
        <f>SUM(F10:F10)</f>
        <v>-500000</v>
      </c>
      <c r="G12" s="58"/>
      <c r="H12" s="58"/>
      <c r="I12" s="285">
        <f>SUM(I10:I10)</f>
        <v>-1935000</v>
      </c>
      <c r="J12" s="285">
        <f>SUM(J10:J10)</f>
        <v>0</v>
      </c>
      <c r="K12" s="285">
        <f>SUM(K10:K10)</f>
        <v>-1935000</v>
      </c>
      <c r="L12" s="285">
        <f>SUM(L10:L10)</f>
        <v>-1935000</v>
      </c>
    </row>
    <row r="13" spans="1:12" x14ac:dyDescent="0.2">
      <c r="A13" s="58"/>
      <c r="B13" s="58"/>
      <c r="C13" s="58"/>
      <c r="D13" s="58"/>
      <c r="E13" s="58"/>
      <c r="F13" s="322"/>
      <c r="G13" s="58"/>
      <c r="H13" s="58"/>
      <c r="I13" s="88"/>
      <c r="J13" s="323"/>
      <c r="K13" s="323"/>
      <c r="L13" s="434"/>
    </row>
    <row r="14" spans="1:12" x14ac:dyDescent="0.2">
      <c r="A14" s="166">
        <v>37347</v>
      </c>
      <c r="B14" s="58"/>
      <c r="C14" s="57" t="s">
        <v>32</v>
      </c>
      <c r="D14" s="58"/>
      <c r="E14" s="58"/>
      <c r="F14" s="173">
        <v>500000</v>
      </c>
      <c r="G14" s="95">
        <f>+[4]Demarc!$E$22</f>
        <v>3.74</v>
      </c>
      <c r="H14" s="58"/>
      <c r="I14" s="79">
        <f>+F14*G14</f>
        <v>1870000</v>
      </c>
      <c r="J14" s="59"/>
      <c r="K14" s="56">
        <f>+I14</f>
        <v>1870000</v>
      </c>
      <c r="L14" s="434">
        <f>IF(K14=0,0,IF(A14&lt;(Summary!$K$3+365),K14,0))</f>
        <v>1870000</v>
      </c>
    </row>
    <row r="15" spans="1:12" x14ac:dyDescent="0.2">
      <c r="A15" s="58"/>
      <c r="B15" s="58"/>
      <c r="C15" s="58"/>
      <c r="D15" s="53"/>
      <c r="E15" s="58"/>
      <c r="F15" s="81"/>
      <c r="G15" s="324"/>
      <c r="H15" s="58"/>
      <c r="I15" s="81"/>
      <c r="J15" s="81"/>
      <c r="K15" s="82"/>
      <c r="L15" s="58"/>
    </row>
    <row r="16" spans="1:12" x14ac:dyDescent="0.2">
      <c r="A16" s="166"/>
      <c r="B16" s="58"/>
      <c r="C16" s="57"/>
      <c r="D16" s="53"/>
      <c r="E16" s="58"/>
      <c r="F16" s="283">
        <f>SUM(F14:F15)</f>
        <v>500000</v>
      </c>
      <c r="G16" s="53"/>
      <c r="H16" s="58"/>
      <c r="I16" s="79">
        <f>SUM(I14:I15)</f>
        <v>1870000</v>
      </c>
      <c r="J16" s="79">
        <f>SUM(J14:J15)</f>
        <v>0</v>
      </c>
      <c r="K16" s="79">
        <f>SUM(K14:K15)</f>
        <v>1870000</v>
      </c>
      <c r="L16" s="79">
        <f>SUM(L14:L15)</f>
        <v>1870000</v>
      </c>
    </row>
    <row r="17" spans="1:12" x14ac:dyDescent="0.2">
      <c r="A17" s="166"/>
      <c r="B17" s="58"/>
      <c r="C17" s="57"/>
      <c r="D17" s="53"/>
      <c r="E17" s="58"/>
      <c r="F17" s="64"/>
      <c r="G17" s="167"/>
      <c r="H17" s="167"/>
      <c r="I17" s="79"/>
      <c r="J17" s="56"/>
      <c r="K17" s="56"/>
      <c r="L17" s="65"/>
    </row>
    <row r="18" spans="1:12" x14ac:dyDescent="0.2">
      <c r="A18" s="58"/>
      <c r="B18" s="58"/>
      <c r="C18" s="58"/>
      <c r="D18" s="58"/>
      <c r="E18" s="58"/>
      <c r="F18" s="58"/>
      <c r="G18" s="58"/>
      <c r="H18" s="58"/>
      <c r="I18" s="58"/>
      <c r="J18" s="59"/>
      <c r="K18" s="59"/>
      <c r="L18" s="59"/>
    </row>
    <row r="19" spans="1:12" ht="12" thickBot="1" x14ac:dyDescent="0.25">
      <c r="A19" s="58"/>
      <c r="B19" s="58"/>
      <c r="C19" s="58"/>
      <c r="D19" s="58"/>
      <c r="E19" s="58"/>
      <c r="F19" s="325">
        <f>+F12+F16</f>
        <v>0</v>
      </c>
      <c r="G19" s="58"/>
      <c r="H19" s="58"/>
      <c r="I19" s="238">
        <f>+I12+I16</f>
        <v>-65000</v>
      </c>
      <c r="J19" s="238">
        <f>+J12+J16</f>
        <v>0</v>
      </c>
      <c r="K19" s="238">
        <f>+K12+K16</f>
        <v>-65000</v>
      </c>
      <c r="L19" s="238">
        <f>+L12+L16</f>
        <v>-65000</v>
      </c>
    </row>
    <row r="20" spans="1:12" ht="12" thickTop="1" x14ac:dyDescent="0.2">
      <c r="A20" s="81"/>
      <c r="B20" s="81"/>
      <c r="C20" s="81"/>
      <c r="D20" s="81"/>
      <c r="E20" s="81"/>
      <c r="F20" s="81"/>
      <c r="G20" s="81"/>
      <c r="H20" s="81"/>
      <c r="I20" s="81"/>
      <c r="J20" s="82"/>
      <c r="K20" s="82"/>
      <c r="L20" s="82"/>
    </row>
    <row r="22" spans="1:12" x14ac:dyDescent="0.2">
      <c r="A22" s="22" t="s">
        <v>37</v>
      </c>
    </row>
  </sheetData>
  <mergeCells count="1">
    <mergeCell ref="A4:K4"/>
  </mergeCells>
  <phoneticPr fontId="0" type="noConversion"/>
  <pageMargins left="0.75" right="0.75" top="1" bottom="1" header="0.5" footer="0.5"/>
  <pageSetup scale="86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2"/>
  <sheetViews>
    <sheetView zoomScale="90" workbookViewId="0">
      <selection activeCell="G14" sqref="G14"/>
    </sheetView>
  </sheetViews>
  <sheetFormatPr defaultRowHeight="11.25" x14ac:dyDescent="0.2"/>
  <cols>
    <col min="1" max="2" width="10.7109375" style="45" customWidth="1"/>
    <col min="3" max="3" width="10.85546875" style="45" bestFit="1" customWidth="1"/>
    <col min="4" max="4" width="14" style="45" customWidth="1"/>
    <col min="5" max="5" width="0" style="45" hidden="1" customWidth="1"/>
    <col min="6" max="6" width="11.42578125" style="45" customWidth="1"/>
    <col min="7" max="7" width="14.42578125" style="45" customWidth="1"/>
    <col min="8" max="8" width="10.7109375" style="45" customWidth="1"/>
    <col min="9" max="9" width="16.140625" style="45" customWidth="1"/>
    <col min="10" max="10" width="10.5703125" style="45" customWidth="1"/>
    <col min="11" max="11" width="16.140625" style="45" customWidth="1"/>
    <col min="12" max="12" width="17.28515625" style="45" bestFit="1" customWidth="1"/>
    <col min="13" max="16384" width="9.140625" style="45"/>
  </cols>
  <sheetData>
    <row r="1" spans="1:12" s="44" customFormat="1" ht="10.5" x14ac:dyDescent="0.15">
      <c r="A1" s="154" t="s">
        <v>46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2" s="44" customFormat="1" ht="10.5" x14ac:dyDescent="0.15">
      <c r="A2" s="154" t="s">
        <v>101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</row>
    <row r="3" spans="1:12" s="112" customFormat="1" x14ac:dyDescent="0.2">
      <c r="A3" s="154" t="s">
        <v>102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</row>
    <row r="4" spans="1:12" s="112" customFormat="1" x14ac:dyDescent="0.2">
      <c r="A4" s="588" t="s">
        <v>103</v>
      </c>
      <c r="B4" s="588"/>
      <c r="C4" s="588"/>
      <c r="D4" s="588"/>
      <c r="E4" s="588"/>
      <c r="F4" s="588"/>
      <c r="G4" s="588"/>
      <c r="H4" s="588"/>
      <c r="I4" s="588"/>
      <c r="J4" s="588"/>
      <c r="K4" s="588"/>
    </row>
    <row r="6" spans="1:12" s="46" customFormat="1" x14ac:dyDescent="0.2">
      <c r="A6" s="361" t="s">
        <v>39</v>
      </c>
      <c r="B6" s="362" t="s">
        <v>3</v>
      </c>
      <c r="C6" s="362" t="s">
        <v>3</v>
      </c>
      <c r="D6" s="362" t="s">
        <v>32</v>
      </c>
      <c r="E6" s="362"/>
      <c r="F6" s="362" t="s">
        <v>78</v>
      </c>
      <c r="G6" s="362" t="s">
        <v>94</v>
      </c>
      <c r="H6" s="362"/>
      <c r="I6" s="363" t="s">
        <v>42</v>
      </c>
      <c r="J6" s="364"/>
      <c r="K6" s="365"/>
    </row>
    <row r="7" spans="1:12" s="46" customFormat="1" x14ac:dyDescent="0.2">
      <c r="A7" s="366" t="s">
        <v>43</v>
      </c>
      <c r="B7" s="367" t="s">
        <v>9</v>
      </c>
      <c r="C7" s="367" t="s">
        <v>8</v>
      </c>
      <c r="D7" s="367" t="s">
        <v>104</v>
      </c>
      <c r="E7" s="367"/>
      <c r="F7" s="367" t="s">
        <v>107</v>
      </c>
      <c r="G7" s="367" t="s">
        <v>108</v>
      </c>
      <c r="H7" s="367"/>
      <c r="I7" s="367" t="s">
        <v>19</v>
      </c>
      <c r="J7" s="367" t="s">
        <v>20</v>
      </c>
      <c r="K7" s="368" t="s">
        <v>21</v>
      </c>
    </row>
    <row r="8" spans="1:12" x14ac:dyDescent="0.2">
      <c r="A8" s="169"/>
      <c r="B8" s="170"/>
      <c r="C8" s="170"/>
      <c r="D8" s="367" t="s">
        <v>106</v>
      </c>
      <c r="E8" s="170"/>
      <c r="F8" s="170"/>
      <c r="G8" s="369" t="s">
        <v>88</v>
      </c>
      <c r="H8" s="367"/>
      <c r="I8" s="333" t="s">
        <v>24</v>
      </c>
      <c r="J8" s="333" t="s">
        <v>24</v>
      </c>
      <c r="K8" s="334" t="s">
        <v>24</v>
      </c>
    </row>
    <row r="9" spans="1:12" ht="12.75" x14ac:dyDescent="0.2">
      <c r="A9" s="162"/>
      <c r="B9" s="163"/>
      <c r="C9" s="163"/>
      <c r="D9" s="370">
        <v>0.01</v>
      </c>
      <c r="E9" s="163"/>
      <c r="F9" s="163"/>
      <c r="G9" s="371"/>
      <c r="H9" s="372"/>
      <c r="I9" s="335"/>
      <c r="J9" s="335"/>
      <c r="K9" s="336"/>
      <c r="L9" s="379" t="s">
        <v>207</v>
      </c>
    </row>
    <row r="10" spans="1:12" x14ac:dyDescent="0.2">
      <c r="A10" s="166">
        <v>37347</v>
      </c>
      <c r="B10" s="58"/>
      <c r="C10" s="57" t="s">
        <v>94</v>
      </c>
      <c r="D10" s="53">
        <f>+'[4]Henry Hub'!$E$14+D9</f>
        <v>3.82</v>
      </c>
      <c r="E10" s="58"/>
      <c r="F10" s="64">
        <v>500000</v>
      </c>
      <c r="G10" s="53"/>
      <c r="H10" s="53"/>
      <c r="I10" s="79">
        <f>+F10*D10</f>
        <v>1910000</v>
      </c>
      <c r="J10" s="56"/>
      <c r="K10" s="56">
        <f>+I10</f>
        <v>1910000</v>
      </c>
      <c r="L10" s="56">
        <f>IF(K10=0,0,IF(A10&lt;(Summary!$K$3+365),K10,0))</f>
        <v>1910000</v>
      </c>
    </row>
    <row r="11" spans="1:12" x14ac:dyDescent="0.2">
      <c r="A11" s="166"/>
      <c r="B11" s="58"/>
      <c r="C11" s="57"/>
      <c r="D11" s="53"/>
      <c r="E11" s="58"/>
      <c r="F11" s="64"/>
      <c r="G11" s="58"/>
      <c r="H11" s="53"/>
      <c r="I11" s="79"/>
      <c r="J11" s="59"/>
      <c r="K11" s="56"/>
      <c r="L11" s="56"/>
    </row>
    <row r="12" spans="1:12" x14ac:dyDescent="0.2">
      <c r="A12" s="58"/>
      <c r="B12" s="58"/>
      <c r="C12" s="58"/>
      <c r="D12" s="58"/>
      <c r="E12" s="58"/>
      <c r="F12" s="284">
        <f>SUM(F10:F10)</f>
        <v>500000</v>
      </c>
      <c r="G12" s="58"/>
      <c r="H12" s="58"/>
      <c r="I12" s="285">
        <f>SUM(I10:I10)</f>
        <v>1910000</v>
      </c>
      <c r="J12" s="285">
        <f>SUM(J10:J10)</f>
        <v>0</v>
      </c>
      <c r="K12" s="285">
        <f>SUM(K10:K10)</f>
        <v>1910000</v>
      </c>
      <c r="L12" s="285">
        <f>SUM(L10:L10)</f>
        <v>1910000</v>
      </c>
    </row>
    <row r="13" spans="1:12" x14ac:dyDescent="0.2">
      <c r="A13" s="58"/>
      <c r="B13" s="58"/>
      <c r="C13" s="58"/>
      <c r="D13" s="58"/>
      <c r="E13" s="58"/>
      <c r="F13" s="322"/>
      <c r="G13" s="58"/>
      <c r="H13" s="58"/>
      <c r="I13" s="88"/>
      <c r="J13" s="323"/>
      <c r="K13" s="323"/>
      <c r="L13" s="323"/>
    </row>
    <row r="14" spans="1:12" x14ac:dyDescent="0.2">
      <c r="A14" s="166">
        <v>37347</v>
      </c>
      <c r="B14" s="58"/>
      <c r="C14" s="57" t="s">
        <v>32</v>
      </c>
      <c r="D14" s="58"/>
      <c r="E14" s="58"/>
      <c r="F14" s="173">
        <v>-500000</v>
      </c>
      <c r="G14" s="95">
        <f>+[4]Demarc!$E$22</f>
        <v>3.74</v>
      </c>
      <c r="H14" s="58"/>
      <c r="I14" s="79">
        <f>+F14*G14</f>
        <v>-1870000</v>
      </c>
      <c r="J14" s="59"/>
      <c r="K14" s="56">
        <f>+I14</f>
        <v>-1870000</v>
      </c>
      <c r="L14" s="56">
        <f>IF(K14=0,0,IF(A14&lt;(Summary!$K$3+365),K14,0))</f>
        <v>-1870000</v>
      </c>
    </row>
    <row r="15" spans="1:12" x14ac:dyDescent="0.2">
      <c r="A15" s="58"/>
      <c r="B15" s="58"/>
      <c r="C15" s="58"/>
      <c r="D15" s="53"/>
      <c r="E15" s="58"/>
      <c r="F15" s="81"/>
      <c r="G15" s="324"/>
      <c r="H15" s="58"/>
      <c r="I15" s="81"/>
      <c r="J15" s="81"/>
      <c r="K15" s="82"/>
      <c r="L15" s="82"/>
    </row>
    <row r="16" spans="1:12" x14ac:dyDescent="0.2">
      <c r="A16" s="166"/>
      <c r="B16" s="58"/>
      <c r="C16" s="57"/>
      <c r="D16" s="53"/>
      <c r="E16" s="58"/>
      <c r="F16" s="283">
        <f>SUM(F14:F15)</f>
        <v>-500000</v>
      </c>
      <c r="G16" s="53"/>
      <c r="H16" s="58"/>
      <c r="I16" s="79">
        <f>SUM(I14:I15)</f>
        <v>-1870000</v>
      </c>
      <c r="J16" s="79">
        <f>SUM(J14:J15)</f>
        <v>0</v>
      </c>
      <c r="K16" s="79">
        <f>SUM(K14:K15)</f>
        <v>-1870000</v>
      </c>
      <c r="L16" s="79">
        <f>SUM(L14:L15)</f>
        <v>-1870000</v>
      </c>
    </row>
    <row r="17" spans="1:12" x14ac:dyDescent="0.2">
      <c r="A17" s="166"/>
      <c r="B17" s="58"/>
      <c r="C17" s="57"/>
      <c r="D17" s="53"/>
      <c r="E17" s="58"/>
      <c r="F17" s="64"/>
      <c r="G17" s="167"/>
      <c r="H17" s="167"/>
      <c r="I17" s="79"/>
      <c r="J17" s="56"/>
      <c r="K17" s="56"/>
      <c r="L17" s="56"/>
    </row>
    <row r="18" spans="1:12" x14ac:dyDescent="0.2">
      <c r="A18" s="58"/>
      <c r="B18" s="58"/>
      <c r="C18" s="58"/>
      <c r="D18" s="58"/>
      <c r="E18" s="58"/>
      <c r="F18" s="58"/>
      <c r="G18" s="58"/>
      <c r="H18" s="58"/>
      <c r="I18" s="58"/>
      <c r="J18" s="59"/>
      <c r="K18" s="59"/>
      <c r="L18" s="59"/>
    </row>
    <row r="19" spans="1:12" ht="12" thickBot="1" x14ac:dyDescent="0.25">
      <c r="A19" s="58"/>
      <c r="B19" s="58"/>
      <c r="C19" s="58"/>
      <c r="D19" s="58"/>
      <c r="E19" s="58"/>
      <c r="F19" s="325">
        <f>+F12+F16</f>
        <v>0</v>
      </c>
      <c r="G19" s="58"/>
      <c r="H19" s="58"/>
      <c r="I19" s="238">
        <f>+I12+I16</f>
        <v>40000</v>
      </c>
      <c r="J19" s="238">
        <f>+J12+J16</f>
        <v>0</v>
      </c>
      <c r="K19" s="238">
        <f>+K12+K16</f>
        <v>40000</v>
      </c>
      <c r="L19" s="238">
        <f>+L12+L16</f>
        <v>40000</v>
      </c>
    </row>
    <row r="20" spans="1:12" ht="12" thickTop="1" x14ac:dyDescent="0.2">
      <c r="A20" s="81"/>
      <c r="B20" s="81"/>
      <c r="C20" s="81"/>
      <c r="D20" s="81"/>
      <c r="E20" s="81"/>
      <c r="F20" s="81"/>
      <c r="G20" s="81"/>
      <c r="H20" s="81"/>
      <c r="I20" s="81"/>
      <c r="J20" s="82"/>
      <c r="K20" s="82"/>
      <c r="L20" s="82"/>
    </row>
    <row r="22" spans="1:12" x14ac:dyDescent="0.2">
      <c r="A22" s="22" t="s">
        <v>37</v>
      </c>
    </row>
  </sheetData>
  <mergeCells count="1">
    <mergeCell ref="A4:K4"/>
  </mergeCells>
  <phoneticPr fontId="0" type="noConversion"/>
  <pageMargins left="0.75" right="0.75" top="1" bottom="1" header="0.5" footer="0.5"/>
  <pageSetup scale="86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zoomScale="75" workbookViewId="0">
      <selection activeCell="H13" sqref="H13"/>
    </sheetView>
  </sheetViews>
  <sheetFormatPr defaultRowHeight="12.75" x14ac:dyDescent="0.2"/>
  <cols>
    <col min="1" max="1" width="7.140625" bestFit="1" customWidth="1"/>
    <col min="2" max="2" width="10.7109375" customWidth="1"/>
    <col min="3" max="3" width="10.28515625" bestFit="1" customWidth="1"/>
    <col min="4" max="4" width="12.5703125" bestFit="1" customWidth="1"/>
    <col min="5" max="5" width="0" hidden="1" customWidth="1"/>
    <col min="6" max="6" width="10.28515625" bestFit="1" customWidth="1"/>
    <col min="7" max="7" width="13.140625" customWidth="1"/>
    <col min="8" max="8" width="16.7109375" customWidth="1"/>
    <col min="9" max="9" width="15.42578125" customWidth="1"/>
    <col min="10" max="10" width="13.42578125" customWidth="1"/>
    <col min="11" max="11" width="15.42578125" customWidth="1"/>
    <col min="12" max="12" width="17.28515625" bestFit="1" customWidth="1"/>
  </cols>
  <sheetData>
    <row r="1" spans="1:12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187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591"/>
      <c r="B4" s="591"/>
      <c r="C4" s="591"/>
      <c r="D4" s="591"/>
      <c r="E4" s="591"/>
      <c r="F4" s="591"/>
      <c r="G4" s="591"/>
      <c r="H4" s="591"/>
      <c r="I4" s="591"/>
      <c r="J4" s="591"/>
      <c r="K4" s="591"/>
    </row>
    <row r="5" spans="1:12" x14ac:dyDescent="0.2">
      <c r="G5" s="114"/>
      <c r="H5" s="114"/>
    </row>
    <row r="6" spans="1:12" s="7" customFormat="1" x14ac:dyDescent="0.2">
      <c r="A6" s="320" t="s">
        <v>39</v>
      </c>
      <c r="B6" s="290" t="s">
        <v>3</v>
      </c>
      <c r="C6" s="290" t="s">
        <v>3</v>
      </c>
      <c r="D6" s="290" t="s">
        <v>61</v>
      </c>
      <c r="E6" s="290"/>
      <c r="F6" s="290"/>
      <c r="G6" s="290"/>
      <c r="H6" s="290" t="s">
        <v>149</v>
      </c>
      <c r="I6" s="291" t="s">
        <v>42</v>
      </c>
      <c r="J6" s="292"/>
      <c r="K6" s="293"/>
    </row>
    <row r="7" spans="1:12" s="7" customFormat="1" x14ac:dyDescent="0.2">
      <c r="A7" s="320" t="s">
        <v>43</v>
      </c>
      <c r="B7" s="294" t="s">
        <v>9</v>
      </c>
      <c r="C7" s="294" t="s">
        <v>8</v>
      </c>
      <c r="D7" s="294" t="s">
        <v>86</v>
      </c>
      <c r="E7" s="294"/>
      <c r="F7" s="294"/>
      <c r="G7" s="294"/>
      <c r="H7" s="294" t="s">
        <v>105</v>
      </c>
      <c r="I7" s="294" t="s">
        <v>19</v>
      </c>
      <c r="J7" s="294" t="s">
        <v>20</v>
      </c>
      <c r="K7" s="294" t="s">
        <v>21</v>
      </c>
      <c r="L7" s="124"/>
    </row>
    <row r="8" spans="1:12" x14ac:dyDescent="0.2">
      <c r="A8" s="373"/>
      <c r="B8" s="374"/>
      <c r="C8" s="374"/>
      <c r="D8" s="294"/>
      <c r="E8" s="374"/>
      <c r="F8" s="374"/>
      <c r="G8" s="375"/>
      <c r="H8" s="294" t="s">
        <v>192</v>
      </c>
      <c r="I8" s="360" t="s">
        <v>24</v>
      </c>
      <c r="J8" s="360" t="s">
        <v>24</v>
      </c>
      <c r="K8" s="360" t="s">
        <v>24</v>
      </c>
      <c r="L8" s="19"/>
    </row>
    <row r="9" spans="1:12" x14ac:dyDescent="0.2">
      <c r="A9" s="321"/>
      <c r="B9" s="296"/>
      <c r="C9" s="296"/>
      <c r="D9" s="377"/>
      <c r="E9" s="296"/>
      <c r="F9" s="296"/>
      <c r="G9" s="297"/>
      <c r="H9" s="147"/>
      <c r="I9" s="298"/>
      <c r="J9" s="298"/>
      <c r="K9" s="299"/>
      <c r="L9" s="379" t="s">
        <v>207</v>
      </c>
    </row>
    <row r="10" spans="1:12" x14ac:dyDescent="0.2">
      <c r="A10" s="23">
        <v>37257</v>
      </c>
      <c r="B10" s="14"/>
      <c r="C10" s="15" t="s">
        <v>31</v>
      </c>
      <c r="D10" s="24">
        <v>4.47</v>
      </c>
      <c r="E10" s="14"/>
      <c r="F10" s="17">
        <f>5000*31</f>
        <v>155000</v>
      </c>
      <c r="G10" s="24"/>
      <c r="H10" s="24">
        <f>[4]NYMEX!$C15</f>
        <v>4.4409999999999998</v>
      </c>
      <c r="I10" s="16">
        <f>(-D10+H10)*F10</f>
        <v>-4494.9999999999864</v>
      </c>
      <c r="J10" s="30"/>
      <c r="K10" s="30">
        <f>+I10</f>
        <v>-4494.9999999999864</v>
      </c>
      <c r="L10" s="357">
        <f>IF(K10=0,0,IF(A10&lt;(Summary!$K$3+365),K10,0))</f>
        <v>-4494.9999999999864</v>
      </c>
    </row>
    <row r="11" spans="1:12" x14ac:dyDescent="0.2">
      <c r="A11" s="23">
        <v>37288</v>
      </c>
      <c r="B11" s="14"/>
      <c r="C11" s="15" t="s">
        <v>31</v>
      </c>
      <c r="D11" s="24">
        <v>4.47</v>
      </c>
      <c r="E11" s="14"/>
      <c r="F11" s="17">
        <f>5000*28</f>
        <v>140000</v>
      </c>
      <c r="G11" s="24"/>
      <c r="H11" s="24">
        <f>[4]NYMEX!$C16</f>
        <v>4.3239999999999998</v>
      </c>
      <c r="I11" s="16">
        <f>+F11*(+H11-D11)</f>
        <v>-20439.999999999985</v>
      </c>
      <c r="J11" s="30"/>
      <c r="K11" s="30">
        <f t="shared" ref="K11:K21" si="0">+I11</f>
        <v>-20439.999999999985</v>
      </c>
      <c r="L11" s="357">
        <f>IF(K11=0,0,IF(A11&lt;(Summary!$K$3+365),K11,0))</f>
        <v>-20439.999999999985</v>
      </c>
    </row>
    <row r="12" spans="1:12" x14ac:dyDescent="0.2">
      <c r="A12" s="23">
        <v>37316</v>
      </c>
      <c r="B12" s="14"/>
      <c r="C12" s="15" t="s">
        <v>31</v>
      </c>
      <c r="D12" s="24">
        <v>4.47</v>
      </c>
      <c r="E12" s="14"/>
      <c r="F12" s="17">
        <f t="shared" ref="F12:F21" si="1">5000*31</f>
        <v>155000</v>
      </c>
      <c r="G12" s="14"/>
      <c r="H12" s="24">
        <f>[4]NYMEX!$C17</f>
        <v>4.1550000000000002</v>
      </c>
      <c r="I12" s="16">
        <f t="shared" ref="I12:I21" si="2">+F12*(+H12-D12)</f>
        <v>-48824.99999999992</v>
      </c>
      <c r="J12" s="19"/>
      <c r="K12" s="30">
        <f t="shared" si="0"/>
        <v>-48824.99999999992</v>
      </c>
      <c r="L12" s="357">
        <f>IF(K12=0,0,IF(A12&lt;(Summary!$K$3+365),K12,0))</f>
        <v>-48824.99999999992</v>
      </c>
    </row>
    <row r="13" spans="1:12" x14ac:dyDescent="0.2">
      <c r="A13" s="23">
        <v>37347</v>
      </c>
      <c r="B13" s="14"/>
      <c r="C13" s="15" t="s">
        <v>31</v>
      </c>
      <c r="D13" s="24">
        <v>4.47</v>
      </c>
      <c r="E13" s="14"/>
      <c r="F13" s="17">
        <f>5000*30</f>
        <v>150000</v>
      </c>
      <c r="G13" s="14"/>
      <c r="H13" s="24">
        <f>[4]NYMEX!$C18</f>
        <v>3.81</v>
      </c>
      <c r="I13" s="16">
        <f t="shared" si="2"/>
        <v>-98999.999999999956</v>
      </c>
      <c r="J13" s="14"/>
      <c r="K13" s="30">
        <f t="shared" si="0"/>
        <v>-98999.999999999956</v>
      </c>
      <c r="L13" s="357">
        <f>IF(K13=0,0,IF(A13&lt;(Summary!$K$3+365),K13,0))</f>
        <v>-98999.999999999956</v>
      </c>
    </row>
    <row r="14" spans="1:12" x14ac:dyDescent="0.2">
      <c r="A14" s="23">
        <v>37377</v>
      </c>
      <c r="B14" s="14"/>
      <c r="C14" s="15" t="s">
        <v>31</v>
      </c>
      <c r="D14" s="24">
        <v>4.47</v>
      </c>
      <c r="E14" s="14"/>
      <c r="F14" s="17">
        <f t="shared" si="1"/>
        <v>155000</v>
      </c>
      <c r="G14" s="14"/>
      <c r="H14" s="24">
        <f>[4]NYMEX!$C19</f>
        <v>3.7349999999999999</v>
      </c>
      <c r="I14" s="16">
        <f t="shared" si="2"/>
        <v>-113924.99999999999</v>
      </c>
      <c r="J14" s="14"/>
      <c r="K14" s="30">
        <f t="shared" si="0"/>
        <v>-113924.99999999999</v>
      </c>
      <c r="L14" s="357">
        <f>IF(K14=0,0,IF(A14&lt;(Summary!$K$3+365),K14,0))</f>
        <v>-113924.99999999999</v>
      </c>
    </row>
    <row r="15" spans="1:12" x14ac:dyDescent="0.2">
      <c r="A15" s="23">
        <v>37408</v>
      </c>
      <c r="B15" s="14"/>
      <c r="C15" s="15" t="s">
        <v>31</v>
      </c>
      <c r="D15" s="24">
        <v>4.47</v>
      </c>
      <c r="E15" s="14"/>
      <c r="F15" s="17">
        <f>5000*30</f>
        <v>150000</v>
      </c>
      <c r="G15" s="14"/>
      <c r="H15" s="24">
        <f>[4]NYMEX!$C20</f>
        <v>3.78</v>
      </c>
      <c r="I15" s="16">
        <f t="shared" si="2"/>
        <v>-103499.99999999999</v>
      </c>
      <c r="J15" s="14"/>
      <c r="K15" s="30">
        <f t="shared" si="0"/>
        <v>-103499.99999999999</v>
      </c>
      <c r="L15" s="357">
        <f>IF(K15=0,0,IF(A15&lt;(Summary!$K$3+365),K15,0))</f>
        <v>0</v>
      </c>
    </row>
    <row r="16" spans="1:12" x14ac:dyDescent="0.2">
      <c r="A16" s="23">
        <v>37438</v>
      </c>
      <c r="B16" s="14"/>
      <c r="C16" s="15" t="s">
        <v>31</v>
      </c>
      <c r="D16" s="24">
        <v>4.47</v>
      </c>
      <c r="E16" s="14"/>
      <c r="F16" s="17">
        <f t="shared" si="1"/>
        <v>155000</v>
      </c>
      <c r="G16" s="14"/>
      <c r="H16" s="24">
        <f>[4]NYMEX!$C21</f>
        <v>3.8149999999999999</v>
      </c>
      <c r="I16" s="16">
        <f t="shared" si="2"/>
        <v>-101524.99999999997</v>
      </c>
      <c r="J16" s="14"/>
      <c r="K16" s="30">
        <f t="shared" si="0"/>
        <v>-101524.99999999997</v>
      </c>
      <c r="L16" s="357">
        <f>IF(K16=0,0,IF(A16&lt;(Summary!$K$3+365),K16,0))</f>
        <v>0</v>
      </c>
    </row>
    <row r="17" spans="1:12" x14ac:dyDescent="0.2">
      <c r="A17" s="23">
        <v>37469</v>
      </c>
      <c r="B17" s="14"/>
      <c r="C17" s="15" t="s">
        <v>31</v>
      </c>
      <c r="D17" s="24">
        <v>4.47</v>
      </c>
      <c r="E17" s="14"/>
      <c r="F17" s="17">
        <f t="shared" si="1"/>
        <v>155000</v>
      </c>
      <c r="G17" s="14"/>
      <c r="H17" s="24">
        <f>[4]NYMEX!$C22</f>
        <v>3.835</v>
      </c>
      <c r="I17" s="16">
        <f t="shared" si="2"/>
        <v>-98424.999999999971</v>
      </c>
      <c r="J17" s="14"/>
      <c r="K17" s="30">
        <f t="shared" si="0"/>
        <v>-98424.999999999971</v>
      </c>
      <c r="L17" s="357">
        <f>IF(K17=0,0,IF(A17&lt;(Summary!$K$3+365),K17,0))</f>
        <v>0</v>
      </c>
    </row>
    <row r="18" spans="1:12" x14ac:dyDescent="0.2">
      <c r="A18" s="23">
        <v>37500</v>
      </c>
      <c r="B18" s="14"/>
      <c r="C18" s="15" t="s">
        <v>31</v>
      </c>
      <c r="D18" s="24">
        <v>4.47</v>
      </c>
      <c r="E18" s="14"/>
      <c r="F18" s="17">
        <f>5000*30</f>
        <v>150000</v>
      </c>
      <c r="G18" s="14"/>
      <c r="H18" s="24">
        <f>[4]NYMEX!$C23</f>
        <v>3.8519999999999999</v>
      </c>
      <c r="I18" s="16">
        <f t="shared" si="2"/>
        <v>-92699.999999999985</v>
      </c>
      <c r="J18" s="14"/>
      <c r="K18" s="30">
        <f t="shared" si="0"/>
        <v>-92699.999999999985</v>
      </c>
      <c r="L18" s="357">
        <f>IF(K18=0,0,IF(A18&lt;(Summary!$K$3+365),K18,0))</f>
        <v>0</v>
      </c>
    </row>
    <row r="19" spans="1:12" x14ac:dyDescent="0.2">
      <c r="A19" s="23">
        <v>37530</v>
      </c>
      <c r="B19" s="14"/>
      <c r="C19" s="15" t="s">
        <v>31</v>
      </c>
      <c r="D19" s="24">
        <v>4.47</v>
      </c>
      <c r="E19" s="14"/>
      <c r="F19" s="17">
        <f t="shared" si="1"/>
        <v>155000</v>
      </c>
      <c r="G19" s="14"/>
      <c r="H19" s="24">
        <f>[4]NYMEX!$C24</f>
        <v>3.8690000000000002</v>
      </c>
      <c r="I19" s="16">
        <f t="shared" si="2"/>
        <v>-93154.999999999927</v>
      </c>
      <c r="J19" s="14"/>
      <c r="K19" s="30">
        <f t="shared" si="0"/>
        <v>-93154.999999999927</v>
      </c>
      <c r="L19" s="357">
        <f>IF(K19=0,0,IF(A19&lt;(Summary!$K$3+365),K19,0))</f>
        <v>0</v>
      </c>
    </row>
    <row r="20" spans="1:12" x14ac:dyDescent="0.2">
      <c r="A20" s="23">
        <v>37561</v>
      </c>
      <c r="B20" s="14"/>
      <c r="C20" s="15" t="s">
        <v>31</v>
      </c>
      <c r="D20" s="24">
        <v>4.47</v>
      </c>
      <c r="E20" s="14"/>
      <c r="F20" s="17">
        <f>5000*30</f>
        <v>150000</v>
      </c>
      <c r="G20" s="14"/>
      <c r="H20" s="24">
        <f>[4]NYMEX!$C25</f>
        <v>3.984</v>
      </c>
      <c r="I20" s="16">
        <f t="shared" si="2"/>
        <v>-72899.999999999971</v>
      </c>
      <c r="J20" s="14"/>
      <c r="K20" s="30">
        <f t="shared" si="0"/>
        <v>-72899.999999999971</v>
      </c>
      <c r="L20" s="357">
        <f>IF(K20=0,0,IF(A20&lt;(Summary!$K$3+365),K20,0))</f>
        <v>0</v>
      </c>
    </row>
    <row r="21" spans="1:12" ht="13.5" thickBot="1" x14ac:dyDescent="0.25">
      <c r="A21" s="23">
        <v>37591</v>
      </c>
      <c r="B21" s="14"/>
      <c r="C21" s="15" t="s">
        <v>31</v>
      </c>
      <c r="D21" s="420">
        <v>4.47</v>
      </c>
      <c r="E21" s="14"/>
      <c r="F21" s="42">
        <f t="shared" si="1"/>
        <v>155000</v>
      </c>
      <c r="G21" s="14"/>
      <c r="H21" s="420">
        <f>[4]NYMEX!$C26</f>
        <v>4.1139999999999999</v>
      </c>
      <c r="I21" s="43">
        <f t="shared" si="2"/>
        <v>-55179.999999999978</v>
      </c>
      <c r="J21" s="43"/>
      <c r="K21" s="92">
        <f t="shared" si="0"/>
        <v>-55179.999999999978</v>
      </c>
      <c r="L21" s="357">
        <f>IF(K21=0,0,IF(A21&lt;(Summary!$K$3+365),K21,0))</f>
        <v>0</v>
      </c>
    </row>
    <row r="22" spans="1:12" x14ac:dyDescent="0.2">
      <c r="A22" s="23"/>
      <c r="B22" s="14"/>
      <c r="C22" s="15"/>
      <c r="D22" s="24">
        <f>AVERAGE(D10:D21)</f>
        <v>4.47</v>
      </c>
      <c r="E22" s="14"/>
      <c r="F22" s="17">
        <f>SUM(F10:F21)</f>
        <v>1825000</v>
      </c>
      <c r="G22" s="14"/>
      <c r="H22" s="24">
        <f>AVERAGE(H10:H21)</f>
        <v>3.9761666666666664</v>
      </c>
      <c r="I22" s="16">
        <f>SUM(I10:I21)</f>
        <v>-904069.99999999965</v>
      </c>
      <c r="J22" s="16">
        <f>SUM(J10:J21)</f>
        <v>0</v>
      </c>
      <c r="K22" s="16">
        <f>SUM(K10:K21)</f>
        <v>-904069.99999999965</v>
      </c>
      <c r="L22" s="16">
        <f>SUM(L10:L21)</f>
        <v>-286684.99999999983</v>
      </c>
    </row>
    <row r="23" spans="1:12" x14ac:dyDescent="0.2">
      <c r="A23" s="23"/>
      <c r="B23" s="14"/>
      <c r="C23" s="15"/>
      <c r="D23" s="24"/>
      <c r="E23" s="14"/>
      <c r="F23" s="17"/>
      <c r="G23" s="19"/>
      <c r="H23" s="24"/>
      <c r="I23" s="16"/>
      <c r="J23" s="28"/>
      <c r="K23" s="18"/>
      <c r="L23" s="18"/>
    </row>
    <row r="24" spans="1:12" x14ac:dyDescent="0.2">
      <c r="A24" s="23"/>
      <c r="B24" s="14"/>
      <c r="C24" s="15"/>
      <c r="D24" s="24"/>
      <c r="E24" s="14"/>
      <c r="F24" s="17"/>
      <c r="G24" s="14"/>
      <c r="H24" s="24"/>
      <c r="I24" s="16"/>
      <c r="J24" s="28"/>
      <c r="K24" s="18"/>
      <c r="L24" s="18"/>
    </row>
    <row r="25" spans="1:12" ht="13.5" thickBot="1" x14ac:dyDescent="0.25">
      <c r="A25" s="23"/>
      <c r="B25" s="14"/>
      <c r="C25" s="15"/>
      <c r="D25" s="24"/>
      <c r="E25" s="14"/>
      <c r="F25" s="89">
        <f>+F22</f>
        <v>1825000</v>
      </c>
      <c r="G25" s="14"/>
      <c r="H25" s="24"/>
      <c r="I25" s="90">
        <f>+I22</f>
        <v>-904069.99999999965</v>
      </c>
      <c r="J25" s="90">
        <f>+J22</f>
        <v>0</v>
      </c>
      <c r="K25" s="90">
        <f>+K22</f>
        <v>-904069.99999999965</v>
      </c>
      <c r="L25" s="90">
        <f>+L22</f>
        <v>-286684.99999999983</v>
      </c>
    </row>
    <row r="26" spans="1:12" ht="13.5" thickTop="1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9"/>
      <c r="K26" s="29"/>
      <c r="L26" s="29"/>
    </row>
  </sheetData>
  <mergeCells count="1">
    <mergeCell ref="A4:K4"/>
  </mergeCells>
  <phoneticPr fontId="0" type="noConversion"/>
  <pageMargins left="0.75" right="0.31" top="0.42" bottom="0.42" header="0.2" footer="0.19"/>
  <pageSetup scale="90" fitToHeight="0" orientation="landscape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zoomScale="85" workbookViewId="0">
      <selection activeCell="H14" sqref="H14"/>
    </sheetView>
  </sheetViews>
  <sheetFormatPr defaultRowHeight="12.75" x14ac:dyDescent="0.2"/>
  <cols>
    <col min="1" max="2" width="10.7109375" customWidth="1"/>
    <col min="3" max="3" width="13.7109375" customWidth="1"/>
    <col min="4" max="4" width="18.5703125" customWidth="1"/>
    <col min="5" max="5" width="0" hidden="1" customWidth="1"/>
    <col min="6" max="6" width="12.7109375" customWidth="1"/>
    <col min="7" max="7" width="13.140625" customWidth="1"/>
    <col min="8" max="8" width="16.7109375" customWidth="1"/>
    <col min="9" max="9" width="18.42578125" bestFit="1" customWidth="1"/>
    <col min="10" max="10" width="13.42578125" customWidth="1"/>
    <col min="11" max="11" width="15.42578125" customWidth="1"/>
    <col min="12" max="12" width="17.28515625" bestFit="1" customWidth="1"/>
  </cols>
  <sheetData>
    <row r="1" spans="1:12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188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591"/>
      <c r="B4" s="591"/>
      <c r="C4" s="591"/>
      <c r="D4" s="591"/>
      <c r="E4" s="591"/>
      <c r="F4" s="591"/>
      <c r="G4" s="591"/>
      <c r="H4" s="591"/>
      <c r="I4" s="591"/>
      <c r="J4" s="591"/>
      <c r="K4" s="591"/>
    </row>
    <row r="5" spans="1:12" x14ac:dyDescent="0.2">
      <c r="G5" s="114"/>
      <c r="H5" s="114"/>
    </row>
    <row r="6" spans="1:12" s="7" customFormat="1" x14ac:dyDescent="0.2">
      <c r="A6" s="320" t="s">
        <v>39</v>
      </c>
      <c r="B6" s="290" t="s">
        <v>3</v>
      </c>
      <c r="C6" s="290" t="s">
        <v>3</v>
      </c>
      <c r="D6" s="290" t="s">
        <v>25</v>
      </c>
      <c r="E6" s="290"/>
      <c r="F6" s="290"/>
      <c r="G6" s="290"/>
      <c r="H6" s="290" t="s">
        <v>61</v>
      </c>
      <c r="I6" s="291" t="s">
        <v>42</v>
      </c>
      <c r="J6" s="292"/>
      <c r="K6" s="293"/>
    </row>
    <row r="7" spans="1:12" s="7" customFormat="1" x14ac:dyDescent="0.2">
      <c r="A7" s="320" t="s">
        <v>43</v>
      </c>
      <c r="B7" s="294" t="s">
        <v>9</v>
      </c>
      <c r="C7" s="294" t="s">
        <v>8</v>
      </c>
      <c r="D7" s="294" t="s">
        <v>86</v>
      </c>
      <c r="E7" s="294"/>
      <c r="F7" s="294"/>
      <c r="G7" s="294"/>
      <c r="H7" s="294" t="s">
        <v>105</v>
      </c>
      <c r="I7" s="294" t="s">
        <v>19</v>
      </c>
      <c r="J7" s="294" t="s">
        <v>20</v>
      </c>
      <c r="K7" s="294" t="s">
        <v>21</v>
      </c>
      <c r="L7" s="124"/>
    </row>
    <row r="8" spans="1:12" x14ac:dyDescent="0.2">
      <c r="A8" s="373"/>
      <c r="B8" s="374"/>
      <c r="C8" s="374"/>
      <c r="D8" s="294"/>
      <c r="E8" s="374"/>
      <c r="F8" s="374"/>
      <c r="G8" s="375"/>
      <c r="H8" s="294" t="s">
        <v>192</v>
      </c>
      <c r="I8" s="360" t="s">
        <v>24</v>
      </c>
      <c r="J8" s="360" t="s">
        <v>24</v>
      </c>
      <c r="K8" s="360" t="s">
        <v>24</v>
      </c>
      <c r="L8" s="19"/>
    </row>
    <row r="9" spans="1:12" x14ac:dyDescent="0.2">
      <c r="A9" s="321"/>
      <c r="B9" s="296"/>
      <c r="C9" s="296"/>
      <c r="D9" s="377"/>
      <c r="E9" s="296"/>
      <c r="F9" s="296"/>
      <c r="G9" s="297"/>
      <c r="H9" s="147"/>
      <c r="I9" s="298"/>
      <c r="J9" s="298"/>
      <c r="K9" s="299"/>
      <c r="L9" s="379" t="s">
        <v>207</v>
      </c>
    </row>
    <row r="10" spans="1:12" x14ac:dyDescent="0.2">
      <c r="A10" s="23">
        <v>37257</v>
      </c>
      <c r="B10" s="14"/>
      <c r="C10" s="15" t="s">
        <v>31</v>
      </c>
      <c r="D10" s="24">
        <v>4.3899999999999997</v>
      </c>
      <c r="E10" s="14"/>
      <c r="F10" s="17">
        <f>-5000*31</f>
        <v>-155000</v>
      </c>
      <c r="G10" s="24"/>
      <c r="H10" s="24">
        <f>[4]NYMEX!$C15</f>
        <v>4.4409999999999998</v>
      </c>
      <c r="I10" s="16">
        <f>(-D10+H10)*F10</f>
        <v>-7905.0000000000246</v>
      </c>
      <c r="J10" s="30"/>
      <c r="K10" s="30">
        <f>+I10</f>
        <v>-7905.0000000000246</v>
      </c>
      <c r="L10" s="357">
        <f>IF(K10=0,0,IF(A10&lt;(Summary!$K$3+365),K10,0))</f>
        <v>-7905.0000000000246</v>
      </c>
    </row>
    <row r="11" spans="1:12" x14ac:dyDescent="0.2">
      <c r="A11" s="23">
        <v>37288</v>
      </c>
      <c r="B11" s="14"/>
      <c r="C11" s="15" t="s">
        <v>31</v>
      </c>
      <c r="D11" s="24">
        <v>4.3899999999999997</v>
      </c>
      <c r="E11" s="14"/>
      <c r="F11" s="17">
        <f>-5000*28</f>
        <v>-140000</v>
      </c>
      <c r="G11" s="24"/>
      <c r="H11" s="24">
        <f>[4]NYMEX!$C16</f>
        <v>4.3239999999999998</v>
      </c>
      <c r="I11" s="16">
        <f t="shared" ref="I11:I21" si="0">(-D11+H11)*F11</f>
        <v>9239.9999999999764</v>
      </c>
      <c r="J11" s="30"/>
      <c r="K11" s="30">
        <f t="shared" ref="K11:K21" si="1">+I11</f>
        <v>9239.9999999999764</v>
      </c>
      <c r="L11" s="357">
        <f>IF(K11=0,0,IF(A11&lt;(Summary!$K$3+365),K11,0))</f>
        <v>9239.9999999999764</v>
      </c>
    </row>
    <row r="12" spans="1:12" x14ac:dyDescent="0.2">
      <c r="A12" s="23">
        <v>37316</v>
      </c>
      <c r="B12" s="14"/>
      <c r="C12" s="15" t="s">
        <v>31</v>
      </c>
      <c r="D12" s="24">
        <v>4.3899999999999997</v>
      </c>
      <c r="E12" s="14"/>
      <c r="F12" s="17">
        <f>-5000*31</f>
        <v>-155000</v>
      </c>
      <c r="G12" s="14"/>
      <c r="H12" s="24">
        <f>[4]NYMEX!$C17</f>
        <v>4.1550000000000002</v>
      </c>
      <c r="I12" s="16">
        <f t="shared" si="0"/>
        <v>36424.999999999913</v>
      </c>
      <c r="J12" s="30"/>
      <c r="K12" s="30">
        <f t="shared" si="1"/>
        <v>36424.999999999913</v>
      </c>
      <c r="L12" s="357">
        <f>IF(K12=0,0,IF(A12&lt;(Summary!$K$3+365),K12,0))</f>
        <v>36424.999999999913</v>
      </c>
    </row>
    <row r="13" spans="1:12" x14ac:dyDescent="0.2">
      <c r="A13" s="23">
        <v>37347</v>
      </c>
      <c r="B13" s="14"/>
      <c r="C13" s="15" t="s">
        <v>31</v>
      </c>
      <c r="D13" s="24">
        <v>4.3899999999999997</v>
      </c>
      <c r="E13" s="14"/>
      <c r="F13" s="17">
        <f>-5000*30</f>
        <v>-150000</v>
      </c>
      <c r="G13" s="14"/>
      <c r="H13" s="24">
        <f>[4]NYMEX!$C18</f>
        <v>3.81</v>
      </c>
      <c r="I13" s="16">
        <f t="shared" si="0"/>
        <v>86999.999999999942</v>
      </c>
      <c r="J13" s="14"/>
      <c r="K13" s="30">
        <f t="shared" si="1"/>
        <v>86999.999999999942</v>
      </c>
      <c r="L13" s="357">
        <f>IF(K13=0,0,IF(A13&lt;(Summary!$K$3+365),K13,0))</f>
        <v>86999.999999999942</v>
      </c>
    </row>
    <row r="14" spans="1:12" x14ac:dyDescent="0.2">
      <c r="A14" s="23">
        <v>37377</v>
      </c>
      <c r="B14" s="14"/>
      <c r="C14" s="15" t="s">
        <v>31</v>
      </c>
      <c r="D14" s="24">
        <v>4.3899999999999997</v>
      </c>
      <c r="E14" s="14"/>
      <c r="F14" s="17">
        <f>-5000*31</f>
        <v>-155000</v>
      </c>
      <c r="G14" s="14"/>
      <c r="H14" s="24">
        <f>[4]NYMEX!$C19</f>
        <v>3.7349999999999999</v>
      </c>
      <c r="I14" s="16">
        <f t="shared" si="0"/>
        <v>101524.99999999997</v>
      </c>
      <c r="J14" s="14"/>
      <c r="K14" s="30">
        <f t="shared" si="1"/>
        <v>101524.99999999997</v>
      </c>
      <c r="L14" s="357">
        <f>IF(K14=0,0,IF(A14&lt;(Summary!$K$3+365),K14,0))</f>
        <v>101524.99999999997</v>
      </c>
    </row>
    <row r="15" spans="1:12" x14ac:dyDescent="0.2">
      <c r="A15" s="23">
        <v>37408</v>
      </c>
      <c r="B15" s="14"/>
      <c r="C15" s="15" t="s">
        <v>31</v>
      </c>
      <c r="D15" s="24">
        <v>4.3899999999999997</v>
      </c>
      <c r="E15" s="14"/>
      <c r="F15" s="17">
        <f>-5000*30</f>
        <v>-150000</v>
      </c>
      <c r="G15" s="14"/>
      <c r="H15" s="24">
        <f>[4]NYMEX!$C20</f>
        <v>3.78</v>
      </c>
      <c r="I15" s="16">
        <f t="shared" si="0"/>
        <v>91499.999999999985</v>
      </c>
      <c r="J15" s="14"/>
      <c r="K15" s="30">
        <f t="shared" si="1"/>
        <v>91499.999999999985</v>
      </c>
      <c r="L15" s="357">
        <f>IF(K15=0,0,IF(A15&lt;(Summary!$K$3+365),K15,0))</f>
        <v>0</v>
      </c>
    </row>
    <row r="16" spans="1:12" x14ac:dyDescent="0.2">
      <c r="A16" s="23">
        <v>37438</v>
      </c>
      <c r="B16" s="14"/>
      <c r="C16" s="15" t="s">
        <v>31</v>
      </c>
      <c r="D16" s="24">
        <v>4.3899999999999997</v>
      </c>
      <c r="E16" s="14"/>
      <c r="F16" s="17">
        <f>-5000*31</f>
        <v>-155000</v>
      </c>
      <c r="G16" s="14"/>
      <c r="H16" s="24">
        <f>[4]NYMEX!$C21</f>
        <v>3.8149999999999999</v>
      </c>
      <c r="I16" s="16">
        <f t="shared" si="0"/>
        <v>89124.999999999956</v>
      </c>
      <c r="J16" s="14"/>
      <c r="K16" s="30">
        <f t="shared" si="1"/>
        <v>89124.999999999956</v>
      </c>
      <c r="L16" s="357">
        <f>IF(K16=0,0,IF(A16&lt;(Summary!$K$3+365),K16,0))</f>
        <v>0</v>
      </c>
    </row>
    <row r="17" spans="1:12" x14ac:dyDescent="0.2">
      <c r="A17" s="23">
        <v>37469</v>
      </c>
      <c r="B17" s="14"/>
      <c r="C17" s="15" t="s">
        <v>31</v>
      </c>
      <c r="D17" s="24">
        <v>4.3899999999999997</v>
      </c>
      <c r="E17" s="14"/>
      <c r="F17" s="17">
        <f>-5000*31</f>
        <v>-155000</v>
      </c>
      <c r="G17" s="14"/>
      <c r="H17" s="24">
        <f>[4]NYMEX!$C22</f>
        <v>3.835</v>
      </c>
      <c r="I17" s="16">
        <f t="shared" si="0"/>
        <v>86024.999999999956</v>
      </c>
      <c r="J17" s="14"/>
      <c r="K17" s="30">
        <f t="shared" si="1"/>
        <v>86024.999999999956</v>
      </c>
      <c r="L17" s="357">
        <f>IF(K17=0,0,IF(A17&lt;(Summary!$K$3+365),K17,0))</f>
        <v>0</v>
      </c>
    </row>
    <row r="18" spans="1:12" x14ac:dyDescent="0.2">
      <c r="A18" s="23">
        <v>37500</v>
      </c>
      <c r="B18" s="14"/>
      <c r="C18" s="15" t="s">
        <v>31</v>
      </c>
      <c r="D18" s="24">
        <v>4.3899999999999997</v>
      </c>
      <c r="E18" s="14"/>
      <c r="F18" s="17">
        <f>-5000*30</f>
        <v>-150000</v>
      </c>
      <c r="G18" s="14"/>
      <c r="H18" s="24">
        <f>[4]NYMEX!$C23</f>
        <v>3.8519999999999999</v>
      </c>
      <c r="I18" s="16">
        <f t="shared" si="0"/>
        <v>80699.999999999971</v>
      </c>
      <c r="J18" s="14"/>
      <c r="K18" s="30">
        <f t="shared" si="1"/>
        <v>80699.999999999971</v>
      </c>
      <c r="L18" s="357">
        <f>IF(K18=0,0,IF(A18&lt;(Summary!$K$3+365),K18,0))</f>
        <v>0</v>
      </c>
    </row>
    <row r="19" spans="1:12" x14ac:dyDescent="0.2">
      <c r="A19" s="23">
        <v>37530</v>
      </c>
      <c r="B19" s="14"/>
      <c r="C19" s="15" t="s">
        <v>31</v>
      </c>
      <c r="D19" s="24">
        <v>4.3899999999999997</v>
      </c>
      <c r="E19" s="14"/>
      <c r="F19" s="17">
        <f>-5000*31</f>
        <v>-155000</v>
      </c>
      <c r="G19" s="14"/>
      <c r="H19" s="24">
        <f>[4]NYMEX!$C24</f>
        <v>3.8690000000000002</v>
      </c>
      <c r="I19" s="16">
        <f t="shared" si="0"/>
        <v>80754.999999999913</v>
      </c>
      <c r="J19" s="14"/>
      <c r="K19" s="30">
        <f t="shared" si="1"/>
        <v>80754.999999999913</v>
      </c>
      <c r="L19" s="357">
        <f>IF(K19=0,0,IF(A19&lt;(Summary!$K$3+365),K19,0))</f>
        <v>0</v>
      </c>
    </row>
    <row r="20" spans="1:12" x14ac:dyDescent="0.2">
      <c r="A20" s="23">
        <v>37561</v>
      </c>
      <c r="B20" s="14"/>
      <c r="C20" s="15" t="s">
        <v>31</v>
      </c>
      <c r="D20" s="24">
        <v>4.3899999999999997</v>
      </c>
      <c r="E20" s="14"/>
      <c r="F20" s="17">
        <f>-5000*30</f>
        <v>-150000</v>
      </c>
      <c r="G20" s="14"/>
      <c r="H20" s="24">
        <f>[4]NYMEX!$C25</f>
        <v>3.984</v>
      </c>
      <c r="I20" s="16">
        <f t="shared" si="0"/>
        <v>60899.999999999956</v>
      </c>
      <c r="J20" s="14"/>
      <c r="K20" s="30">
        <f t="shared" si="1"/>
        <v>60899.999999999956</v>
      </c>
      <c r="L20" s="357">
        <f>IF(K20=0,0,IF(A20&lt;(Summary!$K$3+365),K20,0))</f>
        <v>0</v>
      </c>
    </row>
    <row r="21" spans="1:12" ht="13.5" thickBot="1" x14ac:dyDescent="0.25">
      <c r="A21" s="23">
        <v>37591</v>
      </c>
      <c r="B21" s="14"/>
      <c r="C21" s="15" t="s">
        <v>31</v>
      </c>
      <c r="D21" s="420">
        <v>4.3899999999999997</v>
      </c>
      <c r="E21" s="14"/>
      <c r="F21" s="42">
        <f>-5000*31</f>
        <v>-155000</v>
      </c>
      <c r="G21" s="14"/>
      <c r="H21" s="420">
        <f>[4]NYMEX!$C26</f>
        <v>4.1139999999999999</v>
      </c>
      <c r="I21" s="16">
        <f t="shared" si="0"/>
        <v>42779.999999999971</v>
      </c>
      <c r="J21" s="43"/>
      <c r="K21" s="92">
        <f t="shared" si="1"/>
        <v>42779.999999999971</v>
      </c>
      <c r="L21" s="357">
        <f>IF(K21=0,0,IF(A21&lt;(Summary!$K$3+365),K21,0))</f>
        <v>0</v>
      </c>
    </row>
    <row r="22" spans="1:12" x14ac:dyDescent="0.2">
      <c r="A22" s="23"/>
      <c r="B22" s="14"/>
      <c r="C22" s="15"/>
      <c r="D22" s="24">
        <f>AVERAGE(D10:D21)</f>
        <v>4.3899999999999997</v>
      </c>
      <c r="E22" s="14"/>
      <c r="F22" s="17">
        <f>SUM(F10:F21)</f>
        <v>-1825000</v>
      </c>
      <c r="G22" s="14"/>
      <c r="H22" s="24">
        <f>AVERAGE(H10:H21)</f>
        <v>3.9761666666666664</v>
      </c>
      <c r="I22" s="16">
        <f>SUM(I10:I21)</f>
        <v>758069.99999999953</v>
      </c>
      <c r="J22" s="16">
        <f>SUM(J10:J21)</f>
        <v>0</v>
      </c>
      <c r="K22" s="16">
        <f>SUM(K10:K21)</f>
        <v>758069.99999999953</v>
      </c>
      <c r="L22" s="16">
        <f>SUM(L10:L21)</f>
        <v>226284.99999999977</v>
      </c>
    </row>
    <row r="23" spans="1:12" x14ac:dyDescent="0.2">
      <c r="A23" s="23"/>
      <c r="B23" s="14"/>
      <c r="C23" s="15"/>
      <c r="D23" s="24"/>
      <c r="E23" s="14"/>
      <c r="F23" s="17"/>
      <c r="G23" s="19"/>
      <c r="H23" s="24"/>
      <c r="I23" s="16"/>
      <c r="J23" s="28"/>
      <c r="K23" s="18"/>
      <c r="L23" s="18"/>
    </row>
    <row r="24" spans="1:12" x14ac:dyDescent="0.2">
      <c r="A24" s="23"/>
      <c r="B24" s="14"/>
      <c r="C24" s="15"/>
      <c r="D24" s="24"/>
      <c r="E24" s="14"/>
      <c r="F24" s="17"/>
      <c r="G24" s="14"/>
      <c r="H24" s="24"/>
      <c r="I24" s="16"/>
      <c r="J24" s="28"/>
      <c r="K24" s="18"/>
      <c r="L24" s="18"/>
    </row>
    <row r="25" spans="1:12" ht="13.5" thickBot="1" x14ac:dyDescent="0.25">
      <c r="A25" s="23"/>
      <c r="B25" s="14"/>
      <c r="C25" s="15"/>
      <c r="D25" s="24"/>
      <c r="E25" s="14"/>
      <c r="F25" s="89">
        <f>+F22</f>
        <v>-1825000</v>
      </c>
      <c r="G25" s="14"/>
      <c r="H25" s="24"/>
      <c r="I25" s="90">
        <f>+I22</f>
        <v>758069.99999999953</v>
      </c>
      <c r="J25" s="90">
        <f>+J22</f>
        <v>0</v>
      </c>
      <c r="K25" s="90">
        <f>+K22</f>
        <v>758069.99999999953</v>
      </c>
      <c r="L25" s="90">
        <f>+L22</f>
        <v>226284.99999999977</v>
      </c>
    </row>
    <row r="26" spans="1:12" ht="13.5" thickTop="1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9"/>
      <c r="K26" s="29"/>
      <c r="L26" s="29"/>
    </row>
  </sheetData>
  <mergeCells count="1">
    <mergeCell ref="A4:K4"/>
  </mergeCells>
  <phoneticPr fontId="0" type="noConversion"/>
  <pageMargins left="0.75" right="0.75" top="0.42" bottom="0.44" header="0.19" footer="0.28999999999999998"/>
  <pageSetup scale="76" fitToHeight="0" orientation="landscape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topLeftCell="A6" zoomScale="75" workbookViewId="0">
      <selection activeCell="H10" sqref="H10"/>
    </sheetView>
  </sheetViews>
  <sheetFormatPr defaultRowHeight="12.75" x14ac:dyDescent="0.2"/>
  <cols>
    <col min="1" max="1" width="8.42578125" customWidth="1"/>
    <col min="2" max="2" width="10.7109375" customWidth="1"/>
    <col min="3" max="3" width="10.28515625" bestFit="1" customWidth="1"/>
    <col min="4" max="4" width="18.5703125" customWidth="1"/>
    <col min="5" max="5" width="0" hidden="1" customWidth="1"/>
    <col min="6" max="6" width="12.7109375" customWidth="1"/>
    <col min="7" max="7" width="13.140625" customWidth="1"/>
    <col min="8" max="8" width="16.7109375" customWidth="1"/>
    <col min="9" max="9" width="12.28515625" bestFit="1" customWidth="1"/>
    <col min="10" max="10" width="13.42578125" customWidth="1"/>
    <col min="11" max="11" width="12.28515625" bestFit="1" customWidth="1"/>
    <col min="12" max="12" width="17.28515625" bestFit="1" customWidth="1"/>
  </cols>
  <sheetData>
    <row r="1" spans="1:12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194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591"/>
      <c r="B4" s="591"/>
      <c r="C4" s="591"/>
      <c r="D4" s="591"/>
      <c r="E4" s="591"/>
      <c r="F4" s="591"/>
      <c r="G4" s="591"/>
      <c r="H4" s="591"/>
      <c r="I4" s="591"/>
      <c r="J4" s="591"/>
      <c r="K4" s="591"/>
    </row>
    <row r="5" spans="1:12" x14ac:dyDescent="0.2">
      <c r="G5" s="114"/>
      <c r="H5" s="114"/>
    </row>
    <row r="6" spans="1:12" s="7" customFormat="1" x14ac:dyDescent="0.2">
      <c r="A6" s="320" t="s">
        <v>39</v>
      </c>
      <c r="B6" s="290" t="s">
        <v>3</v>
      </c>
      <c r="C6" s="290" t="s">
        <v>3</v>
      </c>
      <c r="D6" s="290" t="s">
        <v>61</v>
      </c>
      <c r="E6" s="290"/>
      <c r="F6" s="290"/>
      <c r="G6" s="290"/>
      <c r="H6" s="290" t="s">
        <v>149</v>
      </c>
      <c r="I6" s="291" t="s">
        <v>42</v>
      </c>
      <c r="J6" s="292"/>
      <c r="K6" s="293"/>
    </row>
    <row r="7" spans="1:12" s="7" customFormat="1" x14ac:dyDescent="0.2">
      <c r="A7" s="320" t="s">
        <v>43</v>
      </c>
      <c r="B7" s="294" t="s">
        <v>9</v>
      </c>
      <c r="C7" s="294" t="s">
        <v>8</v>
      </c>
      <c r="D7" s="294" t="s">
        <v>86</v>
      </c>
      <c r="E7" s="294"/>
      <c r="F7" s="294"/>
      <c r="G7" s="294"/>
      <c r="H7" s="294" t="s">
        <v>147</v>
      </c>
      <c r="I7" s="294" t="s">
        <v>19</v>
      </c>
      <c r="J7" s="294" t="s">
        <v>20</v>
      </c>
      <c r="K7" s="294" t="s">
        <v>21</v>
      </c>
      <c r="L7" s="124"/>
    </row>
    <row r="8" spans="1:12" x14ac:dyDescent="0.2">
      <c r="A8" s="373"/>
      <c r="B8" s="374"/>
      <c r="C8" s="374"/>
      <c r="D8" s="294" t="s">
        <v>193</v>
      </c>
      <c r="E8" s="374"/>
      <c r="F8" s="374"/>
      <c r="G8" s="375"/>
      <c r="H8" s="294" t="s">
        <v>148</v>
      </c>
      <c r="I8" s="360" t="s">
        <v>24</v>
      </c>
      <c r="J8" s="360" t="s">
        <v>24</v>
      </c>
      <c r="K8" s="360" t="s">
        <v>24</v>
      </c>
      <c r="L8" s="19"/>
    </row>
    <row r="9" spans="1:12" x14ac:dyDescent="0.2">
      <c r="A9" s="321"/>
      <c r="B9" s="296"/>
      <c r="C9" s="296"/>
      <c r="D9" s="294">
        <v>0.03</v>
      </c>
      <c r="E9" s="296"/>
      <c r="F9" s="296"/>
      <c r="G9" s="297"/>
      <c r="H9" s="147"/>
      <c r="I9" s="298"/>
      <c r="J9" s="298"/>
      <c r="K9" s="299"/>
      <c r="L9" s="379" t="s">
        <v>207</v>
      </c>
    </row>
    <row r="10" spans="1:12" x14ac:dyDescent="0.2">
      <c r="A10" s="23">
        <v>37257</v>
      </c>
      <c r="B10" s="14"/>
      <c r="C10" s="15" t="s">
        <v>31</v>
      </c>
      <c r="D10" s="24">
        <f>[4]NYMEX!$C15+$D$9</f>
        <v>4.4710000000000001</v>
      </c>
      <c r="E10" s="14"/>
      <c r="F10" s="247">
        <f>5000*31</f>
        <v>155000</v>
      </c>
      <c r="G10" s="138"/>
      <c r="H10" s="435">
        <f>+'[4]ELpaso SJ &amp; Prm'!$F55</f>
        <v>4.4284999999999997</v>
      </c>
      <c r="I10" s="136">
        <f>(-D10+H10)*F10</f>
        <v>-6587.5000000000664</v>
      </c>
      <c r="J10" s="30"/>
      <c r="K10" s="30">
        <f t="shared" ref="K10:K21" si="0">+I10</f>
        <v>-6587.5000000000664</v>
      </c>
      <c r="L10" s="357">
        <f>IF(K10=0,0,IF(A10&lt;(Summary!$K$3+365),K10,0))</f>
        <v>-6587.5000000000664</v>
      </c>
    </row>
    <row r="11" spans="1:12" x14ac:dyDescent="0.2">
      <c r="A11" s="23">
        <v>37288</v>
      </c>
      <c r="B11" s="14"/>
      <c r="C11" s="15" t="s">
        <v>31</v>
      </c>
      <c r="D11" s="24">
        <f>[4]NYMEX!$C16+$D$9</f>
        <v>4.3540000000000001</v>
      </c>
      <c r="E11" s="14"/>
      <c r="F11" s="247">
        <f>5000*28</f>
        <v>140000</v>
      </c>
      <c r="G11" s="138"/>
      <c r="H11" s="138">
        <f>+'[4]ELpaso SJ &amp; Prm'!$F56</f>
        <v>4.3114999999999997</v>
      </c>
      <c r="I11" s="136">
        <f t="shared" ref="I11:I21" si="1">+F11*(+H11-D11)</f>
        <v>-5950.00000000006</v>
      </c>
      <c r="J11" s="30"/>
      <c r="K11" s="30">
        <f t="shared" si="0"/>
        <v>-5950.00000000006</v>
      </c>
      <c r="L11" s="357">
        <f>IF(K11=0,0,IF(A11&lt;(Summary!$K$3+365),K11,0))</f>
        <v>-5950.00000000006</v>
      </c>
    </row>
    <row r="12" spans="1:12" x14ac:dyDescent="0.2">
      <c r="A12" s="23">
        <v>37316</v>
      </c>
      <c r="B12" s="14"/>
      <c r="C12" s="15" t="s">
        <v>31</v>
      </c>
      <c r="D12" s="24">
        <f>[4]NYMEX!$C17+$D$9</f>
        <v>4.1850000000000005</v>
      </c>
      <c r="E12" s="14"/>
      <c r="F12" s="247">
        <f>5000*31</f>
        <v>155000</v>
      </c>
      <c r="G12" s="14"/>
      <c r="H12" s="138">
        <f>+'[4]ELpaso SJ &amp; Prm'!$F57</f>
        <v>4.1425000000000001</v>
      </c>
      <c r="I12" s="136">
        <f t="shared" si="1"/>
        <v>-6587.5000000000664</v>
      </c>
      <c r="J12" s="14"/>
      <c r="K12" s="30">
        <f t="shared" si="0"/>
        <v>-6587.5000000000664</v>
      </c>
      <c r="L12" s="357">
        <f>IF(K12=0,0,IF(A12&lt;(Summary!$K$3+365),K12,0))</f>
        <v>-6587.5000000000664</v>
      </c>
    </row>
    <row r="13" spans="1:12" x14ac:dyDescent="0.2">
      <c r="A13" s="23">
        <v>37347</v>
      </c>
      <c r="B13" s="14"/>
      <c r="C13" s="15" t="s">
        <v>31</v>
      </c>
      <c r="D13" s="24">
        <f>[4]NYMEX!$C18+$D$9</f>
        <v>3.84</v>
      </c>
      <c r="E13" s="14"/>
      <c r="F13" s="247">
        <f>5000*30</f>
        <v>150000</v>
      </c>
      <c r="G13" s="14"/>
      <c r="H13" s="138">
        <f>+'[4]ELpaso SJ &amp; Prm'!$F58</f>
        <v>3.8000000000000003</v>
      </c>
      <c r="I13" s="136">
        <f t="shared" si="1"/>
        <v>-5999.9999999999391</v>
      </c>
      <c r="J13" s="14"/>
      <c r="K13" s="30">
        <f t="shared" si="0"/>
        <v>-5999.9999999999391</v>
      </c>
      <c r="L13" s="357">
        <f>IF(K13=0,0,IF(A13&lt;(Summary!$K$3+365),K13,0))</f>
        <v>-5999.9999999999391</v>
      </c>
    </row>
    <row r="14" spans="1:12" x14ac:dyDescent="0.2">
      <c r="A14" s="23">
        <v>37377</v>
      </c>
      <c r="B14" s="14"/>
      <c r="C14" s="15" t="s">
        <v>31</v>
      </c>
      <c r="D14" s="24">
        <f>[4]NYMEX!$C19+$D$9</f>
        <v>3.7649999999999997</v>
      </c>
      <c r="E14" s="14"/>
      <c r="F14" s="247">
        <f>5000*31</f>
        <v>155000</v>
      </c>
      <c r="G14" s="14"/>
      <c r="H14" s="138">
        <f>+'[4]ELpaso SJ &amp; Prm'!$F59</f>
        <v>3.7250000000000001</v>
      </c>
      <c r="I14" s="136">
        <f t="shared" si="1"/>
        <v>-6199.9999999999363</v>
      </c>
      <c r="J14" s="14"/>
      <c r="K14" s="30">
        <f t="shared" si="0"/>
        <v>-6199.9999999999363</v>
      </c>
      <c r="L14" s="357">
        <f>IF(K14=0,0,IF(A14&lt;(Summary!$K$3+365),K14,0))</f>
        <v>-6199.9999999999363</v>
      </c>
    </row>
    <row r="15" spans="1:12" x14ac:dyDescent="0.2">
      <c r="A15" s="23">
        <v>37408</v>
      </c>
      <c r="B15" s="14"/>
      <c r="C15" s="15" t="s">
        <v>31</v>
      </c>
      <c r="D15" s="24">
        <f>[4]NYMEX!$C20+$D$9</f>
        <v>3.8099999999999996</v>
      </c>
      <c r="E15" s="14"/>
      <c r="F15" s="247">
        <f>5000*30</f>
        <v>150000</v>
      </c>
      <c r="G15" s="14"/>
      <c r="H15" s="138">
        <f>+'[4]ELpaso SJ &amp; Prm'!$F60</f>
        <v>3.77</v>
      </c>
      <c r="I15" s="136">
        <f t="shared" si="1"/>
        <v>-5999.9999999999391</v>
      </c>
      <c r="J15" s="14"/>
      <c r="K15" s="30">
        <f t="shared" si="0"/>
        <v>-5999.9999999999391</v>
      </c>
      <c r="L15" s="357">
        <f>IF(K15=0,0,IF(A15&lt;(Summary!$K$3+365),K15,0))</f>
        <v>0</v>
      </c>
    </row>
    <row r="16" spans="1:12" x14ac:dyDescent="0.2">
      <c r="A16" s="23">
        <v>37438</v>
      </c>
      <c r="B16" s="14"/>
      <c r="C16" s="15" t="s">
        <v>31</v>
      </c>
      <c r="D16" s="24">
        <f>[4]NYMEX!$C21+$D$9</f>
        <v>3.8449999999999998</v>
      </c>
      <c r="E16" s="14"/>
      <c r="F16" s="247">
        <f>5000*31</f>
        <v>155000</v>
      </c>
      <c r="G16" s="14"/>
      <c r="H16" s="138">
        <f>+'[4]ELpaso SJ &amp; Prm'!$F61</f>
        <v>3.8050000000000002</v>
      </c>
      <c r="I16" s="136">
        <f t="shared" si="1"/>
        <v>-6199.9999999999363</v>
      </c>
      <c r="J16" s="14"/>
      <c r="K16" s="30">
        <f t="shared" si="0"/>
        <v>-6199.9999999999363</v>
      </c>
      <c r="L16" s="357">
        <f>IF(K16=0,0,IF(A16&lt;(Summary!$K$3+365),K16,0))</f>
        <v>0</v>
      </c>
    </row>
    <row r="17" spans="1:12" x14ac:dyDescent="0.2">
      <c r="A17" s="23">
        <v>37469</v>
      </c>
      <c r="B17" s="14"/>
      <c r="C17" s="15" t="s">
        <v>31</v>
      </c>
      <c r="D17" s="24">
        <f>[4]NYMEX!$C22+$D$9</f>
        <v>3.8649999999999998</v>
      </c>
      <c r="E17" s="14"/>
      <c r="F17" s="247">
        <f>5000*31</f>
        <v>155000</v>
      </c>
      <c r="G17" s="14"/>
      <c r="H17" s="138">
        <f>+'[4]ELpaso SJ &amp; Prm'!$F62</f>
        <v>3.8250000000000002</v>
      </c>
      <c r="I17" s="136">
        <f t="shared" si="1"/>
        <v>-6199.9999999999363</v>
      </c>
      <c r="J17" s="14"/>
      <c r="K17" s="30">
        <f t="shared" si="0"/>
        <v>-6199.9999999999363</v>
      </c>
      <c r="L17" s="357">
        <f>IF(K17=0,0,IF(A17&lt;(Summary!$K$3+365),K17,0))</f>
        <v>0</v>
      </c>
    </row>
    <row r="18" spans="1:12" x14ac:dyDescent="0.2">
      <c r="A18" s="23">
        <v>37500</v>
      </c>
      <c r="B18" s="14"/>
      <c r="C18" s="15" t="s">
        <v>31</v>
      </c>
      <c r="D18" s="24">
        <f>[4]NYMEX!$C23+$D$9</f>
        <v>3.8819999999999997</v>
      </c>
      <c r="E18" s="14"/>
      <c r="F18" s="247">
        <f>5000*30</f>
        <v>150000</v>
      </c>
      <c r="G18" s="14"/>
      <c r="H18" s="138">
        <f>+'[4]ELpaso SJ &amp; Prm'!$F63</f>
        <v>3.8420000000000001</v>
      </c>
      <c r="I18" s="136">
        <f t="shared" si="1"/>
        <v>-5999.9999999999391</v>
      </c>
      <c r="J18" s="14"/>
      <c r="K18" s="30">
        <f t="shared" si="0"/>
        <v>-5999.9999999999391</v>
      </c>
      <c r="L18" s="357">
        <f>IF(K18=0,0,IF(A18&lt;(Summary!$K$3+365),K18,0))</f>
        <v>0</v>
      </c>
    </row>
    <row r="19" spans="1:12" x14ac:dyDescent="0.2">
      <c r="A19" s="23">
        <v>37530</v>
      </c>
      <c r="B19" s="14"/>
      <c r="C19" s="15" t="s">
        <v>31</v>
      </c>
      <c r="D19" s="24">
        <f>[4]NYMEX!$C24+$D$9</f>
        <v>3.899</v>
      </c>
      <c r="E19" s="14"/>
      <c r="F19" s="247">
        <f>5000*31</f>
        <v>155000</v>
      </c>
      <c r="G19" s="14"/>
      <c r="H19" s="138">
        <f>+'[4]ELpaso SJ &amp; Prm'!$F64</f>
        <v>3.8590000000000004</v>
      </c>
      <c r="I19" s="136">
        <f t="shared" si="1"/>
        <v>-6199.9999999999363</v>
      </c>
      <c r="J19" s="14"/>
      <c r="K19" s="30">
        <f t="shared" si="0"/>
        <v>-6199.9999999999363</v>
      </c>
      <c r="L19" s="357">
        <f>IF(K19=0,0,IF(A19&lt;(Summary!$K$3+365),K19,0))</f>
        <v>0</v>
      </c>
    </row>
    <row r="20" spans="1:12" x14ac:dyDescent="0.2">
      <c r="A20" s="23">
        <v>37561</v>
      </c>
      <c r="B20" s="14"/>
      <c r="C20" s="15" t="s">
        <v>31</v>
      </c>
      <c r="D20" s="24">
        <f>[4]NYMEX!$C25+$D$9</f>
        <v>4.0140000000000002</v>
      </c>
      <c r="E20" s="14"/>
      <c r="F20" s="247">
        <f>5000*30</f>
        <v>150000</v>
      </c>
      <c r="G20" s="14"/>
      <c r="H20" s="138">
        <f>+'[4]ELpaso SJ &amp; Prm'!$F65</f>
        <v>3.9939999999999998</v>
      </c>
      <c r="I20" s="136">
        <f t="shared" si="1"/>
        <v>-3000.0000000000691</v>
      </c>
      <c r="J20" s="14"/>
      <c r="K20" s="30">
        <f t="shared" si="0"/>
        <v>-3000.0000000000691</v>
      </c>
      <c r="L20" s="357">
        <f>IF(K20=0,0,IF(A20&lt;(Summary!$K$3+365),K20,0))</f>
        <v>0</v>
      </c>
    </row>
    <row r="21" spans="1:12" ht="13.5" thickBot="1" x14ac:dyDescent="0.25">
      <c r="A21" s="23">
        <v>37591</v>
      </c>
      <c r="B21" s="14"/>
      <c r="C21" s="15" t="s">
        <v>31</v>
      </c>
      <c r="D21" s="420">
        <f>[4]NYMEX!$C26+$D$9</f>
        <v>4.1440000000000001</v>
      </c>
      <c r="E21" s="14"/>
      <c r="F21" s="248">
        <f>5000*31</f>
        <v>155000</v>
      </c>
      <c r="G21" s="14"/>
      <c r="H21" s="436">
        <f>+'[4]ELpaso SJ &amp; Prm'!$F66</f>
        <v>4.1239999999999997</v>
      </c>
      <c r="I21" s="249">
        <f t="shared" si="1"/>
        <v>-3100.0000000000714</v>
      </c>
      <c r="J21" s="249"/>
      <c r="K21" s="92">
        <f t="shared" si="0"/>
        <v>-3100.0000000000714</v>
      </c>
      <c r="L21" s="357">
        <f>IF(K21=0,0,IF(A21&lt;(Summary!$K$3+365),K21,0))</f>
        <v>0</v>
      </c>
    </row>
    <row r="22" spans="1:12" x14ac:dyDescent="0.2">
      <c r="A22" s="23"/>
      <c r="B22" s="14"/>
      <c r="C22" s="15"/>
      <c r="D22" s="24">
        <f>AVERAGE(D10:D21)</f>
        <v>4.0061666666666662</v>
      </c>
      <c r="E22" s="14"/>
      <c r="F22" s="137">
        <f>SUM(F10:F21)</f>
        <v>1825000</v>
      </c>
      <c r="G22" s="14"/>
      <c r="H22" s="24">
        <f>AVERAGE(H10:H21)</f>
        <v>3.9688750000000002</v>
      </c>
      <c r="I22" s="136">
        <f>SUM(I10:I21)</f>
        <v>-68024.999999999898</v>
      </c>
      <c r="J22" s="136">
        <f>SUM(J10:J21)</f>
        <v>0</v>
      </c>
      <c r="K22" s="136">
        <f>SUM(K10:K21)</f>
        <v>-68024.999999999898</v>
      </c>
      <c r="L22" s="16">
        <f>SUM(L10:L21)</f>
        <v>-31325.000000000065</v>
      </c>
    </row>
    <row r="23" spans="1:12" x14ac:dyDescent="0.2">
      <c r="A23" s="23"/>
      <c r="B23" s="14"/>
      <c r="C23" s="15"/>
      <c r="D23" s="138"/>
      <c r="E23" s="14"/>
      <c r="F23" s="137"/>
      <c r="G23" s="19"/>
      <c r="H23" s="138"/>
      <c r="I23" s="136"/>
      <c r="J23" s="28"/>
      <c r="K23" s="250"/>
      <c r="L23" s="16"/>
    </row>
    <row r="24" spans="1:12" x14ac:dyDescent="0.2">
      <c r="A24" s="23"/>
      <c r="B24" s="14"/>
      <c r="C24" s="15"/>
      <c r="D24" s="138"/>
      <c r="E24" s="14"/>
      <c r="F24" s="137"/>
      <c r="G24" s="14"/>
      <c r="H24" s="138"/>
      <c r="I24" s="136"/>
      <c r="J24" s="28"/>
      <c r="K24" s="250"/>
      <c r="L24" s="16"/>
    </row>
    <row r="25" spans="1:12" ht="13.5" thickBot="1" x14ac:dyDescent="0.25">
      <c r="A25" s="23"/>
      <c r="B25" s="14"/>
      <c r="C25" s="15"/>
      <c r="D25" s="138"/>
      <c r="E25" s="14"/>
      <c r="F25" s="251">
        <f>+F22</f>
        <v>1825000</v>
      </c>
      <c r="G25" s="14"/>
      <c r="H25" s="138"/>
      <c r="I25" s="139">
        <f>+I22</f>
        <v>-68024.999999999898</v>
      </c>
      <c r="J25" s="139">
        <f>+J22</f>
        <v>0</v>
      </c>
      <c r="K25" s="139">
        <f>+K22</f>
        <v>-68024.999999999898</v>
      </c>
      <c r="L25" s="90">
        <f>+L22</f>
        <v>-31325.000000000065</v>
      </c>
    </row>
    <row r="26" spans="1:12" ht="13.5" thickTop="1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9"/>
      <c r="K26" s="29"/>
      <c r="L26" s="20"/>
    </row>
  </sheetData>
  <mergeCells count="1">
    <mergeCell ref="A4:K4"/>
  </mergeCells>
  <phoneticPr fontId="0" type="noConversion"/>
  <pageMargins left="0.75" right="0.31" top="0.42" bottom="0.42" header="0.2" footer="0.19"/>
  <pageSetup scale="88" fitToHeight="0" orientation="landscape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topLeftCell="A5" zoomScale="85" workbookViewId="0">
      <selection activeCell="H10" sqref="H10"/>
    </sheetView>
  </sheetViews>
  <sheetFormatPr defaultRowHeight="12.75" x14ac:dyDescent="0.2"/>
  <cols>
    <col min="1" max="2" width="10.7109375" customWidth="1"/>
    <col min="3" max="3" width="13.7109375" customWidth="1"/>
    <col min="4" max="4" width="18.5703125" customWidth="1"/>
    <col min="5" max="5" width="0" hidden="1" customWidth="1"/>
    <col min="6" max="6" width="12.7109375" customWidth="1"/>
    <col min="7" max="7" width="13.140625" customWidth="1"/>
    <col min="8" max="8" width="16.7109375" customWidth="1"/>
    <col min="9" max="9" width="18.42578125" bestFit="1" customWidth="1"/>
    <col min="10" max="10" width="13.42578125" customWidth="1"/>
    <col min="11" max="11" width="15.42578125" customWidth="1"/>
    <col min="12" max="12" width="17.28515625" bestFit="1" customWidth="1"/>
  </cols>
  <sheetData>
    <row r="1" spans="1:12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195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591"/>
      <c r="B4" s="591"/>
      <c r="C4" s="591"/>
      <c r="D4" s="591"/>
      <c r="E4" s="591"/>
      <c r="F4" s="591"/>
      <c r="G4" s="591"/>
      <c r="H4" s="591"/>
      <c r="I4" s="591"/>
      <c r="J4" s="591"/>
      <c r="K4" s="591"/>
    </row>
    <row r="5" spans="1:12" x14ac:dyDescent="0.2">
      <c r="G5" s="114"/>
      <c r="H5" s="114"/>
    </row>
    <row r="6" spans="1:12" s="7" customFormat="1" x14ac:dyDescent="0.2">
      <c r="A6" s="320" t="s">
        <v>39</v>
      </c>
      <c r="B6" s="290" t="s">
        <v>3</v>
      </c>
      <c r="C6" s="290" t="s">
        <v>3</v>
      </c>
      <c r="D6" s="290" t="s">
        <v>25</v>
      </c>
      <c r="E6" s="290"/>
      <c r="F6" s="290"/>
      <c r="G6" s="290"/>
      <c r="H6" s="290" t="s">
        <v>61</v>
      </c>
      <c r="I6" s="291" t="s">
        <v>42</v>
      </c>
      <c r="J6" s="292"/>
      <c r="K6" s="293"/>
    </row>
    <row r="7" spans="1:12" s="7" customFormat="1" x14ac:dyDescent="0.2">
      <c r="A7" s="320" t="s">
        <v>43</v>
      </c>
      <c r="B7" s="294" t="s">
        <v>9</v>
      </c>
      <c r="C7" s="294" t="s">
        <v>8</v>
      </c>
      <c r="D7" s="294" t="s">
        <v>86</v>
      </c>
      <c r="E7" s="294"/>
      <c r="F7" s="294"/>
      <c r="G7" s="294"/>
      <c r="H7" s="294" t="s">
        <v>147</v>
      </c>
      <c r="I7" s="294" t="s">
        <v>19</v>
      </c>
      <c r="J7" s="294" t="s">
        <v>20</v>
      </c>
      <c r="K7" s="294" t="s">
        <v>21</v>
      </c>
      <c r="L7" s="124"/>
    </row>
    <row r="8" spans="1:12" x14ac:dyDescent="0.2">
      <c r="A8" s="373"/>
      <c r="B8" s="374"/>
      <c r="C8" s="374"/>
      <c r="D8" s="294" t="s">
        <v>193</v>
      </c>
      <c r="E8" s="374"/>
      <c r="F8" s="374"/>
      <c r="G8" s="375"/>
      <c r="H8" s="294" t="s">
        <v>148</v>
      </c>
      <c r="I8" s="360" t="s">
        <v>24</v>
      </c>
      <c r="J8" s="360" t="s">
        <v>24</v>
      </c>
      <c r="K8" s="360" t="s">
        <v>24</v>
      </c>
      <c r="L8" s="19"/>
    </row>
    <row r="9" spans="1:12" x14ac:dyDescent="0.2">
      <c r="A9" s="321"/>
      <c r="B9" s="296"/>
      <c r="C9" s="296"/>
      <c r="D9" s="294">
        <v>0.04</v>
      </c>
      <c r="E9" s="296"/>
      <c r="F9" s="296"/>
      <c r="G9" s="297"/>
      <c r="H9" s="147"/>
      <c r="I9" s="298"/>
      <c r="J9" s="298"/>
      <c r="K9" s="299"/>
      <c r="L9" s="379" t="s">
        <v>207</v>
      </c>
    </row>
    <row r="10" spans="1:12" x14ac:dyDescent="0.2">
      <c r="A10" s="23">
        <v>37257</v>
      </c>
      <c r="B10" s="14"/>
      <c r="C10" s="15" t="s">
        <v>31</v>
      </c>
      <c r="D10" s="24">
        <f>[4]NYMEX!$C15+$D$9</f>
        <v>4.4809999999999999</v>
      </c>
      <c r="E10" s="14"/>
      <c r="F10" s="247">
        <f>-5000*31</f>
        <v>-155000</v>
      </c>
      <c r="G10" s="138"/>
      <c r="H10" s="435">
        <f>+'[4]ELpaso SJ &amp; Prm'!$F55</f>
        <v>4.4284999999999997</v>
      </c>
      <c r="I10" s="136">
        <f t="shared" ref="I10:I21" si="0">(-D10+H10)*F10</f>
        <v>8137.5000000000327</v>
      </c>
      <c r="J10" s="30"/>
      <c r="K10" s="30">
        <f t="shared" ref="K10:K21" si="1">+I10</f>
        <v>8137.5000000000327</v>
      </c>
      <c r="L10" s="357">
        <f>IF(K10=0,0,IF(A10&lt;(Summary!$K$3+365),K10,0))</f>
        <v>8137.5000000000327</v>
      </c>
    </row>
    <row r="11" spans="1:12" x14ac:dyDescent="0.2">
      <c r="A11" s="23">
        <v>37288</v>
      </c>
      <c r="B11" s="14"/>
      <c r="C11" s="15" t="s">
        <v>31</v>
      </c>
      <c r="D11" s="24">
        <f>[4]NYMEX!$C16+$D$9</f>
        <v>4.3639999999999999</v>
      </c>
      <c r="E11" s="14"/>
      <c r="F11" s="247">
        <f>-5000*28</f>
        <v>-140000</v>
      </c>
      <c r="G11" s="138"/>
      <c r="H11" s="138">
        <f>+'[4]ELpaso SJ &amp; Prm'!$F56</f>
        <v>4.3114999999999997</v>
      </c>
      <c r="I11" s="136">
        <f t="shared" si="0"/>
        <v>7350.00000000003</v>
      </c>
      <c r="J11" s="30"/>
      <c r="K11" s="30">
        <f t="shared" si="1"/>
        <v>7350.00000000003</v>
      </c>
      <c r="L11" s="357">
        <f>IF(K11=0,0,IF(A11&lt;(Summary!$K$3+365),K11,0))</f>
        <v>7350.00000000003</v>
      </c>
    </row>
    <row r="12" spans="1:12" x14ac:dyDescent="0.2">
      <c r="A12" s="23">
        <v>37316</v>
      </c>
      <c r="B12" s="14"/>
      <c r="C12" s="15" t="s">
        <v>31</v>
      </c>
      <c r="D12" s="24">
        <f>[4]NYMEX!$C17+$D$9</f>
        <v>4.1950000000000003</v>
      </c>
      <c r="E12" s="14"/>
      <c r="F12" s="247">
        <f>-5000*31</f>
        <v>-155000</v>
      </c>
      <c r="G12" s="14"/>
      <c r="H12" s="138">
        <f>+'[4]ELpaso SJ &amp; Prm'!$F57</f>
        <v>4.1425000000000001</v>
      </c>
      <c r="I12" s="136">
        <f t="shared" si="0"/>
        <v>8137.5000000000327</v>
      </c>
      <c r="J12" s="14"/>
      <c r="K12" s="30">
        <f t="shared" si="1"/>
        <v>8137.5000000000327</v>
      </c>
      <c r="L12" s="357">
        <f>IF(K12=0,0,IF(A12&lt;(Summary!$K$3+365),K12,0))</f>
        <v>8137.5000000000327</v>
      </c>
    </row>
    <row r="13" spans="1:12" x14ac:dyDescent="0.2">
      <c r="A13" s="23">
        <v>37347</v>
      </c>
      <c r="B13" s="14"/>
      <c r="C13" s="15" t="s">
        <v>31</v>
      </c>
      <c r="D13" s="24">
        <f>[4]NYMEX!$C18+$D$9</f>
        <v>3.85</v>
      </c>
      <c r="E13" s="14"/>
      <c r="F13" s="247">
        <f>-5000*30</f>
        <v>-150000</v>
      </c>
      <c r="G13" s="14"/>
      <c r="H13" s="138">
        <f>+'[4]ELpaso SJ &amp; Prm'!$F58</f>
        <v>3.8000000000000003</v>
      </c>
      <c r="I13" s="136">
        <f t="shared" si="0"/>
        <v>7499.9999999999736</v>
      </c>
      <c r="J13" s="14"/>
      <c r="K13" s="30">
        <f t="shared" si="1"/>
        <v>7499.9999999999736</v>
      </c>
      <c r="L13" s="357">
        <f>IF(K13=0,0,IF(A13&lt;(Summary!$K$3+365),K13,0))</f>
        <v>7499.9999999999736</v>
      </c>
    </row>
    <row r="14" spans="1:12" x14ac:dyDescent="0.2">
      <c r="A14" s="23">
        <v>37377</v>
      </c>
      <c r="B14" s="14"/>
      <c r="C14" s="15" t="s">
        <v>31</v>
      </c>
      <c r="D14" s="24">
        <f>[4]NYMEX!$C19+$D$9</f>
        <v>3.7749999999999999</v>
      </c>
      <c r="E14" s="14"/>
      <c r="F14" s="247">
        <f>-5000*31</f>
        <v>-155000</v>
      </c>
      <c r="G14" s="14"/>
      <c r="H14" s="138">
        <f>+'[4]ELpaso SJ &amp; Prm'!$F59</f>
        <v>3.7250000000000001</v>
      </c>
      <c r="I14" s="136">
        <f t="shared" si="0"/>
        <v>7749.9999999999727</v>
      </c>
      <c r="J14" s="14"/>
      <c r="K14" s="30">
        <f t="shared" si="1"/>
        <v>7749.9999999999727</v>
      </c>
      <c r="L14" s="357">
        <f>IF(K14=0,0,IF(A14&lt;(Summary!$K$3+365),K14,0))</f>
        <v>7749.9999999999727</v>
      </c>
    </row>
    <row r="15" spans="1:12" x14ac:dyDescent="0.2">
      <c r="A15" s="23">
        <v>37408</v>
      </c>
      <c r="B15" s="14"/>
      <c r="C15" s="15" t="s">
        <v>31</v>
      </c>
      <c r="D15" s="24">
        <f>[4]NYMEX!$C20+$D$9</f>
        <v>3.82</v>
      </c>
      <c r="E15" s="14"/>
      <c r="F15" s="247">
        <f>-5000*30</f>
        <v>-150000</v>
      </c>
      <c r="G15" s="14"/>
      <c r="H15" s="138">
        <f>+'[4]ELpaso SJ &amp; Prm'!$F60</f>
        <v>3.77</v>
      </c>
      <c r="I15" s="136">
        <f t="shared" si="0"/>
        <v>7499.9999999999736</v>
      </c>
      <c r="J15" s="14"/>
      <c r="K15" s="30">
        <f t="shared" si="1"/>
        <v>7499.9999999999736</v>
      </c>
      <c r="L15" s="357">
        <f>IF(K15=0,0,IF(A15&lt;(Summary!$K$3+365),K15,0))</f>
        <v>0</v>
      </c>
    </row>
    <row r="16" spans="1:12" x14ac:dyDescent="0.2">
      <c r="A16" s="23">
        <v>37438</v>
      </c>
      <c r="B16" s="14"/>
      <c r="C16" s="15" t="s">
        <v>31</v>
      </c>
      <c r="D16" s="24">
        <f>[4]NYMEX!$C21+$D$9</f>
        <v>3.855</v>
      </c>
      <c r="E16" s="14"/>
      <c r="F16" s="247">
        <f>-5000*31</f>
        <v>-155000</v>
      </c>
      <c r="G16" s="14"/>
      <c r="H16" s="138">
        <f>+'[4]ELpaso SJ &amp; Prm'!$F61</f>
        <v>3.8050000000000002</v>
      </c>
      <c r="I16" s="136">
        <f t="shared" si="0"/>
        <v>7749.9999999999727</v>
      </c>
      <c r="J16" s="14"/>
      <c r="K16" s="30">
        <f t="shared" si="1"/>
        <v>7749.9999999999727</v>
      </c>
      <c r="L16" s="357">
        <f>IF(K16=0,0,IF(A16&lt;(Summary!$K$3+365),K16,0))</f>
        <v>0</v>
      </c>
    </row>
    <row r="17" spans="1:12" x14ac:dyDescent="0.2">
      <c r="A17" s="23">
        <v>37469</v>
      </c>
      <c r="B17" s="14"/>
      <c r="C17" s="15" t="s">
        <v>31</v>
      </c>
      <c r="D17" s="24">
        <f>[4]NYMEX!$C22+$D$9</f>
        <v>3.875</v>
      </c>
      <c r="E17" s="14"/>
      <c r="F17" s="247">
        <f>-5000*31</f>
        <v>-155000</v>
      </c>
      <c r="G17" s="14"/>
      <c r="H17" s="138">
        <f>+'[4]ELpaso SJ &amp; Prm'!$F62</f>
        <v>3.8250000000000002</v>
      </c>
      <c r="I17" s="136">
        <f t="shared" si="0"/>
        <v>7749.9999999999727</v>
      </c>
      <c r="J17" s="14"/>
      <c r="K17" s="30">
        <f t="shared" si="1"/>
        <v>7749.9999999999727</v>
      </c>
      <c r="L17" s="357">
        <f>IF(K17=0,0,IF(A17&lt;(Summary!$K$3+365),K17,0))</f>
        <v>0</v>
      </c>
    </row>
    <row r="18" spans="1:12" x14ac:dyDescent="0.2">
      <c r="A18" s="23">
        <v>37500</v>
      </c>
      <c r="B18" s="14"/>
      <c r="C18" s="15" t="s">
        <v>31</v>
      </c>
      <c r="D18" s="24">
        <f>[4]NYMEX!$C23+$D$9</f>
        <v>3.8919999999999999</v>
      </c>
      <c r="E18" s="14"/>
      <c r="F18" s="247">
        <f>-5000*30</f>
        <v>-150000</v>
      </c>
      <c r="G18" s="14"/>
      <c r="H18" s="138">
        <f>+'[4]ELpaso SJ &amp; Prm'!$F63</f>
        <v>3.8420000000000001</v>
      </c>
      <c r="I18" s="136">
        <f t="shared" si="0"/>
        <v>7499.9999999999736</v>
      </c>
      <c r="J18" s="14"/>
      <c r="K18" s="30">
        <f t="shared" si="1"/>
        <v>7499.9999999999736</v>
      </c>
      <c r="L18" s="357">
        <f>IF(K18=0,0,IF(A18&lt;(Summary!$K$3+365),K18,0))</f>
        <v>0</v>
      </c>
    </row>
    <row r="19" spans="1:12" x14ac:dyDescent="0.2">
      <c r="A19" s="23">
        <v>37530</v>
      </c>
      <c r="B19" s="14"/>
      <c r="C19" s="15" t="s">
        <v>31</v>
      </c>
      <c r="D19" s="24">
        <f>[4]NYMEX!$C24+$D$9</f>
        <v>3.9090000000000003</v>
      </c>
      <c r="E19" s="14"/>
      <c r="F19" s="247">
        <f>-5000*31</f>
        <v>-155000</v>
      </c>
      <c r="G19" s="14"/>
      <c r="H19" s="138">
        <f>+'[4]ELpaso SJ &amp; Prm'!$F64</f>
        <v>3.8590000000000004</v>
      </c>
      <c r="I19" s="136">
        <f t="shared" si="0"/>
        <v>7749.9999999999727</v>
      </c>
      <c r="J19" s="14"/>
      <c r="K19" s="30">
        <f t="shared" si="1"/>
        <v>7749.9999999999727</v>
      </c>
      <c r="L19" s="357">
        <f>IF(K19=0,0,IF(A19&lt;(Summary!$K$3+365),K19,0))</f>
        <v>0</v>
      </c>
    </row>
    <row r="20" spans="1:12" x14ac:dyDescent="0.2">
      <c r="A20" s="23">
        <v>37561</v>
      </c>
      <c r="B20" s="14"/>
      <c r="C20" s="15" t="s">
        <v>31</v>
      </c>
      <c r="D20" s="24">
        <f>[4]NYMEX!$C25+$D$9</f>
        <v>4.024</v>
      </c>
      <c r="E20" s="14"/>
      <c r="F20" s="247">
        <f>-5000*30</f>
        <v>-150000</v>
      </c>
      <c r="G20" s="14"/>
      <c r="H20" s="138">
        <f>+'[4]ELpaso SJ &amp; Prm'!$F65</f>
        <v>3.9939999999999998</v>
      </c>
      <c r="I20" s="136">
        <f t="shared" si="0"/>
        <v>4500.0000000000373</v>
      </c>
      <c r="J20" s="14"/>
      <c r="K20" s="30">
        <f t="shared" si="1"/>
        <v>4500.0000000000373</v>
      </c>
      <c r="L20" s="357">
        <f>IF(K20=0,0,IF(A20&lt;(Summary!$K$3+365),K20,0))</f>
        <v>0</v>
      </c>
    </row>
    <row r="21" spans="1:12" ht="13.5" thickBot="1" x14ac:dyDescent="0.25">
      <c r="A21" s="23">
        <v>37591</v>
      </c>
      <c r="B21" s="14"/>
      <c r="C21" s="15" t="s">
        <v>31</v>
      </c>
      <c r="D21" s="420">
        <f>[4]NYMEX!$C26+$D$9</f>
        <v>4.1539999999999999</v>
      </c>
      <c r="E21" s="14"/>
      <c r="F21" s="248">
        <f>-5000*31</f>
        <v>-155000</v>
      </c>
      <c r="G21" s="14"/>
      <c r="H21" s="436">
        <f>+'[4]ELpaso SJ &amp; Prm'!$F66</f>
        <v>4.1239999999999997</v>
      </c>
      <c r="I21" s="136">
        <f t="shared" si="0"/>
        <v>4650.0000000000382</v>
      </c>
      <c r="J21" s="249"/>
      <c r="K21" s="92">
        <f t="shared" si="1"/>
        <v>4650.0000000000382</v>
      </c>
      <c r="L21" s="357">
        <f>IF(K21=0,0,IF(A21&lt;(Summary!$K$3+365),K21,0))</f>
        <v>0</v>
      </c>
    </row>
    <row r="22" spans="1:12" x14ac:dyDescent="0.2">
      <c r="A22" s="23"/>
      <c r="B22" s="14"/>
      <c r="C22" s="15"/>
      <c r="D22" s="24">
        <f>AVERAGE(D10:D21)</f>
        <v>4.0161666666666669</v>
      </c>
      <c r="E22" s="14"/>
      <c r="F22" s="137">
        <f>SUM(F10:F21)</f>
        <v>-1825000</v>
      </c>
      <c r="G22" s="14"/>
      <c r="H22" s="24">
        <f>AVERAGE(H10:H21)</f>
        <v>3.9688750000000002</v>
      </c>
      <c r="I22" s="136">
        <f>SUM(I10:I21)</f>
        <v>86274.999999999985</v>
      </c>
      <c r="J22" s="136">
        <f>SUM(J10:J21)</f>
        <v>0</v>
      </c>
      <c r="K22" s="136">
        <f>SUM(K10:K21)</f>
        <v>86274.999999999985</v>
      </c>
      <c r="L22" s="16">
        <f>SUM(L10:L21)</f>
        <v>38875.000000000044</v>
      </c>
    </row>
    <row r="23" spans="1:12" x14ac:dyDescent="0.2">
      <c r="A23" s="23"/>
      <c r="B23" s="14"/>
      <c r="C23" s="15"/>
      <c r="D23" s="138"/>
      <c r="E23" s="14"/>
      <c r="F23" s="137"/>
      <c r="G23" s="19"/>
      <c r="H23" s="138"/>
      <c r="I23" s="136"/>
      <c r="J23" s="28"/>
      <c r="K23" s="250"/>
      <c r="L23" s="16"/>
    </row>
    <row r="24" spans="1:12" x14ac:dyDescent="0.2">
      <c r="A24" s="23"/>
      <c r="B24" s="14"/>
      <c r="C24" s="15"/>
      <c r="D24" s="138"/>
      <c r="E24" s="14"/>
      <c r="F24" s="137"/>
      <c r="G24" s="14"/>
      <c r="H24" s="138"/>
      <c r="I24" s="136"/>
      <c r="J24" s="28"/>
      <c r="K24" s="250"/>
      <c r="L24" s="43"/>
    </row>
    <row r="25" spans="1:12" ht="13.5" thickBot="1" x14ac:dyDescent="0.25">
      <c r="A25" s="23"/>
      <c r="B25" s="14"/>
      <c r="C25" s="15"/>
      <c r="D25" s="138"/>
      <c r="E25" s="14"/>
      <c r="F25" s="251">
        <f>+F22</f>
        <v>-1825000</v>
      </c>
      <c r="G25" s="14"/>
      <c r="H25" s="138"/>
      <c r="I25" s="139">
        <f>+I22</f>
        <v>86274.999999999985</v>
      </c>
      <c r="J25" s="139">
        <f>+J22</f>
        <v>0</v>
      </c>
      <c r="K25" s="139">
        <f>+K22</f>
        <v>86274.999999999985</v>
      </c>
      <c r="L25" s="90">
        <f>+L22</f>
        <v>38875.000000000044</v>
      </c>
    </row>
    <row r="26" spans="1:12" ht="13.5" thickTop="1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9"/>
      <c r="K26" s="29"/>
      <c r="L26" s="29"/>
    </row>
  </sheetData>
  <mergeCells count="1">
    <mergeCell ref="A4:K4"/>
  </mergeCells>
  <phoneticPr fontId="0" type="noConversion"/>
  <pageMargins left="0.75" right="0.75" top="0.42" bottom="0.44" header="0.19" footer="0.28999999999999998"/>
  <pageSetup scale="76" fitToHeight="0" orientation="landscape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zoomScale="90" workbookViewId="0">
      <selection activeCell="H16" sqref="H16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2" bestFit="1" customWidth="1"/>
    <col min="7" max="7" width="12" customWidth="1"/>
    <col min="8" max="8" width="14.5703125" bestFit="1" customWidth="1"/>
    <col min="9" max="9" width="13.85546875" bestFit="1" customWidth="1"/>
    <col min="10" max="11" width="13.42578125" bestFit="1" customWidth="1"/>
    <col min="12" max="12" width="17.28515625" bestFit="1" customWidth="1"/>
  </cols>
  <sheetData>
    <row r="1" spans="1:12" s="2" customFormat="1" ht="15" x14ac:dyDescent="0.2">
      <c r="A1" s="1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72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" t="s">
        <v>182</v>
      </c>
      <c r="B4" s="3"/>
      <c r="C4" s="3"/>
      <c r="D4" s="3"/>
      <c r="E4" s="3"/>
      <c r="F4" s="3"/>
      <c r="G4" s="3"/>
      <c r="H4" s="3"/>
      <c r="I4" s="3"/>
    </row>
    <row r="5" spans="1:12" x14ac:dyDescent="0.2">
      <c r="A5" s="316"/>
      <c r="B5" s="316"/>
      <c r="C5" s="316"/>
      <c r="D5" s="316"/>
      <c r="E5" s="316"/>
      <c r="F5" s="316"/>
      <c r="G5" s="316"/>
      <c r="H5" s="316"/>
      <c r="I5" s="316"/>
      <c r="J5" s="316"/>
      <c r="K5" s="316"/>
    </row>
    <row r="6" spans="1:12" s="7" customFormat="1" x14ac:dyDescent="0.2">
      <c r="A6" s="319" t="s">
        <v>39</v>
      </c>
      <c r="B6" s="290" t="s">
        <v>3</v>
      </c>
      <c r="C6" s="290" t="s">
        <v>3</v>
      </c>
      <c r="D6" s="290" t="s">
        <v>32</v>
      </c>
      <c r="E6" s="290"/>
      <c r="F6" s="290" t="s">
        <v>7</v>
      </c>
      <c r="G6" s="290" t="s">
        <v>41</v>
      </c>
      <c r="H6" s="290" t="s">
        <v>72</v>
      </c>
      <c r="I6" s="291" t="s">
        <v>42</v>
      </c>
      <c r="J6" s="292"/>
      <c r="K6" s="293"/>
    </row>
    <row r="7" spans="1:12" s="7" customFormat="1" x14ac:dyDescent="0.2">
      <c r="A7" s="320" t="s">
        <v>43</v>
      </c>
      <c r="B7" s="294" t="s">
        <v>9</v>
      </c>
      <c r="C7" s="294" t="s">
        <v>8</v>
      </c>
      <c r="D7" s="294" t="s">
        <v>40</v>
      </c>
      <c r="E7" s="294"/>
      <c r="F7" s="294" t="s">
        <v>44</v>
      </c>
      <c r="G7" s="294" t="s">
        <v>12</v>
      </c>
      <c r="H7" s="294" t="s">
        <v>77</v>
      </c>
      <c r="I7" s="294" t="s">
        <v>19</v>
      </c>
      <c r="J7" s="294" t="s">
        <v>20</v>
      </c>
      <c r="K7" s="295" t="s">
        <v>21</v>
      </c>
    </row>
    <row r="8" spans="1:12" s="7" customFormat="1" x14ac:dyDescent="0.2">
      <c r="A8" s="320"/>
      <c r="B8" s="294"/>
      <c r="C8" s="294"/>
      <c r="D8" s="294" t="s">
        <v>105</v>
      </c>
      <c r="E8" s="294"/>
      <c r="F8" s="294"/>
      <c r="G8" s="294"/>
      <c r="H8" s="294" t="s">
        <v>12</v>
      </c>
      <c r="I8" s="294" t="s">
        <v>24</v>
      </c>
      <c r="J8" s="294" t="s">
        <v>24</v>
      </c>
      <c r="K8" s="295" t="s">
        <v>24</v>
      </c>
    </row>
    <row r="9" spans="1:12" x14ac:dyDescent="0.2">
      <c r="A9" s="321"/>
      <c r="B9" s="296"/>
      <c r="C9" s="296"/>
      <c r="D9" s="147">
        <v>-0.09</v>
      </c>
      <c r="E9" s="296"/>
      <c r="F9" s="296"/>
      <c r="G9" s="297"/>
      <c r="H9" s="147" t="s">
        <v>204</v>
      </c>
      <c r="I9" s="298"/>
      <c r="J9" s="298"/>
      <c r="K9" s="299"/>
      <c r="L9" s="379" t="s">
        <v>207</v>
      </c>
    </row>
    <row r="10" spans="1:12" x14ac:dyDescent="0.2">
      <c r="A10" s="23">
        <v>36982</v>
      </c>
      <c r="B10" s="14"/>
      <c r="C10" s="15" t="s">
        <v>61</v>
      </c>
      <c r="D10" s="138">
        <f>5.384+$D$9</f>
        <v>5.2940000000000005</v>
      </c>
      <c r="E10" s="14"/>
      <c r="F10" s="137">
        <v>150000</v>
      </c>
      <c r="G10" s="138"/>
      <c r="H10" s="138">
        <v>5.31</v>
      </c>
      <c r="I10" s="136">
        <f t="shared" ref="I10:I16" si="0">SUM(D10-H10)*F10</f>
        <v>-2399.999999999869</v>
      </c>
      <c r="J10" s="30">
        <f>+I10</f>
        <v>-2399.999999999869</v>
      </c>
      <c r="K10" s="30"/>
      <c r="L10" s="357">
        <f>IF(K10=0,0,IF(A10&lt;(Summary!$K$3+365),K10,0))</f>
        <v>0</v>
      </c>
    </row>
    <row r="11" spans="1:12" x14ac:dyDescent="0.2">
      <c r="A11" s="23">
        <v>37012</v>
      </c>
      <c r="B11" s="14"/>
      <c r="C11" s="15" t="s">
        <v>61</v>
      </c>
      <c r="D11" s="138">
        <f>4.891+D9</f>
        <v>4.8010000000000002</v>
      </c>
      <c r="E11" s="14"/>
      <c r="F11" s="137">
        <v>155000</v>
      </c>
      <c r="G11" s="138"/>
      <c r="H11" s="138">
        <v>4.82</v>
      </c>
      <c r="I11" s="136">
        <f t="shared" si="0"/>
        <v>-2945.00000000002</v>
      </c>
      <c r="J11" s="30">
        <f>+I11</f>
        <v>-2945.00000000002</v>
      </c>
      <c r="K11" s="30"/>
      <c r="L11" s="357">
        <f>IF(K11=0,0,IF(A11&lt;(Summary!$K$3+365),K11,0))</f>
        <v>0</v>
      </c>
    </row>
    <row r="12" spans="1:12" x14ac:dyDescent="0.2">
      <c r="A12" s="23">
        <v>37043</v>
      </c>
      <c r="B12" s="14"/>
      <c r="C12" s="15" t="s">
        <v>61</v>
      </c>
      <c r="D12" s="138">
        <f>3.738+$D$9</f>
        <v>3.6480000000000001</v>
      </c>
      <c r="E12" s="14"/>
      <c r="F12" s="137">
        <v>150000</v>
      </c>
      <c r="G12" s="138"/>
      <c r="H12" s="138">
        <v>3.65</v>
      </c>
      <c r="I12" s="136">
        <f t="shared" si="0"/>
        <v>-299.99999999996697</v>
      </c>
      <c r="J12" s="30"/>
      <c r="K12" s="30">
        <f>+I12</f>
        <v>-299.99999999996697</v>
      </c>
      <c r="L12" s="357">
        <f>IF(K12=0,0,IF(A12&lt;(Summary!$K$3+365),K12,0))</f>
        <v>-299.99999999996697</v>
      </c>
    </row>
    <row r="13" spans="1:12" x14ac:dyDescent="0.2">
      <c r="A13" s="23">
        <v>37073</v>
      </c>
      <c r="B13" s="14"/>
      <c r="C13" s="15" t="s">
        <v>61</v>
      </c>
      <c r="D13" s="138">
        <f>[4]NYMEX!$C9+$D$9</f>
        <v>3.8240000000000003</v>
      </c>
      <c r="E13" s="14"/>
      <c r="F13" s="137">
        <v>155000</v>
      </c>
      <c r="G13" s="138"/>
      <c r="H13" s="138">
        <f>'[4]PEPL Tx, Ok'!$E13</f>
        <v>3.794</v>
      </c>
      <c r="I13" s="136">
        <f t="shared" si="0"/>
        <v>4650.0000000000382</v>
      </c>
      <c r="J13" s="30"/>
      <c r="K13" s="30">
        <f>+I13</f>
        <v>4650.0000000000382</v>
      </c>
      <c r="L13" s="357">
        <f>IF(K13=0,0,IF(A13&lt;(Summary!$K$3+365),K13,0))</f>
        <v>4650.0000000000382</v>
      </c>
    </row>
    <row r="14" spans="1:12" x14ac:dyDescent="0.2">
      <c r="A14" s="23">
        <v>37104</v>
      </c>
      <c r="B14" s="14"/>
      <c r="C14" s="15" t="s">
        <v>61</v>
      </c>
      <c r="D14" s="138">
        <f>[4]NYMEX!$C10+$D$9</f>
        <v>3.9000000000000004</v>
      </c>
      <c r="E14" s="14"/>
      <c r="F14" s="137">
        <v>155000</v>
      </c>
      <c r="G14" s="138"/>
      <c r="H14" s="138">
        <f>'[4]PEPL Tx, Ok'!$E14</f>
        <v>3.87</v>
      </c>
      <c r="I14" s="136">
        <f t="shared" si="0"/>
        <v>4650.0000000000382</v>
      </c>
      <c r="J14" s="30"/>
      <c r="K14" s="30">
        <f>+I14</f>
        <v>4650.0000000000382</v>
      </c>
      <c r="L14" s="357">
        <f>IF(K14=0,0,IF(A14&lt;(Summary!$K$3+365),K14,0))</f>
        <v>4650.0000000000382</v>
      </c>
    </row>
    <row r="15" spans="1:12" x14ac:dyDescent="0.2">
      <c r="A15" s="23">
        <v>37135</v>
      </c>
      <c r="B15" s="14"/>
      <c r="C15" s="15" t="s">
        <v>61</v>
      </c>
      <c r="D15" s="138">
        <f>[4]NYMEX!$C11+$D$9</f>
        <v>3.9320000000000004</v>
      </c>
      <c r="E15" s="14"/>
      <c r="F15" s="137">
        <v>150000</v>
      </c>
      <c r="G15" s="138"/>
      <c r="H15" s="138">
        <f>'[4]PEPL Tx, Ok'!$E15</f>
        <v>3.9020000000000001</v>
      </c>
      <c r="I15" s="136">
        <f t="shared" si="0"/>
        <v>4500.0000000000373</v>
      </c>
      <c r="J15" s="30"/>
      <c r="K15" s="30">
        <f>+I15</f>
        <v>4500.0000000000373</v>
      </c>
      <c r="L15" s="357">
        <f>IF(K15=0,0,IF(A15&lt;(Summary!$K$3+365),K15,0))</f>
        <v>4500.0000000000373</v>
      </c>
    </row>
    <row r="16" spans="1:12" x14ac:dyDescent="0.2">
      <c r="A16" s="23">
        <v>37165</v>
      </c>
      <c r="B16" s="14"/>
      <c r="C16" s="15" t="s">
        <v>61</v>
      </c>
      <c r="D16" s="138">
        <f>[4]NYMEX!$C12+$D$9</f>
        <v>3.9580000000000002</v>
      </c>
      <c r="E16" s="14"/>
      <c r="F16" s="137">
        <v>155000</v>
      </c>
      <c r="G16" s="138"/>
      <c r="H16" s="138">
        <f>'[4]PEPL Tx, Ok'!$E16</f>
        <v>3.9279999999999999</v>
      </c>
      <c r="I16" s="136">
        <f t="shared" si="0"/>
        <v>4650.0000000000382</v>
      </c>
      <c r="J16" s="30"/>
      <c r="K16" s="30">
        <f>+I16</f>
        <v>4650.0000000000382</v>
      </c>
      <c r="L16" s="357">
        <f>IF(K16=0,0,IF(A16&lt;(Summary!$K$3+365),K16,0))</f>
        <v>4650.0000000000382</v>
      </c>
    </row>
    <row r="17" spans="1:12" x14ac:dyDescent="0.2">
      <c r="A17" s="23"/>
      <c r="B17" s="14"/>
      <c r="C17" s="15"/>
      <c r="D17" s="436"/>
      <c r="E17" s="14"/>
      <c r="F17" s="137"/>
      <c r="G17" s="14"/>
      <c r="H17" s="436"/>
      <c r="I17" s="136"/>
      <c r="J17" s="28"/>
      <c r="K17" s="30"/>
      <c r="L17" s="20"/>
    </row>
    <row r="18" spans="1:12" x14ac:dyDescent="0.2">
      <c r="A18" s="14"/>
      <c r="B18" s="14"/>
      <c r="C18" s="14"/>
      <c r="D18" s="138">
        <f>AVERAGE(D10:D16)</f>
        <v>4.1938571428571425</v>
      </c>
      <c r="E18" s="14"/>
      <c r="F18" s="287">
        <f>SUM(F10:F16)</f>
        <v>1070000</v>
      </c>
      <c r="G18" s="14"/>
      <c r="H18" s="138">
        <f>AVERAGE(H10:H16)</f>
        <v>4.1820000000000004</v>
      </c>
      <c r="I18" s="289">
        <f>SUM(I10:I16)</f>
        <v>12805.000000000295</v>
      </c>
      <c r="J18" s="289">
        <f>SUM(J10:J16)</f>
        <v>-5344.999999999889</v>
      </c>
      <c r="K18" s="289">
        <f>SUM(K10:K16)</f>
        <v>18150.000000000182</v>
      </c>
      <c r="L18" s="289">
        <f>SUM(L10:L16)</f>
        <v>18150.000000000182</v>
      </c>
    </row>
    <row r="19" spans="1:12" x14ac:dyDescent="0.2">
      <c r="A19" s="14"/>
      <c r="B19" s="14"/>
      <c r="C19" s="14"/>
      <c r="D19" s="138"/>
      <c r="E19" s="14"/>
      <c r="F19" s="27"/>
      <c r="G19" s="14"/>
      <c r="H19" s="138"/>
      <c r="I19" s="35"/>
      <c r="J19" s="31"/>
      <c r="K19" s="31"/>
      <c r="L19" s="31"/>
    </row>
  </sheetData>
  <phoneticPr fontId="0" type="noConversion"/>
  <pageMargins left="0.75" right="0.75" top="1" bottom="1" header="0.5" footer="0.5"/>
  <pageSetup scale="86" orientation="landscape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topLeftCell="A2" zoomScale="75" workbookViewId="0">
      <selection activeCell="D13" sqref="D13"/>
    </sheetView>
  </sheetViews>
  <sheetFormatPr defaultRowHeight="12.75" x14ac:dyDescent="0.2"/>
  <cols>
    <col min="1" max="2" width="10.7109375" customWidth="1"/>
    <col min="3" max="3" width="10.28515625" bestFit="1" customWidth="1"/>
    <col min="4" max="4" width="13" bestFit="1" customWidth="1"/>
    <col min="5" max="5" width="0" hidden="1" customWidth="1"/>
    <col min="6" max="6" width="15" customWidth="1"/>
    <col min="7" max="7" width="10.42578125" customWidth="1"/>
    <col min="8" max="8" width="12.85546875" customWidth="1"/>
    <col min="9" max="9" width="14.5703125" bestFit="1" customWidth="1"/>
    <col min="10" max="11" width="14.42578125" customWidth="1"/>
    <col min="12" max="12" width="17.28515625" bestFit="1" customWidth="1"/>
  </cols>
  <sheetData>
    <row r="1" spans="1:12" s="2" customFormat="1" ht="15" x14ac:dyDescent="0.2">
      <c r="A1" s="1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190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" t="s">
        <v>189</v>
      </c>
      <c r="B4" s="3"/>
      <c r="C4" s="3"/>
      <c r="D4" s="3"/>
      <c r="E4" s="3"/>
      <c r="F4" s="3"/>
      <c r="G4" s="3"/>
      <c r="H4" s="3"/>
      <c r="I4" s="3"/>
    </row>
    <row r="5" spans="1:12" x14ac:dyDescent="0.2">
      <c r="A5" s="316"/>
      <c r="B5" s="316"/>
      <c r="C5" s="316"/>
      <c r="D5" s="316"/>
      <c r="E5" s="316"/>
      <c r="F5" s="316"/>
      <c r="G5" s="316"/>
      <c r="H5" s="316"/>
      <c r="I5" s="316"/>
      <c r="J5" s="316"/>
      <c r="K5" s="316"/>
    </row>
    <row r="6" spans="1:12" s="7" customFormat="1" x14ac:dyDescent="0.2">
      <c r="A6" s="319" t="s">
        <v>39</v>
      </c>
      <c r="B6" s="290" t="s">
        <v>3</v>
      </c>
      <c r="C6" s="290" t="s">
        <v>3</v>
      </c>
      <c r="D6" s="290" t="s">
        <v>72</v>
      </c>
      <c r="E6" s="290"/>
      <c r="F6" s="290" t="s">
        <v>7</v>
      </c>
      <c r="G6" s="290" t="s">
        <v>41</v>
      </c>
      <c r="H6" s="290" t="s">
        <v>32</v>
      </c>
      <c r="I6" s="291" t="s">
        <v>42</v>
      </c>
      <c r="J6" s="292"/>
      <c r="K6" s="293"/>
    </row>
    <row r="7" spans="1:12" s="7" customFormat="1" x14ac:dyDescent="0.2">
      <c r="A7" s="320" t="s">
        <v>43</v>
      </c>
      <c r="B7" s="294" t="s">
        <v>9</v>
      </c>
      <c r="C7" s="294" t="s">
        <v>8</v>
      </c>
      <c r="D7" s="294" t="s">
        <v>40</v>
      </c>
      <c r="E7" s="294"/>
      <c r="F7" s="294" t="s">
        <v>44</v>
      </c>
      <c r="G7" s="294" t="s">
        <v>12</v>
      </c>
      <c r="H7" s="294" t="s">
        <v>77</v>
      </c>
      <c r="I7" s="294" t="s">
        <v>19</v>
      </c>
      <c r="J7" s="294" t="s">
        <v>20</v>
      </c>
      <c r="K7" s="295" t="s">
        <v>21</v>
      </c>
    </row>
    <row r="8" spans="1:12" s="7" customFormat="1" x14ac:dyDescent="0.2">
      <c r="A8" s="320"/>
      <c r="B8" s="294"/>
      <c r="C8" s="294"/>
      <c r="D8" s="294" t="s">
        <v>105</v>
      </c>
      <c r="E8" s="294"/>
      <c r="F8" s="294"/>
      <c r="G8" s="294"/>
      <c r="H8" s="294" t="s">
        <v>12</v>
      </c>
      <c r="I8" s="294" t="s">
        <v>24</v>
      </c>
      <c r="J8" s="294" t="s">
        <v>24</v>
      </c>
      <c r="K8" s="295" t="s">
        <v>24</v>
      </c>
    </row>
    <row r="9" spans="1:12" x14ac:dyDescent="0.2">
      <c r="A9" s="321"/>
      <c r="B9" s="296"/>
      <c r="C9" s="296"/>
      <c r="D9" s="147"/>
      <c r="E9" s="296"/>
      <c r="F9" s="296"/>
      <c r="G9" s="297"/>
      <c r="H9" s="147" t="s">
        <v>100</v>
      </c>
      <c r="I9" s="298"/>
      <c r="J9" s="298"/>
      <c r="K9" s="299"/>
      <c r="L9" s="379" t="s">
        <v>207</v>
      </c>
    </row>
    <row r="10" spans="1:12" x14ac:dyDescent="0.2">
      <c r="A10" s="326">
        <v>36982</v>
      </c>
      <c r="B10" s="288"/>
      <c r="C10" s="327" t="s">
        <v>61</v>
      </c>
      <c r="D10" s="301">
        <f>5.384+$D$9</f>
        <v>5.3840000000000003</v>
      </c>
      <c r="E10" s="288"/>
      <c r="F10" s="300">
        <v>-150000</v>
      </c>
      <c r="G10" s="301"/>
      <c r="H10" s="301">
        <v>5.4</v>
      </c>
      <c r="I10" s="26">
        <f t="shared" ref="I10:I16" si="0">SUM(D10-H10)*F10</f>
        <v>2400.0000000000023</v>
      </c>
      <c r="J10" s="302">
        <f>+I10</f>
        <v>2400.0000000000023</v>
      </c>
      <c r="K10" s="302"/>
      <c r="L10" s="357">
        <f>IF(K10=0,0,IF(A10&lt;(Summary!$K$3+365),K10,0))</f>
        <v>0</v>
      </c>
    </row>
    <row r="11" spans="1:12" x14ac:dyDescent="0.2">
      <c r="A11" s="326">
        <v>37012</v>
      </c>
      <c r="B11" s="288"/>
      <c r="C11" s="327" t="s">
        <v>61</v>
      </c>
      <c r="D11" s="301">
        <f>4.891+$D$9</f>
        <v>4.891</v>
      </c>
      <c r="E11" s="288"/>
      <c r="F11" s="300">
        <v>-155000</v>
      </c>
      <c r="G11" s="301"/>
      <c r="H11" s="301">
        <v>4.8099999999999996</v>
      </c>
      <c r="I11" s="26">
        <f t="shared" si="0"/>
        <v>-12555.000000000064</v>
      </c>
      <c r="J11" s="302">
        <f>+I11</f>
        <v>-12555.000000000064</v>
      </c>
      <c r="K11" s="302"/>
      <c r="L11" s="357">
        <f>IF(K11=0,0,IF(A11&lt;(Summary!$K$3+365),K11,0))</f>
        <v>0</v>
      </c>
    </row>
    <row r="12" spans="1:12" x14ac:dyDescent="0.2">
      <c r="A12" s="326">
        <v>37043</v>
      </c>
      <c r="B12" s="288"/>
      <c r="C12" s="327" t="s">
        <v>61</v>
      </c>
      <c r="D12" s="301">
        <f>3.738+$D$9</f>
        <v>3.738</v>
      </c>
      <c r="E12" s="288"/>
      <c r="F12" s="300">
        <v>-150000</v>
      </c>
      <c r="G12" s="301"/>
      <c r="H12" s="301">
        <v>3.65</v>
      </c>
      <c r="I12" s="26">
        <f t="shared" si="0"/>
        <v>-13200.000000000011</v>
      </c>
      <c r="J12" s="302"/>
      <c r="K12" s="302">
        <f>+I12</f>
        <v>-13200.000000000011</v>
      </c>
      <c r="L12" s="357">
        <f>IF(K12=0,0,IF(A12&lt;(Summary!$K$3+365),K12,0))</f>
        <v>-13200.000000000011</v>
      </c>
    </row>
    <row r="13" spans="1:12" x14ac:dyDescent="0.2">
      <c r="A13" s="326">
        <v>37073</v>
      </c>
      <c r="B13" s="288"/>
      <c r="C13" s="327" t="s">
        <v>61</v>
      </c>
      <c r="D13" s="301">
        <f>[4]NYMEX!$C9+$D$9</f>
        <v>3.9140000000000001</v>
      </c>
      <c r="E13" s="288"/>
      <c r="F13" s="300">
        <v>-155000</v>
      </c>
      <c r="G13" s="301"/>
      <c r="H13" s="301">
        <f>[4]Demarc!$E13</f>
        <v>3.8290000000000002</v>
      </c>
      <c r="I13" s="26">
        <f t="shared" si="0"/>
        <v>-13174.999999999995</v>
      </c>
      <c r="J13" s="302"/>
      <c r="K13" s="302">
        <f>+I13</f>
        <v>-13174.999999999995</v>
      </c>
      <c r="L13" s="357">
        <f>IF(K13=0,0,IF(A13&lt;(Summary!$K$3+365),K13,0))</f>
        <v>-13174.999999999995</v>
      </c>
    </row>
    <row r="14" spans="1:12" x14ac:dyDescent="0.2">
      <c r="A14" s="326">
        <v>37104</v>
      </c>
      <c r="B14" s="288"/>
      <c r="C14" s="327" t="s">
        <v>61</v>
      </c>
      <c r="D14" s="301">
        <f>[4]NYMEX!$C10+$D$9</f>
        <v>3.99</v>
      </c>
      <c r="E14" s="288"/>
      <c r="F14" s="300">
        <v>-155000</v>
      </c>
      <c r="G14" s="301"/>
      <c r="H14" s="301">
        <f>[4]Demarc!$E14</f>
        <v>3.9050000000000002</v>
      </c>
      <c r="I14" s="26">
        <f t="shared" si="0"/>
        <v>-13174.999999999995</v>
      </c>
      <c r="J14" s="302"/>
      <c r="K14" s="302">
        <f>+I14</f>
        <v>-13174.999999999995</v>
      </c>
      <c r="L14" s="357">
        <f>IF(K14=0,0,IF(A14&lt;(Summary!$K$3+365),K14,0))</f>
        <v>-13174.999999999995</v>
      </c>
    </row>
    <row r="15" spans="1:12" x14ac:dyDescent="0.2">
      <c r="A15" s="326">
        <v>37135</v>
      </c>
      <c r="B15" s="288"/>
      <c r="C15" s="327" t="s">
        <v>61</v>
      </c>
      <c r="D15" s="301">
        <f>[4]NYMEX!$C11+$D$9</f>
        <v>4.0220000000000002</v>
      </c>
      <c r="E15" s="288"/>
      <c r="F15" s="300">
        <v>-150000</v>
      </c>
      <c r="G15" s="301"/>
      <c r="H15" s="301">
        <f>[4]Demarc!$E15</f>
        <v>3.9370000000000003</v>
      </c>
      <c r="I15" s="26">
        <f t="shared" si="0"/>
        <v>-12749.999999999995</v>
      </c>
      <c r="J15" s="302"/>
      <c r="K15" s="302">
        <f>+I15</f>
        <v>-12749.999999999995</v>
      </c>
      <c r="L15" s="357">
        <f>IF(K15=0,0,IF(A15&lt;(Summary!$K$3+365),K15,0))</f>
        <v>-12749.999999999995</v>
      </c>
    </row>
    <row r="16" spans="1:12" x14ac:dyDescent="0.2">
      <c r="A16" s="326">
        <v>37165</v>
      </c>
      <c r="B16" s="288"/>
      <c r="C16" s="327" t="s">
        <v>61</v>
      </c>
      <c r="D16" s="301">
        <f>[4]NYMEX!$C12+$D$9</f>
        <v>4.048</v>
      </c>
      <c r="E16" s="288"/>
      <c r="F16" s="300">
        <v>-155000</v>
      </c>
      <c r="G16" s="301"/>
      <c r="H16" s="301">
        <f>[4]Demarc!$E16</f>
        <v>3.9630000000000001</v>
      </c>
      <c r="I16" s="26">
        <f t="shared" si="0"/>
        <v>-13174.999999999995</v>
      </c>
      <c r="J16" s="302"/>
      <c r="K16" s="302">
        <f>+I16</f>
        <v>-13174.999999999995</v>
      </c>
      <c r="L16" s="357">
        <f>IF(K16=0,0,IF(A16&lt;(Summary!$K$3+365),K16,0))</f>
        <v>-13174.999999999995</v>
      </c>
    </row>
    <row r="17" spans="1:12" x14ac:dyDescent="0.2">
      <c r="A17" s="326"/>
      <c r="B17" s="288"/>
      <c r="C17" s="327"/>
      <c r="D17" s="20"/>
      <c r="E17" s="288"/>
      <c r="F17" s="300"/>
      <c r="G17" s="288"/>
      <c r="H17" s="433"/>
      <c r="I17" s="26"/>
      <c r="J17" s="303"/>
      <c r="K17" s="302"/>
      <c r="L17" s="14"/>
    </row>
    <row r="18" spans="1:12" x14ac:dyDescent="0.2">
      <c r="A18" s="288"/>
      <c r="B18" s="288"/>
      <c r="C18" s="288"/>
      <c r="D18" s="301">
        <f>AVERAGE(D10:D16)</f>
        <v>4.2838571428571433</v>
      </c>
      <c r="E18" s="288"/>
      <c r="F18" s="287">
        <f>SUM(F10:F16)</f>
        <v>-1070000</v>
      </c>
      <c r="G18" s="288"/>
      <c r="H18" s="301">
        <f>AVERAGE(H10:H16)</f>
        <v>4.2134285714285715</v>
      </c>
      <c r="I18" s="289">
        <f>SUM(I10:I16)</f>
        <v>-75630.000000000044</v>
      </c>
      <c r="J18" s="289">
        <f>SUM(J10:J16)</f>
        <v>-10155.000000000062</v>
      </c>
      <c r="K18" s="289">
        <f>SUM(K10:K16)</f>
        <v>-65474.999999999985</v>
      </c>
      <c r="L18" s="289">
        <f>SUM(L10:L16)</f>
        <v>-65474.999999999985</v>
      </c>
    </row>
    <row r="19" spans="1:12" x14ac:dyDescent="0.2">
      <c r="A19" s="14"/>
      <c r="B19" s="14"/>
      <c r="C19" s="14"/>
      <c r="D19" s="138"/>
      <c r="E19" s="14"/>
      <c r="F19" s="27"/>
      <c r="G19" s="14"/>
      <c r="H19" s="138"/>
      <c r="I19" s="35"/>
      <c r="J19" s="31"/>
      <c r="K19" s="31"/>
      <c r="L19" s="14"/>
    </row>
  </sheetData>
  <phoneticPr fontId="0" type="noConversion"/>
  <pageMargins left="0.75" right="0.75" top="1" bottom="1" header="0.5" footer="0.5"/>
  <pageSetup scale="86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zoomScale="75" workbookViewId="0">
      <selection activeCell="H14" sqref="H14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3.140625" customWidth="1"/>
    <col min="7" max="7" width="15" customWidth="1"/>
    <col min="8" max="8" width="8.7109375" customWidth="1"/>
    <col min="9" max="9" width="17.28515625" customWidth="1"/>
    <col min="10" max="10" width="17.28515625" bestFit="1" customWidth="1"/>
    <col min="11" max="11" width="17.28515625" customWidth="1"/>
    <col min="12" max="12" width="17.28515625" bestFit="1" customWidth="1"/>
  </cols>
  <sheetData>
    <row r="1" spans="1:12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62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2" s="7" customFormat="1" x14ac:dyDescent="0.2">
      <c r="A6" s="5" t="s">
        <v>39</v>
      </c>
      <c r="B6" s="6" t="s">
        <v>3</v>
      </c>
      <c r="C6" s="6" t="s">
        <v>3</v>
      </c>
      <c r="D6" s="6" t="s">
        <v>61</v>
      </c>
      <c r="E6" s="6"/>
      <c r="F6" s="6" t="s">
        <v>7</v>
      </c>
      <c r="G6" s="6" t="s">
        <v>41</v>
      </c>
      <c r="H6" s="6" t="s">
        <v>25</v>
      </c>
      <c r="I6" s="36" t="s">
        <v>42</v>
      </c>
      <c r="J6" s="37"/>
      <c r="K6" s="38"/>
      <c r="L6" s="387"/>
    </row>
    <row r="7" spans="1:12" s="7" customFormat="1" x14ac:dyDescent="0.2">
      <c r="A7" s="8" t="s">
        <v>43</v>
      </c>
      <c r="B7" s="9" t="s">
        <v>9</v>
      </c>
      <c r="C7" s="9" t="s">
        <v>8</v>
      </c>
      <c r="D7" s="9" t="s">
        <v>40</v>
      </c>
      <c r="E7" s="9"/>
      <c r="F7" s="9" t="s">
        <v>44</v>
      </c>
      <c r="G7" s="9" t="s">
        <v>12</v>
      </c>
      <c r="H7" s="9" t="s">
        <v>128</v>
      </c>
      <c r="I7" s="9" t="s">
        <v>19</v>
      </c>
      <c r="J7" s="9" t="s">
        <v>20</v>
      </c>
      <c r="K7" s="10" t="s">
        <v>21</v>
      </c>
      <c r="L7" s="32"/>
    </row>
    <row r="8" spans="1:12" x14ac:dyDescent="0.2">
      <c r="A8" s="11"/>
      <c r="B8" s="12"/>
      <c r="C8" s="12"/>
      <c r="D8" s="183" t="s">
        <v>12</v>
      </c>
      <c r="E8" s="12"/>
      <c r="F8" s="12"/>
      <c r="G8" s="34" t="s">
        <v>45</v>
      </c>
      <c r="H8" s="13" t="s">
        <v>12</v>
      </c>
      <c r="I8" s="39" t="s">
        <v>24</v>
      </c>
      <c r="J8" s="39" t="s">
        <v>24</v>
      </c>
      <c r="K8" s="40" t="s">
        <v>24</v>
      </c>
      <c r="L8" s="379" t="s">
        <v>207</v>
      </c>
    </row>
    <row r="9" spans="1:12" x14ac:dyDescent="0.2">
      <c r="A9" s="23">
        <v>36892</v>
      </c>
      <c r="B9" s="14"/>
      <c r="C9" s="15" t="s">
        <v>61</v>
      </c>
      <c r="D9" s="24">
        <v>3.23</v>
      </c>
      <c r="E9" s="14"/>
      <c r="F9" s="300">
        <f>-5000*31</f>
        <v>-155000</v>
      </c>
      <c r="G9" s="301"/>
      <c r="H9" s="301">
        <v>9.81</v>
      </c>
      <c r="I9" s="26">
        <f t="shared" ref="I9:I20" si="0">SUM(D9-H9)*F9</f>
        <v>1019900</v>
      </c>
      <c r="J9" s="302">
        <f>+I9</f>
        <v>1019900</v>
      </c>
      <c r="K9" s="302"/>
      <c r="L9" s="357">
        <f>IF(K9=0,0,IF(A9&lt;(Summary!$K$3+365),ENA_9!K9,0))</f>
        <v>0</v>
      </c>
    </row>
    <row r="10" spans="1:12" x14ac:dyDescent="0.2">
      <c r="A10" s="23">
        <v>36923</v>
      </c>
      <c r="B10" s="14"/>
      <c r="C10" s="15" t="s">
        <v>61</v>
      </c>
      <c r="D10" s="24">
        <v>3.23</v>
      </c>
      <c r="E10" s="14"/>
      <c r="F10" s="300">
        <f>-5000*28</f>
        <v>-140000</v>
      </c>
      <c r="G10" s="301"/>
      <c r="H10" s="301">
        <v>6.65</v>
      </c>
      <c r="I10" s="26">
        <f t="shared" si="0"/>
        <v>478800.00000000006</v>
      </c>
      <c r="J10" s="302">
        <f>+I10</f>
        <v>478800.00000000006</v>
      </c>
      <c r="K10" s="302"/>
      <c r="L10" s="357">
        <f>IF(K10=0,0,IF(A10&lt;(Summary!$K$3+365),ENA_9!K10,0))</f>
        <v>0</v>
      </c>
    </row>
    <row r="11" spans="1:12" x14ac:dyDescent="0.2">
      <c r="A11" s="23">
        <v>36951</v>
      </c>
      <c r="B11" s="14"/>
      <c r="C11" s="15" t="s">
        <v>61</v>
      </c>
      <c r="D11" s="24">
        <v>3.23</v>
      </c>
      <c r="E11" s="14"/>
      <c r="F11" s="300">
        <f>-5000*31</f>
        <v>-155000</v>
      </c>
      <c r="G11" s="301"/>
      <c r="H11" s="301">
        <v>5.12</v>
      </c>
      <c r="I11" s="26">
        <f t="shared" si="0"/>
        <v>292950</v>
      </c>
      <c r="J11" s="302">
        <f>+I11</f>
        <v>292950</v>
      </c>
      <c r="K11" s="302"/>
      <c r="L11" s="357">
        <f>IF(K11=0,0,IF(A11&lt;(Summary!$K$3+365),ENA_9!K11,0))</f>
        <v>0</v>
      </c>
    </row>
    <row r="12" spans="1:12" x14ac:dyDescent="0.2">
      <c r="A12" s="23">
        <v>36982</v>
      </c>
      <c r="B12" s="14"/>
      <c r="C12" s="15" t="s">
        <v>61</v>
      </c>
      <c r="D12" s="24">
        <v>3.23</v>
      </c>
      <c r="E12" s="14"/>
      <c r="F12" s="300">
        <f>-5000*30</f>
        <v>-150000</v>
      </c>
      <c r="G12" s="301"/>
      <c r="H12" s="301">
        <v>5.31</v>
      </c>
      <c r="I12" s="26">
        <f t="shared" si="0"/>
        <v>311999.99999999994</v>
      </c>
      <c r="J12" s="302">
        <f>+I12</f>
        <v>311999.99999999994</v>
      </c>
      <c r="K12" s="302"/>
      <c r="L12" s="357">
        <f>IF(K12=0,0,IF(A12&lt;(Summary!$K$3+365),ENA_9!K12,0))</f>
        <v>0</v>
      </c>
    </row>
    <row r="13" spans="1:12" x14ac:dyDescent="0.2">
      <c r="A13" s="23">
        <v>37012</v>
      </c>
      <c r="B13" s="14"/>
      <c r="C13" s="15" t="s">
        <v>61</v>
      </c>
      <c r="D13" s="24">
        <v>3.23</v>
      </c>
      <c r="E13" s="14"/>
      <c r="F13" s="300">
        <f>-5000*31</f>
        <v>-155000</v>
      </c>
      <c r="G13" s="288"/>
      <c r="H13" s="301">
        <v>4.91</v>
      </c>
      <c r="I13" s="26">
        <f t="shared" si="0"/>
        <v>260400.00000000003</v>
      </c>
      <c r="J13" s="302">
        <f>+I13</f>
        <v>260400.00000000003</v>
      </c>
      <c r="K13" s="302"/>
      <c r="L13" s="357">
        <f>IF(K13=0,0,IF(A13&lt;(Summary!$K$3+365),ENA_9!K13,0))</f>
        <v>0</v>
      </c>
    </row>
    <row r="14" spans="1:12" x14ac:dyDescent="0.2">
      <c r="A14" s="23">
        <v>37043</v>
      </c>
      <c r="B14" s="14"/>
      <c r="C14" s="15" t="s">
        <v>61</v>
      </c>
      <c r="D14" s="24">
        <v>3.23</v>
      </c>
      <c r="E14" s="14"/>
      <c r="F14" s="300">
        <f>-5000*30</f>
        <v>-150000</v>
      </c>
      <c r="G14" s="288"/>
      <c r="H14" s="301">
        <v>3.82</v>
      </c>
      <c r="I14" s="26">
        <f t="shared" si="0"/>
        <v>88499.999999999985</v>
      </c>
      <c r="J14" s="303"/>
      <c r="K14" s="302">
        <f t="shared" ref="K14:K20" si="1">+I14</f>
        <v>88499.999999999985</v>
      </c>
      <c r="L14" s="357">
        <f>IF(K14=0,0,IF(A14&lt;(Summary!$K$3+365),ENA_9!K14,0))</f>
        <v>88499.999999999985</v>
      </c>
    </row>
    <row r="15" spans="1:12" x14ac:dyDescent="0.2">
      <c r="A15" s="23">
        <v>37073</v>
      </c>
      <c r="B15" s="14"/>
      <c r="C15" s="15" t="s">
        <v>61</v>
      </c>
      <c r="D15" s="24">
        <v>3.23</v>
      </c>
      <c r="E15" s="14"/>
      <c r="F15" s="300">
        <f>-5000*31</f>
        <v>-155000</v>
      </c>
      <c r="G15" s="288"/>
      <c r="H15" s="301">
        <f>+'[4]ELpaso SJ &amp; Prm'!$F49</f>
        <v>3.8740000000000001</v>
      </c>
      <c r="I15" s="26">
        <f t="shared" si="0"/>
        <v>99820.000000000015</v>
      </c>
      <c r="J15" s="303"/>
      <c r="K15" s="302">
        <f t="shared" si="1"/>
        <v>99820.000000000015</v>
      </c>
      <c r="L15" s="357">
        <f>IF(K15=0,0,IF(A15&lt;(Summary!$K$3+365),ENA_9!K15,0))</f>
        <v>99820.000000000015</v>
      </c>
    </row>
    <row r="16" spans="1:12" x14ac:dyDescent="0.2">
      <c r="A16" s="23">
        <v>37104</v>
      </c>
      <c r="B16" s="14"/>
      <c r="C16" s="15" t="s">
        <v>61</v>
      </c>
      <c r="D16" s="24">
        <v>3.23</v>
      </c>
      <c r="E16" s="14"/>
      <c r="F16" s="300">
        <f>-5000*31</f>
        <v>-155000</v>
      </c>
      <c r="G16" s="288"/>
      <c r="H16" s="301">
        <f>+'[4]ELpaso SJ &amp; Prm'!$F50</f>
        <v>3.9850000000000003</v>
      </c>
      <c r="I16" s="26">
        <f t="shared" si="0"/>
        <v>117025.00000000006</v>
      </c>
      <c r="J16" s="303"/>
      <c r="K16" s="302">
        <f t="shared" si="1"/>
        <v>117025.00000000006</v>
      </c>
      <c r="L16" s="357">
        <f>IF(K16=0,0,IF(A16&lt;(Summary!$K$3+365),ENA_9!K16,0))</f>
        <v>117025.00000000006</v>
      </c>
    </row>
    <row r="17" spans="1:12" x14ac:dyDescent="0.2">
      <c r="A17" s="23">
        <v>37135</v>
      </c>
      <c r="B17" s="14"/>
      <c r="C17" s="15" t="s">
        <v>61</v>
      </c>
      <c r="D17" s="24">
        <v>3.23</v>
      </c>
      <c r="E17" s="14"/>
      <c r="F17" s="300">
        <f>-5000*30</f>
        <v>-150000</v>
      </c>
      <c r="G17" s="288"/>
      <c r="H17" s="301">
        <f>+'[4]ELpaso SJ &amp; Prm'!$F51</f>
        <v>4.0120000000000005</v>
      </c>
      <c r="I17" s="26">
        <f t="shared" si="0"/>
        <v>117300.00000000007</v>
      </c>
      <c r="J17" s="303"/>
      <c r="K17" s="302">
        <f t="shared" si="1"/>
        <v>117300.00000000007</v>
      </c>
      <c r="L17" s="357">
        <f>IF(K17=0,0,IF(A17&lt;(Summary!$K$3+365),ENA_9!K17,0))</f>
        <v>117300.00000000007</v>
      </c>
    </row>
    <row r="18" spans="1:12" x14ac:dyDescent="0.2">
      <c r="A18" s="23">
        <v>37165</v>
      </c>
      <c r="B18" s="14"/>
      <c r="C18" s="15" t="s">
        <v>61</v>
      </c>
      <c r="D18" s="24">
        <v>3.23</v>
      </c>
      <c r="E18" s="14"/>
      <c r="F18" s="300">
        <f>-5000*31</f>
        <v>-155000</v>
      </c>
      <c r="G18" s="288"/>
      <c r="H18" s="301">
        <f>+'[4]ELpaso SJ &amp; Prm'!$F52</f>
        <v>4.0129999999999999</v>
      </c>
      <c r="I18" s="26">
        <f t="shared" si="0"/>
        <v>121364.99999999999</v>
      </c>
      <c r="J18" s="303"/>
      <c r="K18" s="302">
        <f t="shared" si="1"/>
        <v>121364.99999999999</v>
      </c>
      <c r="L18" s="357">
        <f>IF(K18=0,0,IF(A18&lt;(Summary!$K$3+365),ENA_9!K18,0))</f>
        <v>121364.99999999999</v>
      </c>
    </row>
    <row r="19" spans="1:12" x14ac:dyDescent="0.2">
      <c r="A19" s="23">
        <v>37196</v>
      </c>
      <c r="B19" s="14"/>
      <c r="C19" s="15" t="s">
        <v>61</v>
      </c>
      <c r="D19" s="24">
        <v>3.23</v>
      </c>
      <c r="E19" s="14"/>
      <c r="F19" s="300">
        <f>-5000*30</f>
        <v>-150000</v>
      </c>
      <c r="G19" s="288"/>
      <c r="H19" s="301">
        <f>+'[4]ELpaso SJ &amp; Prm'!$F53</f>
        <v>4.1974999999999998</v>
      </c>
      <c r="I19" s="26">
        <f t="shared" si="0"/>
        <v>145124.99999999997</v>
      </c>
      <c r="J19" s="303"/>
      <c r="K19" s="302">
        <f t="shared" si="1"/>
        <v>145124.99999999997</v>
      </c>
      <c r="L19" s="357">
        <f>IF(K19=0,0,IF(A19&lt;(Summary!$K$3+365),ENA_9!K19,0))</f>
        <v>145124.99999999997</v>
      </c>
    </row>
    <row r="20" spans="1:12" x14ac:dyDescent="0.2">
      <c r="A20" s="23">
        <v>37226</v>
      </c>
      <c r="B20" s="14"/>
      <c r="C20" s="15" t="s">
        <v>61</v>
      </c>
      <c r="D20" s="24">
        <v>3.23</v>
      </c>
      <c r="E20" s="14"/>
      <c r="F20" s="300">
        <f>-5000*31</f>
        <v>-155000</v>
      </c>
      <c r="G20" s="288"/>
      <c r="H20" s="301">
        <f>+'[4]ELpaso SJ &amp; Prm'!$F54</f>
        <v>4.3605</v>
      </c>
      <c r="I20" s="26">
        <f t="shared" si="0"/>
        <v>175227.5</v>
      </c>
      <c r="J20" s="303"/>
      <c r="K20" s="302">
        <f t="shared" si="1"/>
        <v>175227.5</v>
      </c>
      <c r="L20" s="357">
        <f>IF(K20=0,0,IF(A20&lt;(Summary!$K$3+365),ENA_9!K20,0))</f>
        <v>175227.5</v>
      </c>
    </row>
    <row r="21" spans="1:12" x14ac:dyDescent="0.2">
      <c r="A21" s="23"/>
      <c r="B21" s="14"/>
      <c r="C21" s="15"/>
      <c r="D21" s="24"/>
      <c r="E21" s="14"/>
      <c r="F21" s="300"/>
      <c r="G21" s="288"/>
      <c r="H21" s="301"/>
      <c r="I21" s="26"/>
      <c r="J21" s="303"/>
      <c r="K21" s="302"/>
      <c r="L21" s="14"/>
    </row>
    <row r="22" spans="1:12" x14ac:dyDescent="0.2">
      <c r="A22" s="14"/>
      <c r="B22" s="14"/>
      <c r="C22" s="14"/>
      <c r="D22" s="14"/>
      <c r="E22" s="14"/>
      <c r="F22" s="287">
        <f>SUM(F9:F20)</f>
        <v>-1825000</v>
      </c>
      <c r="G22" s="288"/>
      <c r="H22" s="308">
        <f>AVERAGE(H9:H20)</f>
        <v>5.0051666666666668</v>
      </c>
      <c r="I22" s="289">
        <f>SUM(I9:I20)</f>
        <v>3228412.5</v>
      </c>
      <c r="J22" s="289">
        <f>SUM(J9:J20)</f>
        <v>2364050</v>
      </c>
      <c r="K22" s="289">
        <f>SUM(K9:K20)</f>
        <v>864362.50000000012</v>
      </c>
      <c r="L22" s="289">
        <f>SUM(L9:L20)</f>
        <v>864362.50000000012</v>
      </c>
    </row>
    <row r="23" spans="1:12" x14ac:dyDescent="0.2">
      <c r="A23" s="14"/>
      <c r="B23" s="14"/>
      <c r="C23" s="14"/>
      <c r="D23" s="14"/>
      <c r="E23" s="14"/>
      <c r="F23" s="304"/>
      <c r="G23" s="288"/>
      <c r="H23" s="288"/>
      <c r="I23" s="305"/>
      <c r="J23" s="306"/>
      <c r="K23" s="306"/>
      <c r="L23" s="14"/>
    </row>
    <row r="24" spans="1:12" x14ac:dyDescent="0.2">
      <c r="A24" s="14"/>
      <c r="B24" s="14"/>
      <c r="C24" s="14"/>
      <c r="D24" s="14"/>
      <c r="E24" s="14"/>
      <c r="F24" s="288"/>
      <c r="G24" s="307" t="s">
        <v>45</v>
      </c>
      <c r="H24" s="308"/>
      <c r="I24" s="288"/>
      <c r="J24" s="303"/>
      <c r="K24" s="303"/>
      <c r="L24" s="14"/>
    </row>
    <row r="25" spans="1:12" x14ac:dyDescent="0.2">
      <c r="A25" s="14"/>
      <c r="B25" s="14"/>
      <c r="C25" s="14"/>
      <c r="D25" s="24"/>
      <c r="E25" s="14"/>
      <c r="F25" s="288"/>
      <c r="G25" s="309"/>
      <c r="H25" s="308"/>
      <c r="I25" s="288"/>
      <c r="J25" s="303"/>
      <c r="K25" s="303"/>
      <c r="L25" s="14"/>
    </row>
    <row r="26" spans="1:12" x14ac:dyDescent="0.2">
      <c r="A26" s="23">
        <v>36892</v>
      </c>
      <c r="B26" s="14"/>
      <c r="C26" s="15" t="s">
        <v>36</v>
      </c>
      <c r="D26" s="24">
        <v>3.23</v>
      </c>
      <c r="E26" s="14"/>
      <c r="F26" s="300">
        <f>5000*31</f>
        <v>155000</v>
      </c>
      <c r="G26" s="301"/>
      <c r="H26" s="301">
        <v>9.81</v>
      </c>
      <c r="I26" s="26">
        <f>(+D26-H26)*F26</f>
        <v>-1019900</v>
      </c>
      <c r="J26" s="302">
        <f>+I26</f>
        <v>-1019900</v>
      </c>
      <c r="K26" s="302"/>
      <c r="L26" s="357">
        <f>IF(K26=0,0,IF(A26&lt;(Summary!$K$3+365),ENA_9!K26,0))</f>
        <v>0</v>
      </c>
    </row>
    <row r="27" spans="1:12" x14ac:dyDescent="0.2">
      <c r="A27" s="23">
        <v>36923</v>
      </c>
      <c r="B27" s="14"/>
      <c r="C27" s="15" t="s">
        <v>36</v>
      </c>
      <c r="D27" s="24">
        <v>3.23</v>
      </c>
      <c r="E27" s="14"/>
      <c r="F27" s="300">
        <f>5000*28</f>
        <v>140000</v>
      </c>
      <c r="G27" s="310"/>
      <c r="H27" s="301">
        <v>6.65</v>
      </c>
      <c r="I27" s="26">
        <f t="shared" ref="I27:I37" si="2">(+D27-H27)*F27</f>
        <v>-478800.00000000006</v>
      </c>
      <c r="J27" s="302">
        <f>+I27</f>
        <v>-478800.00000000006</v>
      </c>
      <c r="K27" s="302"/>
      <c r="L27" s="357">
        <f>IF(K27=0,0,IF(A27&lt;(Summary!$K$3+365),ENA_9!K27,0))</f>
        <v>0</v>
      </c>
    </row>
    <row r="28" spans="1:12" x14ac:dyDescent="0.2">
      <c r="A28" s="23">
        <v>36951</v>
      </c>
      <c r="B28" s="14"/>
      <c r="C28" s="15" t="s">
        <v>36</v>
      </c>
      <c r="D28" s="24">
        <v>3.23</v>
      </c>
      <c r="E28" s="14"/>
      <c r="F28" s="300">
        <f>5000*31</f>
        <v>155000</v>
      </c>
      <c r="G28" s="310"/>
      <c r="H28" s="301">
        <v>5.12</v>
      </c>
      <c r="I28" s="26">
        <f t="shared" si="2"/>
        <v>-292950</v>
      </c>
      <c r="J28" s="302">
        <f>+I28</f>
        <v>-292950</v>
      </c>
      <c r="K28" s="302"/>
      <c r="L28" s="357">
        <f>IF(K28=0,0,IF(A28&lt;(Summary!$K$3+365),ENA_9!K28,0))</f>
        <v>0</v>
      </c>
    </row>
    <row r="29" spans="1:12" x14ac:dyDescent="0.2">
      <c r="A29" s="23">
        <v>36982</v>
      </c>
      <c r="B29" s="14"/>
      <c r="C29" s="15" t="s">
        <v>36</v>
      </c>
      <c r="D29" s="24">
        <v>3.23</v>
      </c>
      <c r="E29" s="14"/>
      <c r="F29" s="300">
        <f>5000*30</f>
        <v>150000</v>
      </c>
      <c r="G29" s="310"/>
      <c r="H29" s="301">
        <v>5.31</v>
      </c>
      <c r="I29" s="26">
        <f t="shared" si="2"/>
        <v>-311999.99999999994</v>
      </c>
      <c r="J29" s="302">
        <f>+I29</f>
        <v>-311999.99999999994</v>
      </c>
      <c r="K29" s="302"/>
      <c r="L29" s="357">
        <f>IF(K29=0,0,IF(A29&lt;(Summary!$K$3+365),ENA_9!K29,0))</f>
        <v>0</v>
      </c>
    </row>
    <row r="30" spans="1:12" x14ac:dyDescent="0.2">
      <c r="A30" s="23">
        <v>37012</v>
      </c>
      <c r="B30" s="14"/>
      <c r="C30" s="15" t="s">
        <v>36</v>
      </c>
      <c r="D30" s="24">
        <v>3.23</v>
      </c>
      <c r="E30" s="14"/>
      <c r="F30" s="300">
        <f>5000*31</f>
        <v>155000</v>
      </c>
      <c r="G30" s="288"/>
      <c r="H30" s="301">
        <v>4.91</v>
      </c>
      <c r="I30" s="26">
        <f t="shared" si="2"/>
        <v>-260400.00000000003</v>
      </c>
      <c r="J30" s="302">
        <f>+I30</f>
        <v>-260400.00000000003</v>
      </c>
      <c r="K30" s="302"/>
      <c r="L30" s="357">
        <f>IF(K30=0,0,IF(A30&lt;(Summary!$K$3+365),ENA_9!K30,0))</f>
        <v>0</v>
      </c>
    </row>
    <row r="31" spans="1:12" x14ac:dyDescent="0.2">
      <c r="A31" s="23">
        <v>37043</v>
      </c>
      <c r="B31" s="14"/>
      <c r="C31" s="15" t="s">
        <v>36</v>
      </c>
      <c r="D31" s="24">
        <v>3.23</v>
      </c>
      <c r="E31" s="14"/>
      <c r="F31" s="300">
        <f>5000*30</f>
        <v>150000</v>
      </c>
      <c r="G31" s="288"/>
      <c r="H31" s="301">
        <v>3.82</v>
      </c>
      <c r="I31" s="26">
        <f t="shared" si="2"/>
        <v>-88499.999999999985</v>
      </c>
      <c r="J31" s="303"/>
      <c r="K31" s="302">
        <f t="shared" ref="K31:K37" si="3">+I31</f>
        <v>-88499.999999999985</v>
      </c>
      <c r="L31" s="357">
        <f>IF(K31=0,0,IF(A31&lt;(Summary!$K$3+365),ENA_9!K31,0))</f>
        <v>-88499.999999999985</v>
      </c>
    </row>
    <row r="32" spans="1:12" x14ac:dyDescent="0.2">
      <c r="A32" s="23">
        <v>37073</v>
      </c>
      <c r="B32" s="14"/>
      <c r="C32" s="15" t="s">
        <v>36</v>
      </c>
      <c r="D32" s="24">
        <v>3.23</v>
      </c>
      <c r="E32" s="14"/>
      <c r="F32" s="300">
        <f>5000*31</f>
        <v>155000</v>
      </c>
      <c r="G32" s="288"/>
      <c r="H32" s="301">
        <f>+'[4]ELpaso SJ &amp; Prm'!$G49</f>
        <v>3.8815</v>
      </c>
      <c r="I32" s="26">
        <f t="shared" si="2"/>
        <v>-100982.5</v>
      </c>
      <c r="J32" s="303"/>
      <c r="K32" s="302">
        <f t="shared" si="3"/>
        <v>-100982.5</v>
      </c>
      <c r="L32" s="357">
        <f>IF(K32=0,0,IF(A32&lt;(Summary!$K$3+365),ENA_9!K32,0))</f>
        <v>-100982.5</v>
      </c>
    </row>
    <row r="33" spans="1:12" x14ac:dyDescent="0.2">
      <c r="A33" s="23">
        <v>37104</v>
      </c>
      <c r="B33" s="14"/>
      <c r="C33" s="15" t="s">
        <v>36</v>
      </c>
      <c r="D33" s="24">
        <v>3.23</v>
      </c>
      <c r="E33" s="14"/>
      <c r="F33" s="300">
        <f>5000*31</f>
        <v>155000</v>
      </c>
      <c r="G33" s="288"/>
      <c r="H33" s="301">
        <f>+'[4]ELpaso SJ &amp; Prm'!$G50</f>
        <v>3.9925000000000002</v>
      </c>
      <c r="I33" s="26">
        <f t="shared" si="2"/>
        <v>-118187.50000000003</v>
      </c>
      <c r="J33" s="303"/>
      <c r="K33" s="302">
        <f t="shared" si="3"/>
        <v>-118187.50000000003</v>
      </c>
      <c r="L33" s="357">
        <f>IF(K33=0,0,IF(A33&lt;(Summary!$K$3+365),ENA_9!K33,0))</f>
        <v>-118187.50000000003</v>
      </c>
    </row>
    <row r="34" spans="1:12" x14ac:dyDescent="0.2">
      <c r="A34" s="23">
        <v>37135</v>
      </c>
      <c r="B34" s="14"/>
      <c r="C34" s="15" t="s">
        <v>36</v>
      </c>
      <c r="D34" s="24">
        <v>3.23</v>
      </c>
      <c r="E34" s="14"/>
      <c r="F34" s="300">
        <f>5000*30</f>
        <v>150000</v>
      </c>
      <c r="G34" s="288"/>
      <c r="H34" s="301">
        <f>+'[4]ELpaso SJ &amp; Prm'!$G51</f>
        <v>4.0195000000000007</v>
      </c>
      <c r="I34" s="26">
        <f t="shared" si="2"/>
        <v>-118425.00000000012</v>
      </c>
      <c r="J34" s="303"/>
      <c r="K34" s="302">
        <f t="shared" si="3"/>
        <v>-118425.00000000012</v>
      </c>
      <c r="L34" s="357">
        <f>IF(K34=0,0,IF(A34&lt;(Summary!$K$3+365),ENA_9!K34,0))</f>
        <v>-118425.00000000012</v>
      </c>
    </row>
    <row r="35" spans="1:12" x14ac:dyDescent="0.2">
      <c r="A35" s="23">
        <v>37165</v>
      </c>
      <c r="B35" s="14"/>
      <c r="C35" s="15" t="s">
        <v>36</v>
      </c>
      <c r="D35" s="24">
        <v>3.23</v>
      </c>
      <c r="E35" s="14"/>
      <c r="F35" s="300">
        <f>5000*31</f>
        <v>155000</v>
      </c>
      <c r="G35" s="288"/>
      <c r="H35" s="301">
        <f>+'[4]ELpaso SJ &amp; Prm'!$G52</f>
        <v>4.0205000000000002</v>
      </c>
      <c r="I35" s="26">
        <f t="shared" si="2"/>
        <v>-122527.50000000003</v>
      </c>
      <c r="J35" s="303"/>
      <c r="K35" s="302">
        <f t="shared" si="3"/>
        <v>-122527.50000000003</v>
      </c>
      <c r="L35" s="357">
        <f>IF(K35=0,0,IF(A35&lt;(Summary!$K$3+365),ENA_9!K35,0))</f>
        <v>-122527.50000000003</v>
      </c>
    </row>
    <row r="36" spans="1:12" x14ac:dyDescent="0.2">
      <c r="A36" s="23">
        <v>37196</v>
      </c>
      <c r="B36" s="14"/>
      <c r="C36" s="15" t="s">
        <v>36</v>
      </c>
      <c r="D36" s="24">
        <v>3.23</v>
      </c>
      <c r="E36" s="14"/>
      <c r="F36" s="300">
        <f>5000*30</f>
        <v>150000</v>
      </c>
      <c r="G36" s="288"/>
      <c r="H36" s="301">
        <f>+'[4]ELpaso SJ &amp; Prm'!$G53</f>
        <v>4.2124999999999995</v>
      </c>
      <c r="I36" s="26">
        <f t="shared" si="2"/>
        <v>-147374.99999999991</v>
      </c>
      <c r="J36" s="303"/>
      <c r="K36" s="302">
        <f t="shared" si="3"/>
        <v>-147374.99999999991</v>
      </c>
      <c r="L36" s="357">
        <f>IF(K36=0,0,IF(A36&lt;(Summary!$K$3+365),ENA_9!K36,0))</f>
        <v>-147374.99999999991</v>
      </c>
    </row>
    <row r="37" spans="1:12" x14ac:dyDescent="0.2">
      <c r="A37" s="23">
        <v>37226</v>
      </c>
      <c r="B37" s="14"/>
      <c r="C37" s="15" t="s">
        <v>36</v>
      </c>
      <c r="D37" s="24">
        <v>3.23</v>
      </c>
      <c r="E37" s="14"/>
      <c r="F37" s="300">
        <f>5000*31</f>
        <v>155000</v>
      </c>
      <c r="G37" s="288"/>
      <c r="H37" s="301">
        <f>+'[4]ELpaso SJ &amp; Prm'!$G54</f>
        <v>4.3754999999999997</v>
      </c>
      <c r="I37" s="26">
        <f t="shared" si="2"/>
        <v>-177552.49999999997</v>
      </c>
      <c r="J37" s="303"/>
      <c r="K37" s="302">
        <f t="shared" si="3"/>
        <v>-177552.49999999997</v>
      </c>
      <c r="L37" s="357">
        <f>IF(K37=0,0,IF(A37&lt;(Summary!$K$3+365),ENA_9!K37,0))</f>
        <v>-177552.49999999997</v>
      </c>
    </row>
    <row r="38" spans="1:12" x14ac:dyDescent="0.2">
      <c r="A38" s="23"/>
      <c r="B38" s="14"/>
      <c r="C38" s="15"/>
      <c r="D38" s="24"/>
      <c r="E38" s="14"/>
      <c r="F38" s="300"/>
      <c r="G38" s="288"/>
      <c r="H38" s="301"/>
      <c r="I38" s="26"/>
      <c r="J38" s="303"/>
      <c r="K38" s="302"/>
      <c r="L38" s="14"/>
    </row>
    <row r="39" spans="1:12" x14ac:dyDescent="0.2">
      <c r="A39" s="14"/>
      <c r="B39" s="14"/>
      <c r="C39" s="14"/>
      <c r="D39" s="14"/>
      <c r="E39" s="14"/>
      <c r="F39" s="287">
        <f>SUM(F26:F38)</f>
        <v>1825000</v>
      </c>
      <c r="G39" s="288"/>
      <c r="H39" s="288"/>
      <c r="I39" s="311">
        <f>SUM(I26:I38)</f>
        <v>-3237600</v>
      </c>
      <c r="J39" s="311">
        <f>SUM(J26:J38)</f>
        <v>-2364050</v>
      </c>
      <c r="K39" s="311">
        <f>SUM(K26:K38)</f>
        <v>-873550</v>
      </c>
      <c r="L39" s="311">
        <f>SUM(L26:L38)</f>
        <v>-873550</v>
      </c>
    </row>
    <row r="40" spans="1:12" x14ac:dyDescent="0.2">
      <c r="A40" s="14"/>
      <c r="B40" s="14"/>
      <c r="C40" s="14"/>
      <c r="D40" s="14"/>
      <c r="E40" s="14"/>
      <c r="F40" s="288"/>
      <c r="G40" s="288"/>
      <c r="H40" s="288"/>
      <c r="I40" s="288"/>
      <c r="J40" s="303"/>
      <c r="K40" s="303"/>
      <c r="L40" s="303"/>
    </row>
    <row r="41" spans="1:12" ht="13.5" thickBot="1" x14ac:dyDescent="0.25">
      <c r="A41" s="14"/>
      <c r="B41" s="14"/>
      <c r="C41" s="14"/>
      <c r="D41" s="14"/>
      <c r="E41" s="14"/>
      <c r="F41" s="312">
        <f>+F39+F22</f>
        <v>0</v>
      </c>
      <c r="G41" s="288"/>
      <c r="H41" s="288"/>
      <c r="I41" s="313">
        <f>+I39+I22</f>
        <v>-9187.5</v>
      </c>
      <c r="J41" s="313">
        <f>+J39+J22</f>
        <v>0</v>
      </c>
      <c r="K41" s="313">
        <f>+K39+K22</f>
        <v>-9187.4999999998836</v>
      </c>
      <c r="L41" s="313">
        <f>+L39+L22</f>
        <v>-9187.4999999998836</v>
      </c>
    </row>
    <row r="42" spans="1:12" ht="13.5" thickTop="1" x14ac:dyDescent="0.2">
      <c r="A42" s="20"/>
      <c r="B42" s="20"/>
      <c r="C42" s="20"/>
      <c r="D42" s="20"/>
      <c r="E42" s="20"/>
      <c r="F42" s="314"/>
      <c r="G42" s="314"/>
      <c r="H42" s="314"/>
      <c r="I42" s="314"/>
      <c r="J42" s="315"/>
      <c r="K42" s="315"/>
      <c r="L42" s="315"/>
    </row>
    <row r="43" spans="1:12" x14ac:dyDescent="0.2">
      <c r="F43" s="316"/>
      <c r="G43" s="316"/>
      <c r="H43" s="316"/>
      <c r="I43" s="316"/>
      <c r="J43" s="316"/>
      <c r="K43" s="316"/>
    </row>
    <row r="44" spans="1:12" x14ac:dyDescent="0.2">
      <c r="A44" s="22" t="s">
        <v>37</v>
      </c>
    </row>
  </sheetData>
  <phoneticPr fontId="0" type="noConversion"/>
  <pageMargins left="0.75" right="0.75" top="1" bottom="1" header="0.5" footer="0.5"/>
  <pageSetup scale="81" orientation="landscape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"/>
  <sheetViews>
    <sheetView zoomScale="75" workbookViewId="0">
      <selection activeCell="H10" sqref="H10"/>
    </sheetView>
  </sheetViews>
  <sheetFormatPr defaultRowHeight="12.75" x14ac:dyDescent="0.2"/>
  <cols>
    <col min="1" max="1" width="7" bestFit="1" customWidth="1"/>
    <col min="2" max="2" width="10.7109375" customWidth="1"/>
    <col min="3" max="3" width="13.7109375" customWidth="1"/>
    <col min="4" max="4" width="10.7109375" customWidth="1"/>
    <col min="5" max="5" width="0" hidden="1" customWidth="1"/>
    <col min="6" max="6" width="12.7109375" customWidth="1"/>
    <col min="7" max="7" width="12" customWidth="1"/>
    <col min="8" max="8" width="14.5703125" bestFit="1" customWidth="1"/>
    <col min="9" max="9" width="14.28515625" bestFit="1" customWidth="1"/>
    <col min="10" max="10" width="9.85546875" bestFit="1" customWidth="1"/>
    <col min="11" max="11" width="16.28515625" customWidth="1"/>
    <col min="12" max="12" width="17.28515625" bestFit="1" customWidth="1"/>
  </cols>
  <sheetData>
    <row r="1" spans="1:12" s="4" customFormat="1" ht="15.75" x14ac:dyDescent="0.25">
      <c r="A1" s="3" t="s">
        <v>46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2" s="4" customFormat="1" ht="15.75" x14ac:dyDescent="0.25">
      <c r="A2" s="3" t="s">
        <v>206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s="4" customFormat="1" ht="15.75" x14ac:dyDescent="0.25">
      <c r="A3" s="3" t="s">
        <v>203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" t="s">
        <v>202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2" x14ac:dyDescent="0.2">
      <c r="A5" s="316"/>
      <c r="B5" s="316"/>
      <c r="C5" s="316"/>
      <c r="D5" s="316"/>
      <c r="E5" s="316"/>
      <c r="F5" s="316"/>
      <c r="G5" s="316"/>
      <c r="H5" s="316"/>
      <c r="I5" s="316"/>
      <c r="J5" s="316"/>
      <c r="K5" s="316"/>
    </row>
    <row r="6" spans="1:12" s="7" customFormat="1" x14ac:dyDescent="0.2">
      <c r="A6" s="319" t="s">
        <v>39</v>
      </c>
      <c r="B6" s="290" t="s">
        <v>3</v>
      </c>
      <c r="C6" s="290" t="s">
        <v>3</v>
      </c>
      <c r="D6" s="290" t="s">
        <v>203</v>
      </c>
      <c r="E6" s="290"/>
      <c r="F6" s="290" t="s">
        <v>7</v>
      </c>
      <c r="G6" s="290" t="s">
        <v>41</v>
      </c>
      <c r="H6" s="290" t="s">
        <v>32</v>
      </c>
      <c r="I6" s="291" t="s">
        <v>42</v>
      </c>
      <c r="J6" s="292"/>
      <c r="K6" s="293"/>
    </row>
    <row r="7" spans="1:12" s="7" customFormat="1" x14ac:dyDescent="0.2">
      <c r="A7" s="320" t="s">
        <v>43</v>
      </c>
      <c r="B7" s="294" t="s">
        <v>9</v>
      </c>
      <c r="C7" s="294" t="s">
        <v>8</v>
      </c>
      <c r="D7" s="294" t="s">
        <v>40</v>
      </c>
      <c r="E7" s="294"/>
      <c r="F7" s="294" t="s">
        <v>44</v>
      </c>
      <c r="G7" s="294" t="s">
        <v>12</v>
      </c>
      <c r="H7" s="294" t="s">
        <v>77</v>
      </c>
      <c r="I7" s="294" t="s">
        <v>19</v>
      </c>
      <c r="J7" s="294" t="s">
        <v>20</v>
      </c>
      <c r="K7" s="295" t="s">
        <v>21</v>
      </c>
    </row>
    <row r="8" spans="1:12" s="7" customFormat="1" x14ac:dyDescent="0.2">
      <c r="A8" s="320"/>
      <c r="B8" s="294"/>
      <c r="C8" s="294"/>
      <c r="D8" s="294" t="s">
        <v>105</v>
      </c>
      <c r="E8" s="294"/>
      <c r="F8" s="294"/>
      <c r="G8" s="294"/>
      <c r="H8" s="294" t="s">
        <v>12</v>
      </c>
      <c r="I8" s="294" t="s">
        <v>24</v>
      </c>
      <c r="J8" s="294" t="s">
        <v>24</v>
      </c>
      <c r="K8" s="295" t="s">
        <v>24</v>
      </c>
    </row>
    <row r="9" spans="1:12" x14ac:dyDescent="0.2">
      <c r="A9" s="321"/>
      <c r="B9" s="296"/>
      <c r="C9" s="296"/>
      <c r="D9" s="147">
        <v>-8.5000000000000006E-2</v>
      </c>
      <c r="E9" s="296"/>
      <c r="F9" s="296"/>
      <c r="G9" s="297"/>
      <c r="H9" s="147" t="s">
        <v>204</v>
      </c>
      <c r="I9" s="298"/>
      <c r="J9" s="298"/>
      <c r="K9" s="299"/>
      <c r="L9" s="379" t="s">
        <v>207</v>
      </c>
    </row>
    <row r="10" spans="1:12" x14ac:dyDescent="0.2">
      <c r="A10" s="23">
        <v>37043</v>
      </c>
      <c r="B10" s="14"/>
      <c r="C10" s="327" t="s">
        <v>203</v>
      </c>
      <c r="D10" s="138">
        <f>3.738+$D$9</f>
        <v>3.653</v>
      </c>
      <c r="E10" s="14"/>
      <c r="F10" s="137">
        <v>-150000</v>
      </c>
      <c r="G10" s="138"/>
      <c r="H10" s="138">
        <v>3.65</v>
      </c>
      <c r="I10" s="136">
        <f>SUM(D10-H10)*F10</f>
        <v>-450.00000000001705</v>
      </c>
      <c r="J10" s="30"/>
      <c r="K10" s="30">
        <f>+I10</f>
        <v>-450.00000000001705</v>
      </c>
      <c r="L10" s="357">
        <f>IF(K10=0,0,IF(A10&lt;(Summary!$K$3+365),K10,0))</f>
        <v>-450.00000000001705</v>
      </c>
    </row>
    <row r="11" spans="1:12" x14ac:dyDescent="0.2">
      <c r="A11" s="23">
        <v>37073</v>
      </c>
      <c r="B11" s="14"/>
      <c r="C11" s="327" t="s">
        <v>203</v>
      </c>
      <c r="D11" s="138">
        <f>[4]NYMEX!$C9+$D$9</f>
        <v>3.8290000000000002</v>
      </c>
      <c r="E11" s="14"/>
      <c r="F11" s="137">
        <v>-155000</v>
      </c>
      <c r="G11" s="138"/>
      <c r="H11" s="138">
        <f>'[4]PEPL Tx, Ok'!$E13</f>
        <v>3.794</v>
      </c>
      <c r="I11" s="136">
        <f>SUM(D11-H11)*F11</f>
        <v>-5425.0000000000218</v>
      </c>
      <c r="J11" s="30"/>
      <c r="K11" s="30">
        <f>+I11</f>
        <v>-5425.0000000000218</v>
      </c>
      <c r="L11" s="357">
        <f>IF(K11=0,0,IF(A11&lt;(Summary!$K$3+365),K11,0))</f>
        <v>-5425.0000000000218</v>
      </c>
    </row>
    <row r="12" spans="1:12" x14ac:dyDescent="0.2">
      <c r="A12" s="23">
        <v>37104</v>
      </c>
      <c r="B12" s="14"/>
      <c r="C12" s="327" t="s">
        <v>203</v>
      </c>
      <c r="D12" s="138">
        <f>[4]NYMEX!$C10+$D$9</f>
        <v>3.9050000000000002</v>
      </c>
      <c r="E12" s="14"/>
      <c r="F12" s="137">
        <v>-155000</v>
      </c>
      <c r="G12" s="138"/>
      <c r="H12" s="138">
        <f>'[4]PEPL Tx, Ok'!$E14</f>
        <v>3.87</v>
      </c>
      <c r="I12" s="136">
        <f>SUM(D12-H12)*F12</f>
        <v>-5425.0000000000218</v>
      </c>
      <c r="J12" s="30"/>
      <c r="K12" s="30">
        <f>+I12</f>
        <v>-5425.0000000000218</v>
      </c>
      <c r="L12" s="357">
        <f>IF(K12=0,0,IF(A12&lt;(Summary!$K$3+365),K12,0))</f>
        <v>-5425.0000000000218</v>
      </c>
    </row>
    <row r="13" spans="1:12" x14ac:dyDescent="0.2">
      <c r="A13" s="23">
        <v>37135</v>
      </c>
      <c r="B13" s="14"/>
      <c r="C13" s="327" t="s">
        <v>203</v>
      </c>
      <c r="D13" s="138">
        <f>[4]NYMEX!$C11+$D$9</f>
        <v>3.9370000000000003</v>
      </c>
      <c r="E13" s="14"/>
      <c r="F13" s="137">
        <v>-150000</v>
      </c>
      <c r="G13" s="138"/>
      <c r="H13" s="138">
        <f>'[4]PEPL Tx, Ok'!$E15</f>
        <v>3.9020000000000001</v>
      </c>
      <c r="I13" s="136">
        <f>SUM(D13-H13)*F13</f>
        <v>-5250.0000000000209</v>
      </c>
      <c r="J13" s="30"/>
      <c r="K13" s="30">
        <f>+I13</f>
        <v>-5250.0000000000209</v>
      </c>
      <c r="L13" s="357">
        <f>IF(K13=0,0,IF(A13&lt;(Summary!$K$3+365),K13,0))</f>
        <v>-5250.0000000000209</v>
      </c>
    </row>
    <row r="14" spans="1:12" x14ac:dyDescent="0.2">
      <c r="A14" s="23">
        <v>37165</v>
      </c>
      <c r="B14" s="14"/>
      <c r="C14" s="327" t="s">
        <v>203</v>
      </c>
      <c r="D14" s="138">
        <f>[4]NYMEX!$C12+$D$9</f>
        <v>3.9630000000000001</v>
      </c>
      <c r="E14" s="14"/>
      <c r="F14" s="137">
        <v>-155000</v>
      </c>
      <c r="G14" s="138"/>
      <c r="H14" s="138">
        <f>'[4]PEPL Tx, Ok'!$E16</f>
        <v>3.9279999999999999</v>
      </c>
      <c r="I14" s="136">
        <f>SUM(D14-H14)*F14</f>
        <v>-5425.0000000000218</v>
      </c>
      <c r="J14" s="30"/>
      <c r="K14" s="30">
        <f>+I14</f>
        <v>-5425.0000000000218</v>
      </c>
      <c r="L14" s="357">
        <f>IF(K14=0,0,IF(A14&lt;(Summary!$K$3+365),K14,0))</f>
        <v>-5425.0000000000218</v>
      </c>
    </row>
    <row r="15" spans="1:12" x14ac:dyDescent="0.2">
      <c r="A15" s="23"/>
      <c r="B15" s="14"/>
      <c r="C15" s="15"/>
      <c r="D15" s="436"/>
      <c r="E15" s="14"/>
      <c r="F15" s="137"/>
      <c r="G15" s="14"/>
      <c r="H15" s="436"/>
      <c r="I15" s="136"/>
      <c r="J15" s="28"/>
      <c r="K15" s="30"/>
      <c r="L15" s="14"/>
    </row>
    <row r="16" spans="1:12" x14ac:dyDescent="0.2">
      <c r="A16" s="14"/>
      <c r="B16" s="14"/>
      <c r="C16" s="14"/>
      <c r="D16" s="138">
        <f>AVERAGE(D10:D14)</f>
        <v>3.8574000000000006</v>
      </c>
      <c r="E16" s="14"/>
      <c r="F16" s="287">
        <f>SUM(F10:F14)</f>
        <v>-765000</v>
      </c>
      <c r="G16" s="14"/>
      <c r="H16" s="138">
        <f>AVERAGE(H10:H14)</f>
        <v>3.8288000000000002</v>
      </c>
      <c r="I16" s="289">
        <f>SUM(I10:I14)</f>
        <v>-21975.000000000106</v>
      </c>
      <c r="J16" s="289">
        <f>SUM(J10:J14)</f>
        <v>0</v>
      </c>
      <c r="K16" s="289">
        <f>SUM(K10:K14)</f>
        <v>-21975.000000000106</v>
      </c>
      <c r="L16" s="289">
        <f>SUM(L10:L14)</f>
        <v>-21975.000000000106</v>
      </c>
    </row>
    <row r="17" spans="1:11" x14ac:dyDescent="0.2">
      <c r="A17" s="14"/>
      <c r="B17" s="14"/>
      <c r="C17" s="14"/>
      <c r="D17" s="138"/>
      <c r="E17" s="14"/>
      <c r="F17" s="27"/>
      <c r="G17" s="14"/>
      <c r="H17" s="138"/>
      <c r="I17" s="35"/>
      <c r="J17" s="31"/>
      <c r="K17" s="31"/>
    </row>
  </sheetData>
  <phoneticPr fontId="0" type="noConversion"/>
  <pageMargins left="0.75" right="0.75" top="1" bottom="1" header="0.5" footer="0.5"/>
  <pageSetup scale="88" orientation="landscape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"/>
  <sheetViews>
    <sheetView zoomScale="75" workbookViewId="0">
      <selection activeCell="H11" sqref="H11"/>
    </sheetView>
  </sheetViews>
  <sheetFormatPr defaultRowHeight="12.75" x14ac:dyDescent="0.2"/>
  <cols>
    <col min="1" max="1" width="7" bestFit="1" customWidth="1"/>
    <col min="2" max="2" width="10.7109375" customWidth="1"/>
    <col min="3" max="3" width="13.7109375" customWidth="1"/>
    <col min="4" max="4" width="13" bestFit="1" customWidth="1"/>
    <col min="5" max="5" width="0" hidden="1" customWidth="1"/>
    <col min="6" max="6" width="15" customWidth="1"/>
    <col min="7" max="7" width="11.140625" customWidth="1"/>
    <col min="8" max="8" width="12.85546875" customWidth="1"/>
    <col min="9" max="9" width="14.28515625" bestFit="1" customWidth="1"/>
    <col min="10" max="11" width="14.42578125" customWidth="1"/>
    <col min="12" max="12" width="17.28515625" bestFit="1" customWidth="1"/>
  </cols>
  <sheetData>
    <row r="1" spans="1:12" s="2" customFormat="1" ht="15" x14ac:dyDescent="0.2">
      <c r="A1" s="1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4" customFormat="1" ht="15.75" x14ac:dyDescent="0.25">
      <c r="A2" s="3" t="s">
        <v>206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s="4" customFormat="1" ht="15.75" x14ac:dyDescent="0.25">
      <c r="A3" s="3" t="s">
        <v>203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" t="s">
        <v>205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2" x14ac:dyDescent="0.2">
      <c r="A5" s="316"/>
      <c r="B5" s="316"/>
      <c r="C5" s="316"/>
      <c r="D5" s="316"/>
      <c r="E5" s="316"/>
      <c r="F5" s="316"/>
      <c r="G5" s="316"/>
      <c r="H5" s="316"/>
      <c r="I5" s="316"/>
      <c r="J5" s="316"/>
      <c r="K5" s="316"/>
    </row>
    <row r="6" spans="1:12" s="7" customFormat="1" x14ac:dyDescent="0.2">
      <c r="A6" s="319" t="s">
        <v>39</v>
      </c>
      <c r="B6" s="290" t="s">
        <v>3</v>
      </c>
      <c r="C6" s="290" t="s">
        <v>3</v>
      </c>
      <c r="D6" s="290" t="s">
        <v>32</v>
      </c>
      <c r="E6" s="290"/>
      <c r="F6" s="290" t="s">
        <v>7</v>
      </c>
      <c r="G6" s="290" t="s">
        <v>41</v>
      </c>
      <c r="H6" s="290" t="s">
        <v>203</v>
      </c>
      <c r="I6" s="291" t="s">
        <v>42</v>
      </c>
      <c r="J6" s="292"/>
      <c r="K6" s="293"/>
    </row>
    <row r="7" spans="1:12" s="7" customFormat="1" x14ac:dyDescent="0.2">
      <c r="A7" s="320" t="s">
        <v>43</v>
      </c>
      <c r="B7" s="294" t="s">
        <v>9</v>
      </c>
      <c r="C7" s="294" t="s">
        <v>8</v>
      </c>
      <c r="D7" s="294" t="s">
        <v>40</v>
      </c>
      <c r="E7" s="294"/>
      <c r="F7" s="294" t="s">
        <v>44</v>
      </c>
      <c r="G7" s="294" t="s">
        <v>12</v>
      </c>
      <c r="H7" s="294" t="s">
        <v>77</v>
      </c>
      <c r="I7" s="294" t="s">
        <v>19</v>
      </c>
      <c r="J7" s="294" t="s">
        <v>20</v>
      </c>
      <c r="K7" s="295" t="s">
        <v>21</v>
      </c>
    </row>
    <row r="8" spans="1:12" s="7" customFormat="1" x14ac:dyDescent="0.2">
      <c r="A8" s="320"/>
      <c r="B8" s="294"/>
      <c r="C8" s="294"/>
      <c r="D8" s="294" t="s">
        <v>105</v>
      </c>
      <c r="E8" s="294"/>
      <c r="F8" s="294"/>
      <c r="G8" s="294"/>
      <c r="H8" s="294" t="s">
        <v>12</v>
      </c>
      <c r="I8" s="294" t="s">
        <v>24</v>
      </c>
      <c r="J8" s="294" t="s">
        <v>24</v>
      </c>
      <c r="K8" s="295" t="s">
        <v>24</v>
      </c>
    </row>
    <row r="9" spans="1:12" x14ac:dyDescent="0.2">
      <c r="A9" s="321"/>
      <c r="B9" s="296"/>
      <c r="C9" s="296"/>
      <c r="D9" s="147">
        <v>-0.03</v>
      </c>
      <c r="E9" s="296"/>
      <c r="F9" s="296"/>
      <c r="G9" s="297"/>
      <c r="H9" s="147" t="s">
        <v>100</v>
      </c>
      <c r="I9" s="298"/>
      <c r="J9" s="298"/>
      <c r="K9" s="299"/>
      <c r="L9" s="379" t="s">
        <v>207</v>
      </c>
    </row>
    <row r="10" spans="1:12" x14ac:dyDescent="0.2">
      <c r="A10" s="326">
        <v>37043</v>
      </c>
      <c r="B10" s="288"/>
      <c r="C10" s="327" t="s">
        <v>203</v>
      </c>
      <c r="D10" s="301">
        <f>3.738+$D$9</f>
        <v>3.7080000000000002</v>
      </c>
      <c r="E10" s="288"/>
      <c r="F10" s="300">
        <v>150000</v>
      </c>
      <c r="G10" s="301"/>
      <c r="H10" s="301">
        <v>3.65</v>
      </c>
      <c r="I10" s="26">
        <f>SUM(D10-H10)*F10</f>
        <v>8700.0000000000418</v>
      </c>
      <c r="J10" s="302"/>
      <c r="K10" s="302">
        <f>+I10</f>
        <v>8700.0000000000418</v>
      </c>
      <c r="L10" s="357">
        <f>IF(K10=0,0,IF(A10&lt;(Summary!$K$3+365),K10,0))</f>
        <v>8700.0000000000418</v>
      </c>
    </row>
    <row r="11" spans="1:12" x14ac:dyDescent="0.2">
      <c r="A11" s="326">
        <v>37073</v>
      </c>
      <c r="B11" s="288"/>
      <c r="C11" s="327" t="s">
        <v>203</v>
      </c>
      <c r="D11" s="301">
        <f>[4]NYMEX!$C9+$D$9</f>
        <v>3.8840000000000003</v>
      </c>
      <c r="E11" s="288"/>
      <c r="F11" s="300">
        <v>155000</v>
      </c>
      <c r="G11" s="301"/>
      <c r="H11" s="301">
        <f>[4]Demarc!$E13</f>
        <v>3.8290000000000002</v>
      </c>
      <c r="I11" s="26">
        <f>SUM(D11-H11)*F11</f>
        <v>8525.0000000000255</v>
      </c>
      <c r="J11" s="302"/>
      <c r="K11" s="302">
        <f>+I11</f>
        <v>8525.0000000000255</v>
      </c>
      <c r="L11" s="357">
        <f>IF(K11=0,0,IF(A11&lt;(Summary!$K$3+365),K11,0))</f>
        <v>8525.0000000000255</v>
      </c>
    </row>
    <row r="12" spans="1:12" x14ac:dyDescent="0.2">
      <c r="A12" s="326">
        <v>37104</v>
      </c>
      <c r="B12" s="288"/>
      <c r="C12" s="327" t="s">
        <v>203</v>
      </c>
      <c r="D12" s="301">
        <f>[4]NYMEX!$C10+$D$9</f>
        <v>3.9600000000000004</v>
      </c>
      <c r="E12" s="288"/>
      <c r="F12" s="300">
        <v>155000</v>
      </c>
      <c r="G12" s="301"/>
      <c r="H12" s="301">
        <f>[4]Demarc!$E14</f>
        <v>3.9050000000000002</v>
      </c>
      <c r="I12" s="26">
        <f>SUM(D12-H12)*F12</f>
        <v>8525.0000000000255</v>
      </c>
      <c r="J12" s="302"/>
      <c r="K12" s="302">
        <f>+I12</f>
        <v>8525.0000000000255</v>
      </c>
      <c r="L12" s="357">
        <f>IF(K12=0,0,IF(A12&lt;(Summary!$K$3+365),K12,0))</f>
        <v>8525.0000000000255</v>
      </c>
    </row>
    <row r="13" spans="1:12" x14ac:dyDescent="0.2">
      <c r="A13" s="326">
        <v>37135</v>
      </c>
      <c r="B13" s="288"/>
      <c r="C13" s="327" t="s">
        <v>203</v>
      </c>
      <c r="D13" s="301">
        <f>[4]NYMEX!$C11+$D$9</f>
        <v>3.9920000000000004</v>
      </c>
      <c r="E13" s="288"/>
      <c r="F13" s="300">
        <v>150000</v>
      </c>
      <c r="G13" s="301"/>
      <c r="H13" s="301">
        <f>[4]Demarc!$E15</f>
        <v>3.9370000000000003</v>
      </c>
      <c r="I13" s="26">
        <f>SUM(D13-H13)*F13</f>
        <v>8250.0000000000236</v>
      </c>
      <c r="J13" s="302"/>
      <c r="K13" s="302">
        <f>+I13</f>
        <v>8250.0000000000236</v>
      </c>
      <c r="L13" s="357">
        <f>IF(K13=0,0,IF(A13&lt;(Summary!$K$3+365),K13,0))</f>
        <v>8250.0000000000236</v>
      </c>
    </row>
    <row r="14" spans="1:12" x14ac:dyDescent="0.2">
      <c r="A14" s="326">
        <v>37165</v>
      </c>
      <c r="B14" s="288"/>
      <c r="C14" s="327" t="s">
        <v>203</v>
      </c>
      <c r="D14" s="301">
        <f>[4]NYMEX!$C12+$D$9</f>
        <v>4.0179999999999998</v>
      </c>
      <c r="E14" s="288"/>
      <c r="F14" s="300">
        <v>155000</v>
      </c>
      <c r="G14" s="301"/>
      <c r="H14" s="301">
        <f>[4]Demarc!$E16</f>
        <v>3.9630000000000001</v>
      </c>
      <c r="I14" s="26">
        <f>SUM(D14-H14)*F14</f>
        <v>8524.9999999999563</v>
      </c>
      <c r="J14" s="302"/>
      <c r="K14" s="302">
        <f>+I14</f>
        <v>8524.9999999999563</v>
      </c>
      <c r="L14" s="357">
        <f>IF(K14=0,0,IF(A14&lt;(Summary!$K$3+365),K14,0))</f>
        <v>8524.9999999999563</v>
      </c>
    </row>
    <row r="15" spans="1:12" x14ac:dyDescent="0.2">
      <c r="A15" s="326"/>
      <c r="B15" s="288"/>
      <c r="C15" s="327"/>
      <c r="D15" s="20"/>
      <c r="E15" s="288"/>
      <c r="F15" s="300"/>
      <c r="G15" s="288"/>
      <c r="H15" s="433"/>
      <c r="I15" s="26"/>
      <c r="J15" s="303"/>
      <c r="K15" s="302"/>
      <c r="L15" s="20"/>
    </row>
    <row r="16" spans="1:12" x14ac:dyDescent="0.2">
      <c r="A16" s="288"/>
      <c r="B16" s="288"/>
      <c r="C16" s="288"/>
      <c r="D16" s="301">
        <f>AVERAGE(D10:D14)</f>
        <v>3.9124000000000003</v>
      </c>
      <c r="E16" s="288"/>
      <c r="F16" s="287">
        <f>SUM(F10:F14)</f>
        <v>765000</v>
      </c>
      <c r="G16" s="288"/>
      <c r="H16" s="301">
        <f>AVERAGE(H10:H14)</f>
        <v>3.8568000000000007</v>
      </c>
      <c r="I16" s="289">
        <f>SUM(I10:I14)</f>
        <v>42525.000000000073</v>
      </c>
      <c r="J16" s="289">
        <f>SUM(J10:J14)</f>
        <v>0</v>
      </c>
      <c r="K16" s="289">
        <f>SUM(K10:K14)</f>
        <v>42525.000000000073</v>
      </c>
      <c r="L16" s="289">
        <f>SUM(L10:L14)</f>
        <v>42525.000000000073</v>
      </c>
    </row>
    <row r="17" spans="1:11" x14ac:dyDescent="0.2">
      <c r="A17" s="14"/>
      <c r="B17" s="14"/>
      <c r="C17" s="14"/>
      <c r="D17" s="138"/>
      <c r="E17" s="14"/>
      <c r="F17" s="27"/>
      <c r="G17" s="14"/>
      <c r="H17" s="138"/>
      <c r="I17" s="35"/>
      <c r="J17" s="31"/>
      <c r="K17" s="31"/>
    </row>
  </sheetData>
  <phoneticPr fontId="0" type="noConversion"/>
  <pageMargins left="0.75" right="0.75" top="1" bottom="1" header="0.5" footer="0.5"/>
  <pageSetup scale="85" orientation="landscape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topLeftCell="A3" zoomScale="75" workbookViewId="0">
      <selection activeCell="L9" sqref="L9"/>
    </sheetView>
  </sheetViews>
  <sheetFormatPr defaultRowHeight="12.75" x14ac:dyDescent="0.2"/>
  <cols>
    <col min="1" max="2" width="10.7109375" customWidth="1"/>
    <col min="3" max="3" width="13.7109375" customWidth="1"/>
    <col min="4" max="4" width="14.28515625" bestFit="1" customWidth="1"/>
    <col min="5" max="5" width="0" hidden="1" customWidth="1"/>
    <col min="6" max="6" width="11.42578125" customWidth="1"/>
    <col min="7" max="7" width="22.5703125" bestFit="1" customWidth="1"/>
    <col min="8" max="8" width="11.5703125" customWidth="1"/>
    <col min="9" max="10" width="14.42578125" customWidth="1"/>
    <col min="11" max="11" width="14.5703125" bestFit="1" customWidth="1"/>
    <col min="12" max="12" width="17.28515625" bestFit="1" customWidth="1"/>
  </cols>
  <sheetData>
    <row r="1" spans="1:12" s="2" customFormat="1" ht="15.75" x14ac:dyDescent="0.25">
      <c r="A1" s="1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1:12" s="2" customFormat="1" ht="15.75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4"/>
    </row>
    <row r="3" spans="1:12" s="4" customFormat="1" ht="15.75" x14ac:dyDescent="0.25">
      <c r="A3" s="1" t="s">
        <v>226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2" s="7" customFormat="1" x14ac:dyDescent="0.2">
      <c r="A6" s="319" t="s">
        <v>39</v>
      </c>
      <c r="B6" s="290" t="s">
        <v>3</v>
      </c>
      <c r="C6" s="290" t="s">
        <v>3</v>
      </c>
      <c r="D6" s="290" t="s">
        <v>218</v>
      </c>
      <c r="E6" s="290"/>
      <c r="F6" s="290" t="s">
        <v>7</v>
      </c>
      <c r="G6" s="290" t="s">
        <v>41</v>
      </c>
      <c r="H6" s="290" t="s">
        <v>32</v>
      </c>
      <c r="I6" s="291" t="s">
        <v>42</v>
      </c>
      <c r="J6" s="292"/>
      <c r="K6" s="293"/>
      <c r="L6" s="387"/>
    </row>
    <row r="7" spans="1:12" s="7" customFormat="1" x14ac:dyDescent="0.2">
      <c r="A7" s="320" t="s">
        <v>43</v>
      </c>
      <c r="B7" s="294" t="s">
        <v>9</v>
      </c>
      <c r="C7" s="294" t="s">
        <v>8</v>
      </c>
      <c r="D7" s="294" t="s">
        <v>40</v>
      </c>
      <c r="E7" s="294"/>
      <c r="F7" s="294" t="s">
        <v>44</v>
      </c>
      <c r="G7" s="294" t="s">
        <v>12</v>
      </c>
      <c r="H7" s="294" t="s">
        <v>77</v>
      </c>
      <c r="I7" s="294" t="s">
        <v>19</v>
      </c>
      <c r="J7" s="294" t="s">
        <v>20</v>
      </c>
      <c r="K7" s="295" t="s">
        <v>21</v>
      </c>
      <c r="L7" s="32"/>
    </row>
    <row r="8" spans="1:12" s="7" customFormat="1" x14ac:dyDescent="0.2">
      <c r="A8" s="320"/>
      <c r="B8" s="294"/>
      <c r="C8" s="294"/>
      <c r="D8" s="294" t="s">
        <v>219</v>
      </c>
      <c r="E8" s="294"/>
      <c r="F8" s="294"/>
      <c r="G8" s="294" t="s">
        <v>220</v>
      </c>
      <c r="H8" s="294" t="s">
        <v>12</v>
      </c>
      <c r="I8" s="294" t="s">
        <v>24</v>
      </c>
      <c r="J8" s="294" t="s">
        <v>24</v>
      </c>
      <c r="K8" s="295" t="s">
        <v>24</v>
      </c>
      <c r="L8" s="32"/>
    </row>
    <row r="9" spans="1:12" x14ac:dyDescent="0.2">
      <c r="A9" s="321"/>
      <c r="B9" s="296"/>
      <c r="C9" s="296"/>
      <c r="D9" s="294">
        <v>-2.2499999999999999E-2</v>
      </c>
      <c r="E9" s="296"/>
      <c r="F9" s="296"/>
      <c r="G9" s="297"/>
      <c r="H9" s="147"/>
      <c r="I9" s="298"/>
      <c r="J9" s="298"/>
      <c r="K9" s="299"/>
      <c r="L9" s="440" t="s">
        <v>207</v>
      </c>
    </row>
    <row r="10" spans="1:12" x14ac:dyDescent="0.2">
      <c r="A10" s="437">
        <v>37043</v>
      </c>
      <c r="B10" s="14"/>
      <c r="C10" s="15" t="s">
        <v>218</v>
      </c>
      <c r="D10" s="138">
        <f t="shared" ref="D10:D39" si="0">3.65+$D$9</f>
        <v>3.6274999999999999</v>
      </c>
      <c r="E10" s="138">
        <f>3.65-$D$9</f>
        <v>3.6724999999999999</v>
      </c>
      <c r="F10" s="300">
        <v>-10000</v>
      </c>
      <c r="G10" s="301"/>
      <c r="H10" s="301">
        <v>3.605</v>
      </c>
      <c r="I10" s="26">
        <f t="shared" ref="I10:I39" si="1">SUM(D10-H10)*F10</f>
        <v>-224.99999999999966</v>
      </c>
      <c r="J10" s="302"/>
      <c r="K10" s="302">
        <f t="shared" ref="K10:K39" si="2">+I10</f>
        <v>-224.99999999999966</v>
      </c>
      <c r="L10" s="357">
        <f>IF(K10=0,0,IF(A10&lt;([7]Summary!$C$3+365),K10,0))</f>
        <v>-224.99999999999966</v>
      </c>
    </row>
    <row r="11" spans="1:12" x14ac:dyDescent="0.2">
      <c r="A11" s="437">
        <v>37044</v>
      </c>
      <c r="B11" s="14"/>
      <c r="C11" s="15" t="s">
        <v>218</v>
      </c>
      <c r="D11" s="138">
        <f t="shared" si="0"/>
        <v>3.6274999999999999</v>
      </c>
      <c r="E11" s="14"/>
      <c r="F11" s="300">
        <v>-10000</v>
      </c>
      <c r="G11" s="301"/>
      <c r="H11" s="301">
        <v>3.5449999999999999</v>
      </c>
      <c r="I11" s="26">
        <f t="shared" si="1"/>
        <v>-825.00000000000023</v>
      </c>
      <c r="J11" s="302"/>
      <c r="K11" s="302">
        <f t="shared" si="2"/>
        <v>-825.00000000000023</v>
      </c>
      <c r="L11" s="357">
        <f>IF(K11=0,0,IF(A11&lt;([7]Summary!$C$3+365),K11,0))</f>
        <v>-825.00000000000023</v>
      </c>
    </row>
    <row r="12" spans="1:12" x14ac:dyDescent="0.2">
      <c r="A12" s="437">
        <v>37045</v>
      </c>
      <c r="B12" s="14"/>
      <c r="C12" s="15" t="s">
        <v>218</v>
      </c>
      <c r="D12" s="138">
        <f t="shared" si="0"/>
        <v>3.6274999999999999</v>
      </c>
      <c r="E12" s="14"/>
      <c r="F12" s="300">
        <v>-10000</v>
      </c>
      <c r="G12" s="301"/>
      <c r="H12" s="301">
        <v>3.5449999999999999</v>
      </c>
      <c r="I12" s="26">
        <f t="shared" si="1"/>
        <v>-825.00000000000023</v>
      </c>
      <c r="J12" s="302"/>
      <c r="K12" s="302">
        <f t="shared" si="2"/>
        <v>-825.00000000000023</v>
      </c>
      <c r="L12" s="357">
        <f>IF(K12=0,0,IF(A12&lt;([7]Summary!$C$3+365),K12,0))</f>
        <v>-825.00000000000023</v>
      </c>
    </row>
    <row r="13" spans="1:12" x14ac:dyDescent="0.2">
      <c r="A13" s="437">
        <v>37046</v>
      </c>
      <c r="B13" s="14"/>
      <c r="C13" s="15" t="s">
        <v>218</v>
      </c>
      <c r="D13" s="138">
        <f t="shared" si="0"/>
        <v>3.6274999999999999</v>
      </c>
      <c r="E13" s="14"/>
      <c r="F13" s="300">
        <v>-10000</v>
      </c>
      <c r="G13" s="301"/>
      <c r="H13" s="301">
        <v>3.5449999999999999</v>
      </c>
      <c r="I13" s="26">
        <f t="shared" si="1"/>
        <v>-825.00000000000023</v>
      </c>
      <c r="J13" s="302"/>
      <c r="K13" s="302">
        <f t="shared" si="2"/>
        <v>-825.00000000000023</v>
      </c>
      <c r="L13" s="357">
        <f>IF(K13=0,0,IF(A13&lt;([7]Summary!$C$3+365),K13,0))</f>
        <v>-825.00000000000023</v>
      </c>
    </row>
    <row r="14" spans="1:12" x14ac:dyDescent="0.2">
      <c r="A14" s="437">
        <v>37047</v>
      </c>
      <c r="B14" s="14"/>
      <c r="C14" s="15" t="s">
        <v>218</v>
      </c>
      <c r="D14" s="138">
        <f t="shared" si="0"/>
        <v>3.6274999999999999</v>
      </c>
      <c r="E14" s="14"/>
      <c r="F14" s="300">
        <v>-10000</v>
      </c>
      <c r="G14" s="301"/>
      <c r="H14" s="301">
        <v>3.7850000000000001</v>
      </c>
      <c r="I14" s="26">
        <f t="shared" si="1"/>
        <v>1575.000000000002</v>
      </c>
      <c r="J14" s="302"/>
      <c r="K14" s="302">
        <f t="shared" si="2"/>
        <v>1575.000000000002</v>
      </c>
      <c r="L14" s="357">
        <f>IF(K14=0,0,IF(A14&lt;([7]Summary!$C$3+365),K14,0))</f>
        <v>1575.000000000002</v>
      </c>
    </row>
    <row r="15" spans="1:12" x14ac:dyDescent="0.2">
      <c r="A15" s="437">
        <v>37048</v>
      </c>
      <c r="B15" s="14"/>
      <c r="C15" s="15" t="s">
        <v>218</v>
      </c>
      <c r="D15" s="138">
        <f t="shared" si="0"/>
        <v>3.6274999999999999</v>
      </c>
      <c r="E15" s="14"/>
      <c r="F15" s="300">
        <v>-10000</v>
      </c>
      <c r="G15" s="301"/>
      <c r="H15" s="301">
        <v>3.89</v>
      </c>
      <c r="I15" s="26">
        <f t="shared" si="1"/>
        <v>2625.0000000000018</v>
      </c>
      <c r="J15" s="302"/>
      <c r="K15" s="302">
        <f t="shared" si="2"/>
        <v>2625.0000000000018</v>
      </c>
      <c r="L15" s="357">
        <f>IF(K15=0,0,IF(A15&lt;([7]Summary!$C$3+365),K15,0))</f>
        <v>2625.0000000000018</v>
      </c>
    </row>
    <row r="16" spans="1:12" x14ac:dyDescent="0.2">
      <c r="A16" s="437">
        <v>37049</v>
      </c>
      <c r="B16" s="14"/>
      <c r="C16" s="15" t="s">
        <v>218</v>
      </c>
      <c r="D16" s="138">
        <f t="shared" si="0"/>
        <v>3.6274999999999999</v>
      </c>
      <c r="E16" s="14"/>
      <c r="F16" s="300">
        <v>-10000</v>
      </c>
      <c r="G16" s="301"/>
      <c r="H16" s="301">
        <v>3.6349999999999998</v>
      </c>
      <c r="I16" s="26">
        <f t="shared" si="1"/>
        <v>74.999999999998408</v>
      </c>
      <c r="J16" s="302"/>
      <c r="K16" s="302">
        <f t="shared" si="2"/>
        <v>74.999999999998408</v>
      </c>
      <c r="L16" s="357">
        <f>IF(K16=0,0,IF(A16&lt;([7]Summary!$C$3+365),K16,0))</f>
        <v>74.999999999998408</v>
      </c>
    </row>
    <row r="17" spans="1:12" x14ac:dyDescent="0.2">
      <c r="A17" s="437">
        <v>37050</v>
      </c>
      <c r="B17" s="14"/>
      <c r="C17" s="15" t="s">
        <v>218</v>
      </c>
      <c r="D17" s="138">
        <f t="shared" si="0"/>
        <v>3.6274999999999999</v>
      </c>
      <c r="E17" s="14"/>
      <c r="F17" s="300">
        <v>-10000</v>
      </c>
      <c r="G17" s="301"/>
      <c r="H17" s="301">
        <v>3.6349999999999998</v>
      </c>
      <c r="I17" s="26">
        <f t="shared" si="1"/>
        <v>74.999999999998408</v>
      </c>
      <c r="J17" s="302"/>
      <c r="K17" s="302">
        <f t="shared" si="2"/>
        <v>74.999999999998408</v>
      </c>
      <c r="L17" s="357">
        <f>IF(K17=0,0,IF(A17&lt;([7]Summary!$C$3+365),K17,0))</f>
        <v>74.999999999998408</v>
      </c>
    </row>
    <row r="18" spans="1:12" x14ac:dyDescent="0.2">
      <c r="A18" s="437">
        <v>37051</v>
      </c>
      <c r="B18" s="14"/>
      <c r="C18" s="15" t="s">
        <v>218</v>
      </c>
      <c r="D18" s="138">
        <f t="shared" si="0"/>
        <v>3.6274999999999999</v>
      </c>
      <c r="E18" s="14"/>
      <c r="F18" s="300">
        <v>-10000</v>
      </c>
      <c r="G18" s="301"/>
      <c r="H18" s="301">
        <v>3.6349999999999998</v>
      </c>
      <c r="I18" s="26">
        <f t="shared" si="1"/>
        <v>74.999999999998408</v>
      </c>
      <c r="J18" s="302"/>
      <c r="K18" s="302">
        <f t="shared" si="2"/>
        <v>74.999999999998408</v>
      </c>
      <c r="L18" s="357">
        <f>IF(K18=0,0,IF(A18&lt;([7]Summary!$C$3+365),K18,0))</f>
        <v>74.999999999998408</v>
      </c>
    </row>
    <row r="19" spans="1:12" x14ac:dyDescent="0.2">
      <c r="A19" s="437">
        <v>37052</v>
      </c>
      <c r="B19" s="14"/>
      <c r="C19" s="15" t="s">
        <v>218</v>
      </c>
      <c r="D19" s="138">
        <f t="shared" si="0"/>
        <v>3.6274999999999999</v>
      </c>
      <c r="E19" s="14"/>
      <c r="F19" s="300">
        <v>-10000</v>
      </c>
      <c r="G19" s="301"/>
      <c r="H19" s="301">
        <v>3.6349999999999998</v>
      </c>
      <c r="I19" s="26">
        <f t="shared" si="1"/>
        <v>74.999999999998408</v>
      </c>
      <c r="J19" s="302"/>
      <c r="K19" s="302">
        <f t="shared" si="2"/>
        <v>74.999999999998408</v>
      </c>
      <c r="L19" s="357">
        <f>IF(K19=0,0,IF(A19&lt;([7]Summary!$C$3+365),K19,0))</f>
        <v>74.999999999998408</v>
      </c>
    </row>
    <row r="20" spans="1:12" x14ac:dyDescent="0.2">
      <c r="A20" s="437">
        <v>37053</v>
      </c>
      <c r="B20" s="14"/>
      <c r="C20" s="15" t="s">
        <v>218</v>
      </c>
      <c r="D20" s="138">
        <f t="shared" si="0"/>
        <v>3.6274999999999999</v>
      </c>
      <c r="E20" s="14"/>
      <c r="F20" s="300">
        <v>-10000</v>
      </c>
      <c r="G20" s="301"/>
      <c r="H20" s="301">
        <v>3.6349999999999998</v>
      </c>
      <c r="I20" s="26">
        <f t="shared" si="1"/>
        <v>74.999999999998408</v>
      </c>
      <c r="J20" s="302"/>
      <c r="K20" s="302">
        <f t="shared" si="2"/>
        <v>74.999999999998408</v>
      </c>
      <c r="L20" s="357">
        <f>IF(K20=0,0,IF(A20&lt;([7]Summary!$C$3+365),K20,0))</f>
        <v>74.999999999998408</v>
      </c>
    </row>
    <row r="21" spans="1:12" x14ac:dyDescent="0.2">
      <c r="A21" s="437">
        <v>37054</v>
      </c>
      <c r="B21" s="14"/>
      <c r="C21" s="15" t="s">
        <v>218</v>
      </c>
      <c r="D21" s="138">
        <f t="shared" si="0"/>
        <v>3.6274999999999999</v>
      </c>
      <c r="E21" s="14"/>
      <c r="F21" s="300">
        <v>-10000</v>
      </c>
      <c r="G21" s="301"/>
      <c r="H21" s="301">
        <v>3.6349999999999998</v>
      </c>
      <c r="I21" s="26">
        <f t="shared" si="1"/>
        <v>74.999999999998408</v>
      </c>
      <c r="J21" s="302"/>
      <c r="K21" s="302">
        <f t="shared" si="2"/>
        <v>74.999999999998408</v>
      </c>
      <c r="L21" s="357">
        <f>IF(K21=0,0,IF(A21&lt;([7]Summary!$C$3+365),K21,0))</f>
        <v>74.999999999998408</v>
      </c>
    </row>
    <row r="22" spans="1:12" x14ac:dyDescent="0.2">
      <c r="A22" s="437">
        <v>37055</v>
      </c>
      <c r="B22" s="14"/>
      <c r="C22" s="15" t="s">
        <v>218</v>
      </c>
      <c r="D22" s="138">
        <f t="shared" si="0"/>
        <v>3.6274999999999999</v>
      </c>
      <c r="E22" s="14"/>
      <c r="F22" s="300">
        <v>-10000</v>
      </c>
      <c r="G22" s="301"/>
      <c r="H22" s="301">
        <v>3.6349999999999998</v>
      </c>
      <c r="I22" s="26">
        <f t="shared" si="1"/>
        <v>74.999999999998408</v>
      </c>
      <c r="J22" s="302"/>
      <c r="K22" s="302">
        <f t="shared" si="2"/>
        <v>74.999999999998408</v>
      </c>
      <c r="L22" s="357">
        <f>IF(K22=0,0,IF(A22&lt;([7]Summary!$C$3+365),K22,0))</f>
        <v>74.999999999998408</v>
      </c>
    </row>
    <row r="23" spans="1:12" x14ac:dyDescent="0.2">
      <c r="A23" s="437">
        <v>37056</v>
      </c>
      <c r="B23" s="14"/>
      <c r="C23" s="15" t="s">
        <v>218</v>
      </c>
      <c r="D23" s="138">
        <f t="shared" si="0"/>
        <v>3.6274999999999999</v>
      </c>
      <c r="E23" s="14"/>
      <c r="F23" s="300">
        <v>-10000</v>
      </c>
      <c r="G23" s="301"/>
      <c r="H23" s="301">
        <v>3.6349999999999998</v>
      </c>
      <c r="I23" s="26">
        <f t="shared" si="1"/>
        <v>74.999999999998408</v>
      </c>
      <c r="J23" s="302"/>
      <c r="K23" s="302">
        <f t="shared" si="2"/>
        <v>74.999999999998408</v>
      </c>
      <c r="L23" s="357">
        <f>IF(K23=0,0,IF(A23&lt;([7]Summary!$C$3+365),K23,0))</f>
        <v>74.999999999998408</v>
      </c>
    </row>
    <row r="24" spans="1:12" x14ac:dyDescent="0.2">
      <c r="A24" s="437">
        <v>37057</v>
      </c>
      <c r="B24" s="14"/>
      <c r="C24" s="15" t="s">
        <v>218</v>
      </c>
      <c r="D24" s="138">
        <f t="shared" si="0"/>
        <v>3.6274999999999999</v>
      </c>
      <c r="E24" s="14"/>
      <c r="F24" s="300">
        <v>-10000</v>
      </c>
      <c r="G24" s="301"/>
      <c r="H24" s="301">
        <v>3.6349999999999998</v>
      </c>
      <c r="I24" s="26">
        <f t="shared" si="1"/>
        <v>74.999999999998408</v>
      </c>
      <c r="J24" s="302"/>
      <c r="K24" s="302">
        <f t="shared" si="2"/>
        <v>74.999999999998408</v>
      </c>
      <c r="L24" s="357">
        <f>IF(K24=0,0,IF(A24&lt;([7]Summary!$C$3+365),K24,0))</f>
        <v>74.999999999998408</v>
      </c>
    </row>
    <row r="25" spans="1:12" x14ac:dyDescent="0.2">
      <c r="A25" s="437">
        <v>37058</v>
      </c>
      <c r="B25" s="14"/>
      <c r="C25" s="15" t="s">
        <v>218</v>
      </c>
      <c r="D25" s="138">
        <f t="shared" si="0"/>
        <v>3.6274999999999999</v>
      </c>
      <c r="E25" s="14"/>
      <c r="F25" s="300">
        <v>-10000</v>
      </c>
      <c r="G25" s="301"/>
      <c r="H25" s="301">
        <v>3.6349999999999998</v>
      </c>
      <c r="I25" s="26">
        <f t="shared" si="1"/>
        <v>74.999999999998408</v>
      </c>
      <c r="J25" s="302"/>
      <c r="K25" s="302">
        <f t="shared" si="2"/>
        <v>74.999999999998408</v>
      </c>
      <c r="L25" s="357">
        <f>IF(K25=0,0,IF(A25&lt;([7]Summary!$C$3+365),K25,0))</f>
        <v>74.999999999998408</v>
      </c>
    </row>
    <row r="26" spans="1:12" x14ac:dyDescent="0.2">
      <c r="A26" s="437">
        <v>37059</v>
      </c>
      <c r="B26" s="14"/>
      <c r="C26" s="15" t="s">
        <v>218</v>
      </c>
      <c r="D26" s="138">
        <f t="shared" si="0"/>
        <v>3.6274999999999999</v>
      </c>
      <c r="E26" s="14"/>
      <c r="F26" s="300">
        <v>-10000</v>
      </c>
      <c r="G26" s="301"/>
      <c r="H26" s="301">
        <v>3.6349999999999998</v>
      </c>
      <c r="I26" s="26">
        <f t="shared" si="1"/>
        <v>74.999999999998408</v>
      </c>
      <c r="J26" s="302"/>
      <c r="K26" s="302">
        <f t="shared" si="2"/>
        <v>74.999999999998408</v>
      </c>
      <c r="L26" s="357">
        <f>IF(K26=0,0,IF(A26&lt;([7]Summary!$C$3+365),K26,0))</f>
        <v>74.999999999998408</v>
      </c>
    </row>
    <row r="27" spans="1:12" x14ac:dyDescent="0.2">
      <c r="A27" s="437">
        <v>37060</v>
      </c>
      <c r="B27" s="14"/>
      <c r="C27" s="15" t="s">
        <v>218</v>
      </c>
      <c r="D27" s="138">
        <f t="shared" si="0"/>
        <v>3.6274999999999999</v>
      </c>
      <c r="E27" s="14"/>
      <c r="F27" s="300">
        <v>-10000</v>
      </c>
      <c r="G27" s="301"/>
      <c r="H27" s="301">
        <v>3.6349999999999998</v>
      </c>
      <c r="I27" s="26">
        <f t="shared" si="1"/>
        <v>74.999999999998408</v>
      </c>
      <c r="J27" s="302"/>
      <c r="K27" s="302">
        <f t="shared" si="2"/>
        <v>74.999999999998408</v>
      </c>
      <c r="L27" s="357">
        <f>IF(K27=0,0,IF(A27&lt;([7]Summary!$C$3+365),K27,0))</f>
        <v>74.999999999998408</v>
      </c>
    </row>
    <row r="28" spans="1:12" x14ac:dyDescent="0.2">
      <c r="A28" s="437">
        <v>37061</v>
      </c>
      <c r="B28" s="14"/>
      <c r="C28" s="15" t="s">
        <v>218</v>
      </c>
      <c r="D28" s="138">
        <f t="shared" si="0"/>
        <v>3.6274999999999999</v>
      </c>
      <c r="E28" s="14"/>
      <c r="F28" s="300">
        <v>-10000</v>
      </c>
      <c r="G28" s="288"/>
      <c r="H28" s="301">
        <v>3.6349999999999998</v>
      </c>
      <c r="I28" s="26">
        <f t="shared" si="1"/>
        <v>74.999999999998408</v>
      </c>
      <c r="J28" s="302"/>
      <c r="K28" s="302">
        <f t="shared" si="2"/>
        <v>74.999999999998408</v>
      </c>
      <c r="L28" s="357">
        <f>IF(K28=0,0,IF(A28&lt;([7]Summary!$C$3+365),K28,0))</f>
        <v>74.999999999998408</v>
      </c>
    </row>
    <row r="29" spans="1:12" x14ac:dyDescent="0.2">
      <c r="A29" s="437">
        <v>37062</v>
      </c>
      <c r="B29" s="14"/>
      <c r="C29" s="15" t="s">
        <v>218</v>
      </c>
      <c r="D29" s="138">
        <f t="shared" si="0"/>
        <v>3.6274999999999999</v>
      </c>
      <c r="E29" s="14"/>
      <c r="F29" s="300">
        <v>-10000</v>
      </c>
      <c r="G29" s="288"/>
      <c r="H29" s="301">
        <v>3.6349999999999998</v>
      </c>
      <c r="I29" s="26">
        <f t="shared" si="1"/>
        <v>74.999999999998408</v>
      </c>
      <c r="J29" s="302"/>
      <c r="K29" s="302">
        <f t="shared" si="2"/>
        <v>74.999999999998408</v>
      </c>
      <c r="L29" s="357">
        <f>IF(K29=0,0,IF(A29&lt;([7]Summary!$C$3+365),K29,0))</f>
        <v>74.999999999998408</v>
      </c>
    </row>
    <row r="30" spans="1:12" x14ac:dyDescent="0.2">
      <c r="A30" s="437">
        <v>37063</v>
      </c>
      <c r="B30" s="14"/>
      <c r="C30" s="15" t="s">
        <v>218</v>
      </c>
      <c r="D30" s="138">
        <f t="shared" si="0"/>
        <v>3.6274999999999999</v>
      </c>
      <c r="E30" s="14"/>
      <c r="F30" s="300">
        <v>-10000</v>
      </c>
      <c r="G30" s="288"/>
      <c r="H30" s="301">
        <v>3.6349999999999998</v>
      </c>
      <c r="I30" s="26">
        <f t="shared" si="1"/>
        <v>74.999999999998408</v>
      </c>
      <c r="J30" s="302"/>
      <c r="K30" s="302">
        <f t="shared" si="2"/>
        <v>74.999999999998408</v>
      </c>
      <c r="L30" s="357">
        <f>IF(K30=0,0,IF(A30&lt;([7]Summary!$C$3+365),K30,0))</f>
        <v>74.999999999998408</v>
      </c>
    </row>
    <row r="31" spans="1:12" x14ac:dyDescent="0.2">
      <c r="A31" s="437">
        <v>37064</v>
      </c>
      <c r="B31" s="14"/>
      <c r="C31" s="15" t="s">
        <v>218</v>
      </c>
      <c r="D31" s="138">
        <f t="shared" si="0"/>
        <v>3.6274999999999999</v>
      </c>
      <c r="E31" s="14"/>
      <c r="F31" s="300">
        <v>-10000</v>
      </c>
      <c r="G31" s="288"/>
      <c r="H31" s="301">
        <v>3.6349999999999998</v>
      </c>
      <c r="I31" s="26">
        <f t="shared" si="1"/>
        <v>74.999999999998408</v>
      </c>
      <c r="J31" s="302"/>
      <c r="K31" s="302">
        <f t="shared" si="2"/>
        <v>74.999999999998408</v>
      </c>
      <c r="L31" s="357">
        <f>IF(K31=0,0,IF(A31&lt;([7]Summary!$C$3+365),K31,0))</f>
        <v>74.999999999998408</v>
      </c>
    </row>
    <row r="32" spans="1:12" x14ac:dyDescent="0.2">
      <c r="A32" s="437">
        <v>37065</v>
      </c>
      <c r="B32" s="14"/>
      <c r="C32" s="15" t="s">
        <v>218</v>
      </c>
      <c r="D32" s="138">
        <f t="shared" si="0"/>
        <v>3.6274999999999999</v>
      </c>
      <c r="E32" s="14"/>
      <c r="F32" s="300">
        <v>-10000</v>
      </c>
      <c r="G32" s="288"/>
      <c r="H32" s="301">
        <v>3.6349999999999998</v>
      </c>
      <c r="I32" s="26">
        <f t="shared" si="1"/>
        <v>74.999999999998408</v>
      </c>
      <c r="J32" s="302"/>
      <c r="K32" s="302">
        <f t="shared" si="2"/>
        <v>74.999999999998408</v>
      </c>
      <c r="L32" s="357">
        <f>IF(K32=0,0,IF(A32&lt;([7]Summary!$C$3+365),K32,0))</f>
        <v>74.999999999998408</v>
      </c>
    </row>
    <row r="33" spans="1:12" x14ac:dyDescent="0.2">
      <c r="A33" s="437">
        <v>37066</v>
      </c>
      <c r="B33" s="14"/>
      <c r="C33" s="15" t="s">
        <v>218</v>
      </c>
      <c r="D33" s="138">
        <f t="shared" si="0"/>
        <v>3.6274999999999999</v>
      </c>
      <c r="E33" s="14"/>
      <c r="F33" s="300">
        <v>-10000</v>
      </c>
      <c r="G33" s="288"/>
      <c r="H33" s="301">
        <v>3.6349999999999998</v>
      </c>
      <c r="I33" s="26">
        <f t="shared" si="1"/>
        <v>74.999999999998408</v>
      </c>
      <c r="J33" s="302"/>
      <c r="K33" s="302">
        <f t="shared" si="2"/>
        <v>74.999999999998408</v>
      </c>
      <c r="L33" s="357">
        <f>IF(K33=0,0,IF(A33&lt;([7]Summary!$C$3+365),K33,0))</f>
        <v>74.999999999998408</v>
      </c>
    </row>
    <row r="34" spans="1:12" x14ac:dyDescent="0.2">
      <c r="A34" s="437">
        <v>37067</v>
      </c>
      <c r="B34" s="14"/>
      <c r="C34" s="15" t="s">
        <v>218</v>
      </c>
      <c r="D34" s="138">
        <f t="shared" si="0"/>
        <v>3.6274999999999999</v>
      </c>
      <c r="E34" s="14"/>
      <c r="F34" s="300">
        <v>-10000</v>
      </c>
      <c r="G34" s="288"/>
      <c r="H34" s="301">
        <v>3.6349999999999998</v>
      </c>
      <c r="I34" s="26">
        <f t="shared" si="1"/>
        <v>74.999999999998408</v>
      </c>
      <c r="J34" s="302"/>
      <c r="K34" s="302">
        <f t="shared" si="2"/>
        <v>74.999999999998408</v>
      </c>
      <c r="L34" s="357">
        <f>IF(K34=0,0,IF(A34&lt;([7]Summary!$C$3+365),K34,0))</f>
        <v>74.999999999998408</v>
      </c>
    </row>
    <row r="35" spans="1:12" x14ac:dyDescent="0.2">
      <c r="A35" s="437">
        <v>37068</v>
      </c>
      <c r="B35" s="14"/>
      <c r="C35" s="15" t="s">
        <v>218</v>
      </c>
      <c r="D35" s="138">
        <f t="shared" si="0"/>
        <v>3.6274999999999999</v>
      </c>
      <c r="E35" s="14"/>
      <c r="F35" s="300">
        <v>-10000</v>
      </c>
      <c r="G35" s="288"/>
      <c r="H35" s="301">
        <v>3.6349999999999998</v>
      </c>
      <c r="I35" s="26">
        <f t="shared" si="1"/>
        <v>74.999999999998408</v>
      </c>
      <c r="J35" s="302"/>
      <c r="K35" s="302">
        <f t="shared" si="2"/>
        <v>74.999999999998408</v>
      </c>
      <c r="L35" s="357">
        <f>IF(K35=0,0,IF(A35&lt;([7]Summary!$C$3+365),K35,0))</f>
        <v>74.999999999998408</v>
      </c>
    </row>
    <row r="36" spans="1:12" x14ac:dyDescent="0.2">
      <c r="A36" s="437">
        <v>37069</v>
      </c>
      <c r="B36" s="14"/>
      <c r="C36" s="15" t="s">
        <v>218</v>
      </c>
      <c r="D36" s="138">
        <f t="shared" si="0"/>
        <v>3.6274999999999999</v>
      </c>
      <c r="E36" s="14"/>
      <c r="F36" s="300">
        <v>-10000</v>
      </c>
      <c r="G36" s="288"/>
      <c r="H36" s="301">
        <v>3.6349999999999998</v>
      </c>
      <c r="I36" s="26">
        <f t="shared" si="1"/>
        <v>74.999999999998408</v>
      </c>
      <c r="J36" s="302"/>
      <c r="K36" s="302">
        <f t="shared" si="2"/>
        <v>74.999999999998408</v>
      </c>
      <c r="L36" s="357">
        <f>IF(K36=0,0,IF(A36&lt;([7]Summary!$C$3+365),K36,0))</f>
        <v>74.999999999998408</v>
      </c>
    </row>
    <row r="37" spans="1:12" x14ac:dyDescent="0.2">
      <c r="A37" s="437">
        <v>37070</v>
      </c>
      <c r="B37" s="14"/>
      <c r="C37" s="15" t="s">
        <v>218</v>
      </c>
      <c r="D37" s="138">
        <f t="shared" si="0"/>
        <v>3.6274999999999999</v>
      </c>
      <c r="E37" s="14"/>
      <c r="F37" s="300">
        <v>-10000</v>
      </c>
      <c r="G37" s="288"/>
      <c r="H37" s="301">
        <v>3.6349999999999998</v>
      </c>
      <c r="I37" s="26">
        <f t="shared" si="1"/>
        <v>74.999999999998408</v>
      </c>
      <c r="J37" s="302"/>
      <c r="K37" s="302">
        <f t="shared" si="2"/>
        <v>74.999999999998408</v>
      </c>
      <c r="L37" s="357">
        <f>IF(K37=0,0,IF(A37&lt;([7]Summary!$C$3+365),K37,0))</f>
        <v>74.999999999998408</v>
      </c>
    </row>
    <row r="38" spans="1:12" x14ac:dyDescent="0.2">
      <c r="A38" s="437">
        <v>37071</v>
      </c>
      <c r="B38" s="14"/>
      <c r="C38" s="15" t="s">
        <v>218</v>
      </c>
      <c r="D38" s="138">
        <f t="shared" si="0"/>
        <v>3.6274999999999999</v>
      </c>
      <c r="E38" s="14"/>
      <c r="F38" s="300">
        <v>-10000</v>
      </c>
      <c r="G38" s="288"/>
      <c r="H38" s="301">
        <v>3.6349999999999998</v>
      </c>
      <c r="I38" s="26">
        <f t="shared" si="1"/>
        <v>74.999999999998408</v>
      </c>
      <c r="J38" s="302"/>
      <c r="K38" s="302">
        <f t="shared" si="2"/>
        <v>74.999999999998408</v>
      </c>
      <c r="L38" s="357">
        <f>IF(K38=0,0,IF(A38&lt;([7]Summary!$C$3+365),K38,0))</f>
        <v>74.999999999998408</v>
      </c>
    </row>
    <row r="39" spans="1:12" x14ac:dyDescent="0.2">
      <c r="A39" s="437">
        <v>37072</v>
      </c>
      <c r="B39" s="14"/>
      <c r="C39" s="15" t="s">
        <v>218</v>
      </c>
      <c r="D39" s="138">
        <f t="shared" si="0"/>
        <v>3.6274999999999999</v>
      </c>
      <c r="E39" s="14"/>
      <c r="F39" s="300">
        <v>-10000</v>
      </c>
      <c r="G39" s="288"/>
      <c r="H39" s="301">
        <v>3.6349999999999998</v>
      </c>
      <c r="I39" s="26">
        <f t="shared" si="1"/>
        <v>74.999999999998408</v>
      </c>
      <c r="J39" s="302"/>
      <c r="K39" s="302">
        <f t="shared" si="2"/>
        <v>74.999999999998408</v>
      </c>
      <c r="L39" s="357">
        <f>IF(K39=0,0,IF(A39&lt;([7]Summary!$C$3+365),K39,0))</f>
        <v>74.999999999998408</v>
      </c>
    </row>
    <row r="40" spans="1:12" x14ac:dyDescent="0.2">
      <c r="A40" s="23"/>
      <c r="B40" s="14"/>
      <c r="C40" s="15"/>
      <c r="D40" s="436"/>
      <c r="E40" s="14"/>
      <c r="F40" s="300"/>
      <c r="G40" s="288"/>
      <c r="H40" s="433"/>
      <c r="I40" s="26"/>
      <c r="J40" s="303"/>
      <c r="K40" s="302"/>
      <c r="L40" s="302"/>
    </row>
    <row r="41" spans="1:12" x14ac:dyDescent="0.2">
      <c r="A41" s="14"/>
      <c r="B41" s="14"/>
      <c r="C41" s="14"/>
      <c r="D41" s="25">
        <f>AVERAGE(D10:D39)</f>
        <v>3.6274999999999986</v>
      </c>
      <c r="E41" s="14"/>
      <c r="F41" s="287">
        <f>SUM(F10:F39)</f>
        <v>-300000</v>
      </c>
      <c r="G41" s="288"/>
      <c r="H41" s="308">
        <f>AVERAGE(H10:H39)</f>
        <v>3.6385000000000014</v>
      </c>
      <c r="I41" s="289">
        <f>SUM(I10:I39)</f>
        <v>3299.9999999999618</v>
      </c>
      <c r="J41" s="289">
        <f>SUM(J10:J39)</f>
        <v>0</v>
      </c>
      <c r="K41" s="289">
        <f>SUM(K10:K39)</f>
        <v>3299.9999999999618</v>
      </c>
      <c r="L41" s="289">
        <f>SUM(L10:L39)</f>
        <v>3299.9999999999618</v>
      </c>
    </row>
    <row r="42" spans="1:12" x14ac:dyDescent="0.2">
      <c r="A42" s="14"/>
      <c r="B42" s="14"/>
      <c r="C42" s="14"/>
      <c r="D42" s="138"/>
      <c r="E42" s="14"/>
      <c r="F42" s="27"/>
      <c r="G42" s="14"/>
      <c r="H42" s="14"/>
      <c r="I42" s="35"/>
      <c r="J42" s="31"/>
      <c r="K42" s="31"/>
      <c r="L42" s="31"/>
    </row>
    <row r="44" spans="1:12" x14ac:dyDescent="0.2">
      <c r="G44" s="114"/>
    </row>
  </sheetData>
  <phoneticPr fontId="0" type="noConversion"/>
  <pageMargins left="0.75" right="0.75" top="1" bottom="1" header="0.5" footer="0.5"/>
  <pageSetup scale="79" orientation="landscape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3"/>
  <sheetViews>
    <sheetView zoomScale="75" workbookViewId="0">
      <selection activeCell="L9" sqref="L9"/>
    </sheetView>
  </sheetViews>
  <sheetFormatPr defaultRowHeight="12.75" x14ac:dyDescent="0.2"/>
  <cols>
    <col min="1" max="2" width="10.7109375" customWidth="1"/>
    <col min="3" max="3" width="13.7109375" customWidth="1"/>
    <col min="4" max="4" width="13.7109375" bestFit="1" customWidth="1"/>
    <col min="5" max="5" width="0" hidden="1" customWidth="1"/>
    <col min="6" max="6" width="11.42578125" bestFit="1" customWidth="1"/>
    <col min="7" max="7" width="23" bestFit="1" customWidth="1"/>
    <col min="8" max="8" width="19.140625" bestFit="1" customWidth="1"/>
    <col min="9" max="10" width="15.7109375" bestFit="1" customWidth="1"/>
    <col min="11" max="11" width="15.7109375" customWidth="1"/>
    <col min="12" max="12" width="17.28515625" bestFit="1" customWidth="1"/>
  </cols>
  <sheetData>
    <row r="1" spans="1:12" s="2" customFormat="1" ht="15.75" x14ac:dyDescent="0.25">
      <c r="A1" s="1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1:12" s="2" customFormat="1" ht="15.75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4"/>
    </row>
    <row r="3" spans="1:12" s="4" customFormat="1" ht="15.75" x14ac:dyDescent="0.25">
      <c r="A3" s="1" t="s">
        <v>227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2" s="7" customFormat="1" x14ac:dyDescent="0.2">
      <c r="A6" s="319" t="s">
        <v>39</v>
      </c>
      <c r="B6" s="290" t="s">
        <v>3</v>
      </c>
      <c r="C6" s="290" t="s">
        <v>3</v>
      </c>
      <c r="D6" s="290" t="s">
        <v>32</v>
      </c>
      <c r="E6" s="290"/>
      <c r="F6" s="290" t="s">
        <v>7</v>
      </c>
      <c r="G6" s="290" t="s">
        <v>41</v>
      </c>
      <c r="H6" s="290" t="s">
        <v>218</v>
      </c>
      <c r="I6" s="291" t="s">
        <v>42</v>
      </c>
      <c r="J6" s="292"/>
      <c r="K6" s="293"/>
      <c r="L6" s="387"/>
    </row>
    <row r="7" spans="1:12" s="7" customFormat="1" x14ac:dyDescent="0.2">
      <c r="A7" s="320" t="s">
        <v>43</v>
      </c>
      <c r="B7" s="294" t="s">
        <v>9</v>
      </c>
      <c r="C7" s="294" t="s">
        <v>8</v>
      </c>
      <c r="D7" s="294" t="s">
        <v>40</v>
      </c>
      <c r="E7" s="294"/>
      <c r="F7" s="294" t="s">
        <v>44</v>
      </c>
      <c r="G7" s="294" t="s">
        <v>12</v>
      </c>
      <c r="H7" s="294" t="s">
        <v>77</v>
      </c>
      <c r="I7" s="294" t="s">
        <v>19</v>
      </c>
      <c r="J7" s="294" t="s">
        <v>20</v>
      </c>
      <c r="K7" s="295" t="s">
        <v>21</v>
      </c>
      <c r="L7" s="32"/>
    </row>
    <row r="8" spans="1:12" s="7" customFormat="1" x14ac:dyDescent="0.2">
      <c r="A8" s="320"/>
      <c r="B8" s="294"/>
      <c r="C8" s="294"/>
      <c r="D8" s="294" t="s">
        <v>221</v>
      </c>
      <c r="E8" s="294"/>
      <c r="F8" s="294"/>
      <c r="G8" s="294"/>
      <c r="H8" s="294" t="s">
        <v>12</v>
      </c>
      <c r="I8" s="294" t="s">
        <v>24</v>
      </c>
      <c r="J8" s="294" t="s">
        <v>24</v>
      </c>
      <c r="K8" s="295" t="s">
        <v>24</v>
      </c>
      <c r="L8" s="32"/>
    </row>
    <row r="9" spans="1:12" x14ac:dyDescent="0.2">
      <c r="A9" s="321"/>
      <c r="B9" s="296"/>
      <c r="C9" s="296"/>
      <c r="D9" s="294">
        <v>-1.7500000000000002E-2</v>
      </c>
      <c r="E9" s="296"/>
      <c r="F9" s="296"/>
      <c r="G9" s="294" t="s">
        <v>222</v>
      </c>
      <c r="H9" s="294" t="s">
        <v>222</v>
      </c>
      <c r="I9" s="298"/>
      <c r="J9" s="298"/>
      <c r="K9" s="299"/>
      <c r="L9" s="440" t="s">
        <v>207</v>
      </c>
    </row>
    <row r="10" spans="1:12" x14ac:dyDescent="0.2">
      <c r="A10" s="437">
        <v>37043</v>
      </c>
      <c r="B10" s="14"/>
      <c r="C10" s="15" t="s">
        <v>218</v>
      </c>
      <c r="D10" s="138">
        <f t="shared" ref="D10:D39" si="0">3.65+$D$9</f>
        <v>3.6324999999999998</v>
      </c>
      <c r="E10" s="14"/>
      <c r="F10" s="300">
        <v>10000</v>
      </c>
      <c r="G10" s="301"/>
      <c r="H10" s="301">
        <v>3.62</v>
      </c>
      <c r="I10" s="26">
        <f t="shared" ref="I10:I39" si="1">SUM(D10-H10)*F10</f>
        <v>124.99999999999733</v>
      </c>
      <c r="J10" s="302"/>
      <c r="K10" s="302">
        <f t="shared" ref="K10:K39" si="2">+I10</f>
        <v>124.99999999999733</v>
      </c>
      <c r="L10" s="357">
        <f>IF(K10=0,0,IF(A10&lt;([7]Summary!$C$3+365),K10,0))</f>
        <v>124.99999999999733</v>
      </c>
    </row>
    <row r="11" spans="1:12" x14ac:dyDescent="0.2">
      <c r="A11" s="437">
        <v>37044</v>
      </c>
      <c r="B11" s="14"/>
      <c r="C11" s="15" t="s">
        <v>218</v>
      </c>
      <c r="D11" s="138">
        <f t="shared" si="0"/>
        <v>3.6324999999999998</v>
      </c>
      <c r="E11" s="14"/>
      <c r="F11" s="300">
        <v>10000</v>
      </c>
      <c r="G11" s="301"/>
      <c r="H11" s="301">
        <v>3.5449999999999999</v>
      </c>
      <c r="I11" s="26">
        <f t="shared" si="1"/>
        <v>874.99999999999909</v>
      </c>
      <c r="J11" s="302"/>
      <c r="K11" s="302">
        <f t="shared" si="2"/>
        <v>874.99999999999909</v>
      </c>
      <c r="L11" s="357">
        <f>IF(K11=0,0,IF(A11&lt;([7]Summary!$C$3+365),K11,0))</f>
        <v>874.99999999999909</v>
      </c>
    </row>
    <row r="12" spans="1:12" x14ac:dyDescent="0.2">
      <c r="A12" s="437">
        <v>37045</v>
      </c>
      <c r="B12" s="14"/>
      <c r="C12" s="15" t="s">
        <v>218</v>
      </c>
      <c r="D12" s="138">
        <f t="shared" si="0"/>
        <v>3.6324999999999998</v>
      </c>
      <c r="E12" s="14"/>
      <c r="F12" s="300">
        <v>10000</v>
      </c>
      <c r="G12" s="301"/>
      <c r="H12" s="301">
        <v>3.5449999999999999</v>
      </c>
      <c r="I12" s="26">
        <f t="shared" si="1"/>
        <v>874.99999999999909</v>
      </c>
      <c r="J12" s="302"/>
      <c r="K12" s="302">
        <f t="shared" si="2"/>
        <v>874.99999999999909</v>
      </c>
      <c r="L12" s="357">
        <f>IF(K12=0,0,IF(A12&lt;([7]Summary!$C$3+365),K12,0))</f>
        <v>874.99999999999909</v>
      </c>
    </row>
    <row r="13" spans="1:12" x14ac:dyDescent="0.2">
      <c r="A13" s="437">
        <v>37046</v>
      </c>
      <c r="B13" s="14"/>
      <c r="C13" s="15" t="s">
        <v>218</v>
      </c>
      <c r="D13" s="138">
        <f t="shared" si="0"/>
        <v>3.6324999999999998</v>
      </c>
      <c r="E13" s="14"/>
      <c r="F13" s="300">
        <v>10000</v>
      </c>
      <c r="G13" s="301"/>
      <c r="H13" s="301">
        <v>3.5449999999999999</v>
      </c>
      <c r="I13" s="26">
        <f t="shared" si="1"/>
        <v>874.99999999999909</v>
      </c>
      <c r="J13" s="302"/>
      <c r="K13" s="302">
        <f t="shared" si="2"/>
        <v>874.99999999999909</v>
      </c>
      <c r="L13" s="357">
        <f>IF(K13=0,0,IF(A13&lt;([7]Summary!$C$3+365),K13,0))</f>
        <v>874.99999999999909</v>
      </c>
    </row>
    <row r="14" spans="1:12" x14ac:dyDescent="0.2">
      <c r="A14" s="437">
        <v>37047</v>
      </c>
      <c r="B14" s="14"/>
      <c r="C14" s="15" t="s">
        <v>218</v>
      </c>
      <c r="D14" s="138">
        <f t="shared" si="0"/>
        <v>3.6324999999999998</v>
      </c>
      <c r="E14" s="14"/>
      <c r="F14" s="300">
        <v>10000</v>
      </c>
      <c r="G14" s="301"/>
      <c r="H14" s="301">
        <v>3.77</v>
      </c>
      <c r="I14" s="26">
        <f t="shared" si="1"/>
        <v>-1375.0000000000018</v>
      </c>
      <c r="J14" s="302"/>
      <c r="K14" s="302">
        <f t="shared" si="2"/>
        <v>-1375.0000000000018</v>
      </c>
      <c r="L14" s="357">
        <f>IF(K14=0,0,IF(A14&lt;([7]Summary!$C$3+365),K14,0))</f>
        <v>-1375.0000000000018</v>
      </c>
    </row>
    <row r="15" spans="1:12" x14ac:dyDescent="0.2">
      <c r="A15" s="437">
        <v>37048</v>
      </c>
      <c r="B15" s="14"/>
      <c r="C15" s="15" t="s">
        <v>218</v>
      </c>
      <c r="D15" s="138">
        <f t="shared" si="0"/>
        <v>3.6324999999999998</v>
      </c>
      <c r="E15" s="14"/>
      <c r="F15" s="300">
        <v>10000</v>
      </c>
      <c r="G15" s="301"/>
      <c r="H15" s="301">
        <v>3.85</v>
      </c>
      <c r="I15" s="26">
        <f t="shared" si="1"/>
        <v>-2175.0000000000023</v>
      </c>
      <c r="J15" s="302"/>
      <c r="K15" s="302">
        <f t="shared" si="2"/>
        <v>-2175.0000000000023</v>
      </c>
      <c r="L15" s="357">
        <f>IF(K15=0,0,IF(A15&lt;([7]Summary!$C$3+365),K15,0))</f>
        <v>-2175.0000000000023</v>
      </c>
    </row>
    <row r="16" spans="1:12" x14ac:dyDescent="0.2">
      <c r="A16" s="437">
        <v>37049</v>
      </c>
      <c r="B16" s="14"/>
      <c r="C16" s="15" t="s">
        <v>218</v>
      </c>
      <c r="D16" s="138">
        <f t="shared" si="0"/>
        <v>3.6324999999999998</v>
      </c>
      <c r="E16" s="14"/>
      <c r="F16" s="300">
        <v>10000</v>
      </c>
      <c r="G16" s="301"/>
      <c r="H16" s="301">
        <v>3.6150000000000002</v>
      </c>
      <c r="I16" s="26">
        <f t="shared" si="1"/>
        <v>174.99999999999628</v>
      </c>
      <c r="J16" s="302"/>
      <c r="K16" s="302">
        <f t="shared" si="2"/>
        <v>174.99999999999628</v>
      </c>
      <c r="L16" s="357">
        <f>IF(K16=0,0,IF(A16&lt;([7]Summary!$C$3+365),K16,0))</f>
        <v>174.99999999999628</v>
      </c>
    </row>
    <row r="17" spans="1:12" x14ac:dyDescent="0.2">
      <c r="A17" s="437">
        <v>37050</v>
      </c>
      <c r="B17" s="14"/>
      <c r="C17" s="15" t="s">
        <v>218</v>
      </c>
      <c r="D17" s="138">
        <f t="shared" si="0"/>
        <v>3.6324999999999998</v>
      </c>
      <c r="E17" s="14"/>
      <c r="F17" s="300">
        <v>10000</v>
      </c>
      <c r="G17" s="301"/>
      <c r="H17" s="301">
        <v>3.6150000000000002</v>
      </c>
      <c r="I17" s="26">
        <f t="shared" si="1"/>
        <v>174.99999999999628</v>
      </c>
      <c r="J17" s="302"/>
      <c r="K17" s="302">
        <f t="shared" si="2"/>
        <v>174.99999999999628</v>
      </c>
      <c r="L17" s="357">
        <f>IF(K17=0,0,IF(A17&lt;([7]Summary!$C$3+365),K17,0))</f>
        <v>174.99999999999628</v>
      </c>
    </row>
    <row r="18" spans="1:12" x14ac:dyDescent="0.2">
      <c r="A18" s="437">
        <v>37051</v>
      </c>
      <c r="B18" s="14"/>
      <c r="C18" s="15" t="s">
        <v>218</v>
      </c>
      <c r="D18" s="138">
        <f t="shared" si="0"/>
        <v>3.6324999999999998</v>
      </c>
      <c r="E18" s="14"/>
      <c r="F18" s="300">
        <v>10000</v>
      </c>
      <c r="G18" s="301"/>
      <c r="H18" s="301">
        <v>3.6150000000000002</v>
      </c>
      <c r="I18" s="26">
        <f t="shared" si="1"/>
        <v>174.99999999999628</v>
      </c>
      <c r="J18" s="302"/>
      <c r="K18" s="302">
        <f t="shared" si="2"/>
        <v>174.99999999999628</v>
      </c>
      <c r="L18" s="357">
        <f>IF(K18=0,0,IF(A18&lt;([7]Summary!$C$3+365),K18,0))</f>
        <v>174.99999999999628</v>
      </c>
    </row>
    <row r="19" spans="1:12" x14ac:dyDescent="0.2">
      <c r="A19" s="437">
        <v>37052</v>
      </c>
      <c r="B19" s="14"/>
      <c r="C19" s="15" t="s">
        <v>218</v>
      </c>
      <c r="D19" s="138">
        <f t="shared" si="0"/>
        <v>3.6324999999999998</v>
      </c>
      <c r="E19" s="14"/>
      <c r="F19" s="300">
        <v>10000</v>
      </c>
      <c r="G19" s="301"/>
      <c r="H19" s="301">
        <v>3.6150000000000002</v>
      </c>
      <c r="I19" s="26">
        <f t="shared" si="1"/>
        <v>174.99999999999628</v>
      </c>
      <c r="J19" s="302"/>
      <c r="K19" s="302">
        <f t="shared" si="2"/>
        <v>174.99999999999628</v>
      </c>
      <c r="L19" s="357">
        <f>IF(K19=0,0,IF(A19&lt;([7]Summary!$C$3+365),K19,0))</f>
        <v>174.99999999999628</v>
      </c>
    </row>
    <row r="20" spans="1:12" x14ac:dyDescent="0.2">
      <c r="A20" s="437">
        <v>37053</v>
      </c>
      <c r="B20" s="14"/>
      <c r="C20" s="15" t="s">
        <v>218</v>
      </c>
      <c r="D20" s="138">
        <f t="shared" si="0"/>
        <v>3.6324999999999998</v>
      </c>
      <c r="E20" s="14"/>
      <c r="F20" s="300">
        <v>10000</v>
      </c>
      <c r="G20" s="301"/>
      <c r="H20" s="301">
        <v>3.6150000000000002</v>
      </c>
      <c r="I20" s="26">
        <f t="shared" si="1"/>
        <v>174.99999999999628</v>
      </c>
      <c r="J20" s="302"/>
      <c r="K20" s="302">
        <f t="shared" si="2"/>
        <v>174.99999999999628</v>
      </c>
      <c r="L20" s="357">
        <f>IF(K20=0,0,IF(A20&lt;([7]Summary!$C$3+365),K20,0))</f>
        <v>174.99999999999628</v>
      </c>
    </row>
    <row r="21" spans="1:12" x14ac:dyDescent="0.2">
      <c r="A21" s="437">
        <v>37054</v>
      </c>
      <c r="B21" s="14"/>
      <c r="C21" s="15" t="s">
        <v>218</v>
      </c>
      <c r="D21" s="138">
        <f t="shared" si="0"/>
        <v>3.6324999999999998</v>
      </c>
      <c r="E21" s="14"/>
      <c r="F21" s="300">
        <v>10000</v>
      </c>
      <c r="G21" s="301"/>
      <c r="H21" s="301">
        <v>3.6150000000000002</v>
      </c>
      <c r="I21" s="26">
        <f t="shared" si="1"/>
        <v>174.99999999999628</v>
      </c>
      <c r="J21" s="302"/>
      <c r="K21" s="302">
        <f t="shared" si="2"/>
        <v>174.99999999999628</v>
      </c>
      <c r="L21" s="357">
        <f>IF(K21=0,0,IF(A21&lt;([7]Summary!$C$3+365),K21,0))</f>
        <v>174.99999999999628</v>
      </c>
    </row>
    <row r="22" spans="1:12" x14ac:dyDescent="0.2">
      <c r="A22" s="437">
        <v>37055</v>
      </c>
      <c r="B22" s="14"/>
      <c r="C22" s="15" t="s">
        <v>218</v>
      </c>
      <c r="D22" s="138">
        <f t="shared" si="0"/>
        <v>3.6324999999999998</v>
      </c>
      <c r="E22" s="14"/>
      <c r="F22" s="300">
        <v>10000</v>
      </c>
      <c r="G22" s="301"/>
      <c r="H22" s="301">
        <v>3.6150000000000002</v>
      </c>
      <c r="I22" s="26">
        <f t="shared" si="1"/>
        <v>174.99999999999628</v>
      </c>
      <c r="J22" s="302"/>
      <c r="K22" s="302">
        <f t="shared" si="2"/>
        <v>174.99999999999628</v>
      </c>
      <c r="L22" s="357">
        <f>IF(K22=0,0,IF(A22&lt;([7]Summary!$C$3+365),K22,0))</f>
        <v>174.99999999999628</v>
      </c>
    </row>
    <row r="23" spans="1:12" x14ac:dyDescent="0.2">
      <c r="A23" s="437">
        <v>37056</v>
      </c>
      <c r="B23" s="14"/>
      <c r="C23" s="15" t="s">
        <v>218</v>
      </c>
      <c r="D23" s="138">
        <f t="shared" si="0"/>
        <v>3.6324999999999998</v>
      </c>
      <c r="E23" s="14"/>
      <c r="F23" s="300">
        <v>10000</v>
      </c>
      <c r="G23" s="301"/>
      <c r="H23" s="301">
        <v>3.6150000000000002</v>
      </c>
      <c r="I23" s="26">
        <f t="shared" si="1"/>
        <v>174.99999999999628</v>
      </c>
      <c r="J23" s="302"/>
      <c r="K23" s="302">
        <f t="shared" si="2"/>
        <v>174.99999999999628</v>
      </c>
      <c r="L23" s="357">
        <f>IF(K23=0,0,IF(A23&lt;([7]Summary!$C$3+365),K23,0))</f>
        <v>174.99999999999628</v>
      </c>
    </row>
    <row r="24" spans="1:12" x14ac:dyDescent="0.2">
      <c r="A24" s="437">
        <v>37057</v>
      </c>
      <c r="B24" s="14"/>
      <c r="C24" s="15" t="s">
        <v>218</v>
      </c>
      <c r="D24" s="138">
        <f t="shared" si="0"/>
        <v>3.6324999999999998</v>
      </c>
      <c r="E24" s="14"/>
      <c r="F24" s="300">
        <v>10000</v>
      </c>
      <c r="G24" s="301"/>
      <c r="H24" s="301">
        <v>3.6150000000000002</v>
      </c>
      <c r="I24" s="26">
        <f t="shared" si="1"/>
        <v>174.99999999999628</v>
      </c>
      <c r="J24" s="302"/>
      <c r="K24" s="302">
        <f t="shared" si="2"/>
        <v>174.99999999999628</v>
      </c>
      <c r="L24" s="357">
        <f>IF(K24=0,0,IF(A24&lt;([7]Summary!$C$3+365),K24,0))</f>
        <v>174.99999999999628</v>
      </c>
    </row>
    <row r="25" spans="1:12" x14ac:dyDescent="0.2">
      <c r="A25" s="437">
        <v>37058</v>
      </c>
      <c r="B25" s="14"/>
      <c r="C25" s="15" t="s">
        <v>218</v>
      </c>
      <c r="D25" s="138">
        <f t="shared" si="0"/>
        <v>3.6324999999999998</v>
      </c>
      <c r="E25" s="14"/>
      <c r="F25" s="300">
        <v>10000</v>
      </c>
      <c r="G25" s="301"/>
      <c r="H25" s="301">
        <v>3.6150000000000002</v>
      </c>
      <c r="I25" s="26">
        <f t="shared" si="1"/>
        <v>174.99999999999628</v>
      </c>
      <c r="J25" s="302"/>
      <c r="K25" s="302">
        <f t="shared" si="2"/>
        <v>174.99999999999628</v>
      </c>
      <c r="L25" s="357">
        <f>IF(K25=0,0,IF(A25&lt;([7]Summary!$C$3+365),K25,0))</f>
        <v>174.99999999999628</v>
      </c>
    </row>
    <row r="26" spans="1:12" x14ac:dyDescent="0.2">
      <c r="A26" s="437">
        <v>37059</v>
      </c>
      <c r="B26" s="14"/>
      <c r="C26" s="15" t="s">
        <v>218</v>
      </c>
      <c r="D26" s="138">
        <f t="shared" si="0"/>
        <v>3.6324999999999998</v>
      </c>
      <c r="E26" s="14"/>
      <c r="F26" s="300">
        <v>10000</v>
      </c>
      <c r="G26" s="301"/>
      <c r="H26" s="301">
        <v>3.6150000000000002</v>
      </c>
      <c r="I26" s="26">
        <f t="shared" si="1"/>
        <v>174.99999999999628</v>
      </c>
      <c r="J26" s="302"/>
      <c r="K26" s="302">
        <f t="shared" si="2"/>
        <v>174.99999999999628</v>
      </c>
      <c r="L26" s="357">
        <f>IF(K26=0,0,IF(A26&lt;([7]Summary!$C$3+365),K26,0))</f>
        <v>174.99999999999628</v>
      </c>
    </row>
    <row r="27" spans="1:12" x14ac:dyDescent="0.2">
      <c r="A27" s="437">
        <v>37060</v>
      </c>
      <c r="B27" s="14"/>
      <c r="C27" s="15" t="s">
        <v>218</v>
      </c>
      <c r="D27" s="138">
        <f t="shared" si="0"/>
        <v>3.6324999999999998</v>
      </c>
      <c r="E27" s="14"/>
      <c r="F27" s="300">
        <v>10000</v>
      </c>
      <c r="G27" s="301"/>
      <c r="H27" s="301">
        <v>3.6150000000000002</v>
      </c>
      <c r="I27" s="26">
        <f t="shared" si="1"/>
        <v>174.99999999999628</v>
      </c>
      <c r="J27" s="302"/>
      <c r="K27" s="302">
        <f t="shared" si="2"/>
        <v>174.99999999999628</v>
      </c>
      <c r="L27" s="357">
        <f>IF(K27=0,0,IF(A27&lt;([7]Summary!$C$3+365),K27,0))</f>
        <v>174.99999999999628</v>
      </c>
    </row>
    <row r="28" spans="1:12" x14ac:dyDescent="0.2">
      <c r="A28" s="437">
        <v>37061</v>
      </c>
      <c r="B28" s="14"/>
      <c r="C28" s="15" t="s">
        <v>218</v>
      </c>
      <c r="D28" s="138">
        <f t="shared" si="0"/>
        <v>3.6324999999999998</v>
      </c>
      <c r="E28" s="14"/>
      <c r="F28" s="300">
        <v>10000</v>
      </c>
      <c r="G28" s="288"/>
      <c r="H28" s="301">
        <v>3.6150000000000002</v>
      </c>
      <c r="I28" s="26">
        <f t="shared" si="1"/>
        <v>174.99999999999628</v>
      </c>
      <c r="J28" s="302"/>
      <c r="K28" s="302">
        <f t="shared" si="2"/>
        <v>174.99999999999628</v>
      </c>
      <c r="L28" s="357">
        <f>IF(K28=0,0,IF(A28&lt;([7]Summary!$C$3+365),K28,0))</f>
        <v>174.99999999999628</v>
      </c>
    </row>
    <row r="29" spans="1:12" x14ac:dyDescent="0.2">
      <c r="A29" s="437">
        <v>37062</v>
      </c>
      <c r="B29" s="14"/>
      <c r="C29" s="15" t="s">
        <v>218</v>
      </c>
      <c r="D29" s="138">
        <f t="shared" si="0"/>
        <v>3.6324999999999998</v>
      </c>
      <c r="E29" s="14"/>
      <c r="F29" s="300">
        <v>10000</v>
      </c>
      <c r="G29" s="288"/>
      <c r="H29" s="301">
        <v>3.6150000000000002</v>
      </c>
      <c r="I29" s="26">
        <f t="shared" si="1"/>
        <v>174.99999999999628</v>
      </c>
      <c r="J29" s="302"/>
      <c r="K29" s="302">
        <f t="shared" si="2"/>
        <v>174.99999999999628</v>
      </c>
      <c r="L29" s="357">
        <f>IF(K29=0,0,IF(A29&lt;([7]Summary!$C$3+365),K29,0))</f>
        <v>174.99999999999628</v>
      </c>
    </row>
    <row r="30" spans="1:12" x14ac:dyDescent="0.2">
      <c r="A30" s="437">
        <v>37063</v>
      </c>
      <c r="B30" s="14"/>
      <c r="C30" s="15" t="s">
        <v>218</v>
      </c>
      <c r="D30" s="138">
        <f t="shared" si="0"/>
        <v>3.6324999999999998</v>
      </c>
      <c r="E30" s="14"/>
      <c r="F30" s="300">
        <v>10000</v>
      </c>
      <c r="G30" s="288"/>
      <c r="H30" s="301">
        <v>3.6150000000000002</v>
      </c>
      <c r="I30" s="26">
        <f t="shared" si="1"/>
        <v>174.99999999999628</v>
      </c>
      <c r="J30" s="302"/>
      <c r="K30" s="302">
        <f t="shared" si="2"/>
        <v>174.99999999999628</v>
      </c>
      <c r="L30" s="357">
        <f>IF(K30=0,0,IF(A30&lt;([7]Summary!$C$3+365),K30,0))</f>
        <v>174.99999999999628</v>
      </c>
    </row>
    <row r="31" spans="1:12" x14ac:dyDescent="0.2">
      <c r="A31" s="437">
        <v>37064</v>
      </c>
      <c r="B31" s="14"/>
      <c r="C31" s="15" t="s">
        <v>218</v>
      </c>
      <c r="D31" s="138">
        <f t="shared" si="0"/>
        <v>3.6324999999999998</v>
      </c>
      <c r="E31" s="14"/>
      <c r="F31" s="300">
        <v>10000</v>
      </c>
      <c r="G31" s="288"/>
      <c r="H31" s="301">
        <v>3.6150000000000002</v>
      </c>
      <c r="I31" s="26">
        <f t="shared" si="1"/>
        <v>174.99999999999628</v>
      </c>
      <c r="J31" s="302"/>
      <c r="K31" s="302">
        <f t="shared" si="2"/>
        <v>174.99999999999628</v>
      </c>
      <c r="L31" s="357">
        <f>IF(K31=0,0,IF(A31&lt;([7]Summary!$C$3+365),K31,0))</f>
        <v>174.99999999999628</v>
      </c>
    </row>
    <row r="32" spans="1:12" x14ac:dyDescent="0.2">
      <c r="A32" s="437">
        <v>37065</v>
      </c>
      <c r="B32" s="14"/>
      <c r="C32" s="15" t="s">
        <v>218</v>
      </c>
      <c r="D32" s="138">
        <f t="shared" si="0"/>
        <v>3.6324999999999998</v>
      </c>
      <c r="E32" s="14"/>
      <c r="F32" s="300">
        <v>10000</v>
      </c>
      <c r="G32" s="288"/>
      <c r="H32" s="301">
        <v>3.6150000000000002</v>
      </c>
      <c r="I32" s="26">
        <f t="shared" si="1"/>
        <v>174.99999999999628</v>
      </c>
      <c r="J32" s="302"/>
      <c r="K32" s="302">
        <f t="shared" si="2"/>
        <v>174.99999999999628</v>
      </c>
      <c r="L32" s="357">
        <f>IF(K32=0,0,IF(A32&lt;([7]Summary!$C$3+365),K32,0))</f>
        <v>174.99999999999628</v>
      </c>
    </row>
    <row r="33" spans="1:12" x14ac:dyDescent="0.2">
      <c r="A33" s="437">
        <v>37066</v>
      </c>
      <c r="B33" s="14"/>
      <c r="C33" s="15" t="s">
        <v>218</v>
      </c>
      <c r="D33" s="138">
        <f t="shared" si="0"/>
        <v>3.6324999999999998</v>
      </c>
      <c r="E33" s="14"/>
      <c r="F33" s="300">
        <v>10000</v>
      </c>
      <c r="G33" s="288"/>
      <c r="H33" s="301">
        <v>3.6150000000000002</v>
      </c>
      <c r="I33" s="26">
        <f t="shared" si="1"/>
        <v>174.99999999999628</v>
      </c>
      <c r="J33" s="302"/>
      <c r="K33" s="302">
        <f t="shared" si="2"/>
        <v>174.99999999999628</v>
      </c>
      <c r="L33" s="357">
        <f>IF(K33=0,0,IF(A33&lt;([7]Summary!$C$3+365),K33,0))</f>
        <v>174.99999999999628</v>
      </c>
    </row>
    <row r="34" spans="1:12" x14ac:dyDescent="0.2">
      <c r="A34" s="437">
        <v>37067</v>
      </c>
      <c r="B34" s="14"/>
      <c r="C34" s="15" t="s">
        <v>218</v>
      </c>
      <c r="D34" s="138">
        <f t="shared" si="0"/>
        <v>3.6324999999999998</v>
      </c>
      <c r="E34" s="14"/>
      <c r="F34" s="300">
        <v>10000</v>
      </c>
      <c r="G34" s="288"/>
      <c r="H34" s="301">
        <v>3.6150000000000002</v>
      </c>
      <c r="I34" s="26">
        <f t="shared" si="1"/>
        <v>174.99999999999628</v>
      </c>
      <c r="J34" s="302"/>
      <c r="K34" s="302">
        <f t="shared" si="2"/>
        <v>174.99999999999628</v>
      </c>
      <c r="L34" s="357">
        <f>IF(K34=0,0,IF(A34&lt;([7]Summary!$C$3+365),K34,0))</f>
        <v>174.99999999999628</v>
      </c>
    </row>
    <row r="35" spans="1:12" x14ac:dyDescent="0.2">
      <c r="A35" s="437">
        <v>37068</v>
      </c>
      <c r="B35" s="14"/>
      <c r="C35" s="15" t="s">
        <v>218</v>
      </c>
      <c r="D35" s="138">
        <f t="shared" si="0"/>
        <v>3.6324999999999998</v>
      </c>
      <c r="E35" s="14"/>
      <c r="F35" s="300">
        <v>10000</v>
      </c>
      <c r="G35" s="288"/>
      <c r="H35" s="301">
        <v>3.6150000000000002</v>
      </c>
      <c r="I35" s="26">
        <f t="shared" si="1"/>
        <v>174.99999999999628</v>
      </c>
      <c r="J35" s="302"/>
      <c r="K35" s="302">
        <f t="shared" si="2"/>
        <v>174.99999999999628</v>
      </c>
      <c r="L35" s="357">
        <f>IF(K35=0,0,IF(A35&lt;([7]Summary!$C$3+365),K35,0))</f>
        <v>174.99999999999628</v>
      </c>
    </row>
    <row r="36" spans="1:12" x14ac:dyDescent="0.2">
      <c r="A36" s="437">
        <v>37069</v>
      </c>
      <c r="B36" s="14"/>
      <c r="C36" s="15" t="s">
        <v>218</v>
      </c>
      <c r="D36" s="138">
        <f t="shared" si="0"/>
        <v>3.6324999999999998</v>
      </c>
      <c r="E36" s="14"/>
      <c r="F36" s="300">
        <v>10000</v>
      </c>
      <c r="G36" s="288"/>
      <c r="H36" s="301">
        <v>3.6150000000000002</v>
      </c>
      <c r="I36" s="26">
        <f t="shared" si="1"/>
        <v>174.99999999999628</v>
      </c>
      <c r="J36" s="302"/>
      <c r="K36" s="302">
        <f t="shared" si="2"/>
        <v>174.99999999999628</v>
      </c>
      <c r="L36" s="357">
        <f>IF(K36=0,0,IF(A36&lt;([7]Summary!$C$3+365),K36,0))</f>
        <v>174.99999999999628</v>
      </c>
    </row>
    <row r="37" spans="1:12" x14ac:dyDescent="0.2">
      <c r="A37" s="437">
        <v>37070</v>
      </c>
      <c r="B37" s="14"/>
      <c r="C37" s="15" t="s">
        <v>218</v>
      </c>
      <c r="D37" s="138">
        <f t="shared" si="0"/>
        <v>3.6324999999999998</v>
      </c>
      <c r="E37" s="14"/>
      <c r="F37" s="300">
        <v>10000</v>
      </c>
      <c r="G37" s="288"/>
      <c r="H37" s="301">
        <v>3.6150000000000002</v>
      </c>
      <c r="I37" s="26">
        <f t="shared" si="1"/>
        <v>174.99999999999628</v>
      </c>
      <c r="J37" s="302"/>
      <c r="K37" s="302">
        <f t="shared" si="2"/>
        <v>174.99999999999628</v>
      </c>
      <c r="L37" s="357">
        <f>IF(K37=0,0,IF(A37&lt;([7]Summary!$C$3+365),K37,0))</f>
        <v>174.99999999999628</v>
      </c>
    </row>
    <row r="38" spans="1:12" x14ac:dyDescent="0.2">
      <c r="A38" s="437">
        <v>37071</v>
      </c>
      <c r="B38" s="14"/>
      <c r="C38" s="15" t="s">
        <v>218</v>
      </c>
      <c r="D38" s="138">
        <f t="shared" si="0"/>
        <v>3.6324999999999998</v>
      </c>
      <c r="E38" s="14"/>
      <c r="F38" s="300">
        <v>10000</v>
      </c>
      <c r="G38" s="288"/>
      <c r="H38" s="301">
        <v>3.6150000000000002</v>
      </c>
      <c r="I38" s="26">
        <f t="shared" si="1"/>
        <v>174.99999999999628</v>
      </c>
      <c r="J38" s="302"/>
      <c r="K38" s="302">
        <f t="shared" si="2"/>
        <v>174.99999999999628</v>
      </c>
      <c r="L38" s="357">
        <f>IF(K38=0,0,IF(A38&lt;([7]Summary!$C$3+365),K38,0))</f>
        <v>174.99999999999628</v>
      </c>
    </row>
    <row r="39" spans="1:12" x14ac:dyDescent="0.2">
      <c r="A39" s="437">
        <v>37072</v>
      </c>
      <c r="B39" s="14"/>
      <c r="C39" s="15" t="s">
        <v>218</v>
      </c>
      <c r="D39" s="138">
        <f t="shared" si="0"/>
        <v>3.6324999999999998</v>
      </c>
      <c r="E39" s="14"/>
      <c r="F39" s="300">
        <v>10000</v>
      </c>
      <c r="G39" s="288"/>
      <c r="H39" s="301">
        <v>3.6150000000000002</v>
      </c>
      <c r="I39" s="26">
        <f t="shared" si="1"/>
        <v>174.99999999999628</v>
      </c>
      <c r="J39" s="302"/>
      <c r="K39" s="302">
        <f t="shared" si="2"/>
        <v>174.99999999999628</v>
      </c>
      <c r="L39" s="357">
        <f>IF(K39=0,0,IF(A39&lt;([7]Summary!$C$3+365),K39,0))</f>
        <v>174.99999999999628</v>
      </c>
    </row>
    <row r="40" spans="1:12" x14ac:dyDescent="0.2">
      <c r="A40" s="23"/>
      <c r="B40" s="14"/>
      <c r="C40" s="15"/>
      <c r="D40" s="436"/>
      <c r="E40" s="14"/>
      <c r="F40" s="300"/>
      <c r="G40" s="288"/>
      <c r="H40" s="433"/>
      <c r="I40" s="26"/>
      <c r="J40" s="303"/>
      <c r="K40" s="302"/>
      <c r="L40" s="302"/>
    </row>
    <row r="41" spans="1:12" x14ac:dyDescent="0.2">
      <c r="A41" s="14"/>
      <c r="B41" s="14"/>
      <c r="C41" s="14"/>
      <c r="D41" s="25">
        <f>AVERAGE(D10:D39)</f>
        <v>3.6324999999999972</v>
      </c>
      <c r="E41" s="14"/>
      <c r="F41" s="287">
        <f>SUM(F10:F39)</f>
        <v>300000</v>
      </c>
      <c r="G41" s="288"/>
      <c r="H41" s="308">
        <f>AVERAGE(H10:H39)</f>
        <v>3.6211666666666655</v>
      </c>
      <c r="I41" s="289">
        <f>SUM(I10:I39)</f>
        <v>3399.9999999999018</v>
      </c>
      <c r="J41" s="289">
        <f>SUM(J10:J39)</f>
        <v>0</v>
      </c>
      <c r="K41" s="289">
        <f>SUM(K10:K39)</f>
        <v>3399.9999999999018</v>
      </c>
      <c r="L41" s="289">
        <f>SUM(L10:L39)</f>
        <v>3399.9999999999018</v>
      </c>
    </row>
    <row r="42" spans="1:12" x14ac:dyDescent="0.2">
      <c r="A42" s="14"/>
      <c r="B42" s="14"/>
      <c r="C42" s="14"/>
      <c r="D42" s="138"/>
      <c r="E42" s="14"/>
      <c r="F42" s="27"/>
      <c r="G42" s="14"/>
      <c r="H42" s="14"/>
      <c r="I42" s="35"/>
      <c r="J42" s="31"/>
      <c r="K42" s="31"/>
      <c r="L42" s="31"/>
    </row>
    <row r="43" spans="1:12" x14ac:dyDescent="0.2">
      <c r="G43" s="114"/>
    </row>
  </sheetData>
  <phoneticPr fontId="0" type="noConversion"/>
  <pageMargins left="0.75" right="0.75" top="1" bottom="1" header="0.5" footer="0.5"/>
  <pageSetup scale="74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zoomScale="75" workbookViewId="0">
      <selection activeCell="H32" sqref="H32"/>
    </sheetView>
  </sheetViews>
  <sheetFormatPr defaultRowHeight="12.75" x14ac:dyDescent="0.2"/>
  <cols>
    <col min="1" max="1" width="10.7109375" customWidth="1"/>
    <col min="2" max="2" width="10.28515625" customWidth="1"/>
    <col min="3" max="3" width="13.7109375" customWidth="1"/>
    <col min="4" max="4" width="10.7109375" customWidth="1"/>
    <col min="5" max="5" width="0" hidden="1" customWidth="1"/>
    <col min="6" max="6" width="15" customWidth="1"/>
    <col min="7" max="7" width="18.42578125" customWidth="1"/>
    <col min="8" max="8" width="11.5703125" customWidth="1"/>
    <col min="9" max="9" width="18.42578125" customWidth="1"/>
    <col min="10" max="10" width="18.42578125" bestFit="1" customWidth="1"/>
    <col min="11" max="11" width="18.42578125" customWidth="1"/>
    <col min="12" max="12" width="17.28515625" bestFit="1" customWidth="1"/>
  </cols>
  <sheetData>
    <row r="1" spans="1:12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63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2" s="7" customFormat="1" x14ac:dyDescent="0.2">
      <c r="A6" s="319" t="s">
        <v>39</v>
      </c>
      <c r="B6" s="290" t="s">
        <v>3</v>
      </c>
      <c r="C6" s="290" t="s">
        <v>3</v>
      </c>
      <c r="D6" s="290" t="s">
        <v>129</v>
      </c>
      <c r="E6" s="290"/>
      <c r="F6" s="290" t="s">
        <v>7</v>
      </c>
      <c r="G6" s="290" t="s">
        <v>41</v>
      </c>
      <c r="H6" s="290" t="s">
        <v>25</v>
      </c>
      <c r="I6" s="291" t="s">
        <v>42</v>
      </c>
      <c r="J6" s="292"/>
      <c r="K6" s="293"/>
      <c r="L6" s="387"/>
    </row>
    <row r="7" spans="1:12" s="7" customFormat="1" x14ac:dyDescent="0.2">
      <c r="A7" s="320" t="s">
        <v>43</v>
      </c>
      <c r="B7" s="294" t="s">
        <v>9</v>
      </c>
      <c r="C7" s="294" t="s">
        <v>8</v>
      </c>
      <c r="D7" s="294" t="s">
        <v>40</v>
      </c>
      <c r="E7" s="294"/>
      <c r="F7" s="294" t="s">
        <v>44</v>
      </c>
      <c r="G7" s="294" t="s">
        <v>12</v>
      </c>
      <c r="H7" s="294" t="s">
        <v>77</v>
      </c>
      <c r="I7" s="294" t="s">
        <v>19</v>
      </c>
      <c r="J7" s="294" t="s">
        <v>20</v>
      </c>
      <c r="K7" s="295" t="s">
        <v>21</v>
      </c>
      <c r="L7" s="32"/>
    </row>
    <row r="8" spans="1:12" x14ac:dyDescent="0.2">
      <c r="A8" s="321"/>
      <c r="B8" s="296"/>
      <c r="C8" s="296"/>
      <c r="D8" s="147" t="s">
        <v>12</v>
      </c>
      <c r="E8" s="296"/>
      <c r="F8" s="296"/>
      <c r="G8" s="297" t="s">
        <v>45</v>
      </c>
      <c r="H8" s="147" t="s">
        <v>12</v>
      </c>
      <c r="I8" s="298" t="s">
        <v>24</v>
      </c>
      <c r="J8" s="298" t="s">
        <v>24</v>
      </c>
      <c r="K8" s="299" t="s">
        <v>24</v>
      </c>
      <c r="L8" s="379" t="s">
        <v>207</v>
      </c>
    </row>
    <row r="9" spans="1:12" x14ac:dyDescent="0.2">
      <c r="A9" s="23">
        <v>36892</v>
      </c>
      <c r="B9" s="14"/>
      <c r="C9" s="15" t="s">
        <v>61</v>
      </c>
      <c r="D9" s="24">
        <v>3.74</v>
      </c>
      <c r="E9" s="14"/>
      <c r="F9" s="17">
        <f>-5000*31</f>
        <v>-155000</v>
      </c>
      <c r="G9" s="24"/>
      <c r="H9" s="24">
        <v>9.81</v>
      </c>
      <c r="I9" s="16">
        <f t="shared" ref="I9:I20" si="0">SUM(D9-H9)*F9</f>
        <v>940850</v>
      </c>
      <c r="J9" s="30">
        <f>+I9</f>
        <v>940850</v>
      </c>
      <c r="K9" s="30"/>
      <c r="L9" s="357">
        <f>IF(K9=0,0,IF(A9&lt;(Summary!$K$3+365),ENA_11!K9,0))</f>
        <v>0</v>
      </c>
    </row>
    <row r="10" spans="1:12" x14ac:dyDescent="0.2">
      <c r="A10" s="23">
        <v>36923</v>
      </c>
      <c r="B10" s="14"/>
      <c r="C10" s="15" t="s">
        <v>61</v>
      </c>
      <c r="D10" s="24">
        <v>3.74</v>
      </c>
      <c r="E10" s="14"/>
      <c r="F10" s="17">
        <f>-5000*28</f>
        <v>-140000</v>
      </c>
      <c r="G10" s="24"/>
      <c r="H10" s="24">
        <v>6.65</v>
      </c>
      <c r="I10" s="16">
        <f t="shared" si="0"/>
        <v>407400</v>
      </c>
      <c r="J10" s="30">
        <f>+I10</f>
        <v>407400</v>
      </c>
      <c r="K10" s="30"/>
      <c r="L10" s="357">
        <f>IF(K10=0,0,IF(A10&lt;(Summary!$K$3+365),ENA_11!K10,0))</f>
        <v>0</v>
      </c>
    </row>
    <row r="11" spans="1:12" x14ac:dyDescent="0.2">
      <c r="A11" s="23">
        <v>36951</v>
      </c>
      <c r="B11" s="14"/>
      <c r="C11" s="15" t="s">
        <v>61</v>
      </c>
      <c r="D11" s="24">
        <v>3.74</v>
      </c>
      <c r="E11" s="14"/>
      <c r="F11" s="17">
        <f>-5000*31</f>
        <v>-155000</v>
      </c>
      <c r="G11" s="24"/>
      <c r="H11" s="24">
        <v>5.12</v>
      </c>
      <c r="I11" s="16">
        <f t="shared" si="0"/>
        <v>213899.99999999997</v>
      </c>
      <c r="J11" s="30">
        <f>+I11</f>
        <v>213899.99999999997</v>
      </c>
      <c r="K11" s="30"/>
      <c r="L11" s="357">
        <f>IF(K11=0,0,IF(A11&lt;(Summary!$K$3+365),ENA_11!K11,0))</f>
        <v>0</v>
      </c>
    </row>
    <row r="12" spans="1:12" x14ac:dyDescent="0.2">
      <c r="A12" s="23">
        <v>36982</v>
      </c>
      <c r="B12" s="14"/>
      <c r="C12" s="15" t="s">
        <v>61</v>
      </c>
      <c r="D12" s="24">
        <v>3.74</v>
      </c>
      <c r="E12" s="14"/>
      <c r="F12" s="17">
        <f>-5000*30</f>
        <v>-150000</v>
      </c>
      <c r="G12" s="24"/>
      <c r="H12" s="24">
        <v>5.31</v>
      </c>
      <c r="I12" s="16">
        <f t="shared" si="0"/>
        <v>235499.99999999991</v>
      </c>
      <c r="J12" s="30">
        <f>+I12</f>
        <v>235499.99999999991</v>
      </c>
      <c r="K12" s="30"/>
      <c r="L12" s="357">
        <f>IF(K12=0,0,IF(A12&lt;(Summary!$K$3+365),ENA_11!K12,0))</f>
        <v>0</v>
      </c>
    </row>
    <row r="13" spans="1:12" x14ac:dyDescent="0.2">
      <c r="A13" s="23">
        <v>37012</v>
      </c>
      <c r="B13" s="14"/>
      <c r="C13" s="15" t="s">
        <v>61</v>
      </c>
      <c r="D13" s="24">
        <v>3.74</v>
      </c>
      <c r="E13" s="14"/>
      <c r="F13" s="17">
        <f>-5000*31</f>
        <v>-155000</v>
      </c>
      <c r="G13" s="14"/>
      <c r="H13" s="24">
        <v>4.91</v>
      </c>
      <c r="I13" s="16">
        <f t="shared" si="0"/>
        <v>181350</v>
      </c>
      <c r="J13" s="30">
        <f>+I13</f>
        <v>181350</v>
      </c>
      <c r="K13" s="30"/>
      <c r="L13" s="357">
        <f>IF(K13=0,0,IF(A13&lt;(Summary!$K$3+365),ENA_11!K13,0))</f>
        <v>0</v>
      </c>
    </row>
    <row r="14" spans="1:12" x14ac:dyDescent="0.2">
      <c r="A14" s="23">
        <v>37043</v>
      </c>
      <c r="B14" s="14"/>
      <c r="C14" s="15" t="s">
        <v>61</v>
      </c>
      <c r="D14" s="24">
        <v>3.74</v>
      </c>
      <c r="E14" s="14"/>
      <c r="F14" s="17">
        <f>-5000*30</f>
        <v>-150000</v>
      </c>
      <c r="G14" s="14"/>
      <c r="H14" s="24">
        <v>3.82</v>
      </c>
      <c r="I14" s="16">
        <f t="shared" si="0"/>
        <v>11999.999999999944</v>
      </c>
      <c r="J14" s="28"/>
      <c r="K14" s="30">
        <f t="shared" ref="K14:K20" si="1">+I14</f>
        <v>11999.999999999944</v>
      </c>
      <c r="L14" s="357">
        <f>IF(K14=0,0,IF(A14&lt;(Summary!$K$3+365),ENA_11!K14,0))</f>
        <v>11999.999999999944</v>
      </c>
    </row>
    <row r="15" spans="1:12" x14ac:dyDescent="0.2">
      <c r="A15" s="23">
        <v>37073</v>
      </c>
      <c r="B15" s="14"/>
      <c r="C15" s="15" t="s">
        <v>61</v>
      </c>
      <c r="D15" s="24">
        <v>3.74</v>
      </c>
      <c r="E15" s="14"/>
      <c r="F15" s="17">
        <f>-5000*31</f>
        <v>-155000</v>
      </c>
      <c r="G15" s="14"/>
      <c r="H15" s="24">
        <f>+'[4]ELpaso SJ &amp; Prm'!$F49</f>
        <v>3.8740000000000001</v>
      </c>
      <c r="I15" s="16">
        <f t="shared" si="0"/>
        <v>20769.999999999985</v>
      </c>
      <c r="J15" s="28"/>
      <c r="K15" s="30">
        <f t="shared" si="1"/>
        <v>20769.999999999985</v>
      </c>
      <c r="L15" s="357">
        <f>IF(K15=0,0,IF(A15&lt;(Summary!$K$3+365),ENA_11!K15,0))</f>
        <v>20769.999999999985</v>
      </c>
    </row>
    <row r="16" spans="1:12" x14ac:dyDescent="0.2">
      <c r="A16" s="23">
        <v>37104</v>
      </c>
      <c r="B16" s="14"/>
      <c r="C16" s="15" t="s">
        <v>61</v>
      </c>
      <c r="D16" s="24">
        <v>3.74</v>
      </c>
      <c r="E16" s="14"/>
      <c r="F16" s="17">
        <f>-5000*31</f>
        <v>-155000</v>
      </c>
      <c r="G16" s="14"/>
      <c r="H16" s="24">
        <f>+'[4]ELpaso SJ &amp; Prm'!$F50</f>
        <v>3.9850000000000003</v>
      </c>
      <c r="I16" s="16">
        <f t="shared" si="0"/>
        <v>37975.000000000015</v>
      </c>
      <c r="J16" s="28"/>
      <c r="K16" s="30">
        <f t="shared" si="1"/>
        <v>37975.000000000015</v>
      </c>
      <c r="L16" s="357">
        <f>IF(K16=0,0,IF(A16&lt;(Summary!$K$3+365),ENA_11!K16,0))</f>
        <v>37975.000000000015</v>
      </c>
    </row>
    <row r="17" spans="1:12" x14ac:dyDescent="0.2">
      <c r="A17" s="23">
        <v>37135</v>
      </c>
      <c r="B17" s="14"/>
      <c r="C17" s="15" t="s">
        <v>61</v>
      </c>
      <c r="D17" s="24">
        <v>3.74</v>
      </c>
      <c r="E17" s="14"/>
      <c r="F17" s="17">
        <f>-5000*30</f>
        <v>-150000</v>
      </c>
      <c r="G17" s="14"/>
      <c r="H17" s="24">
        <f>+'[4]ELpaso SJ &amp; Prm'!$F51</f>
        <v>4.0120000000000005</v>
      </c>
      <c r="I17" s="16">
        <f t="shared" si="0"/>
        <v>40800.000000000036</v>
      </c>
      <c r="J17" s="28"/>
      <c r="K17" s="30">
        <f t="shared" si="1"/>
        <v>40800.000000000036</v>
      </c>
      <c r="L17" s="357">
        <f>IF(K17=0,0,IF(A17&lt;(Summary!$K$3+365),ENA_11!K17,0))</f>
        <v>40800.000000000036</v>
      </c>
    </row>
    <row r="18" spans="1:12" x14ac:dyDescent="0.2">
      <c r="A18" s="23">
        <v>37165</v>
      </c>
      <c r="B18" s="14"/>
      <c r="C18" s="15" t="s">
        <v>61</v>
      </c>
      <c r="D18" s="24">
        <v>3.74</v>
      </c>
      <c r="E18" s="14"/>
      <c r="F18" s="17">
        <f>-5000*31</f>
        <v>-155000</v>
      </c>
      <c r="G18" s="14"/>
      <c r="H18" s="24">
        <f>+'[4]ELpaso SJ &amp; Prm'!$F52</f>
        <v>4.0129999999999999</v>
      </c>
      <c r="I18" s="16">
        <f t="shared" si="0"/>
        <v>42314.999999999949</v>
      </c>
      <c r="J18" s="28"/>
      <c r="K18" s="30">
        <f t="shared" si="1"/>
        <v>42314.999999999949</v>
      </c>
      <c r="L18" s="357">
        <f>IF(K18=0,0,IF(A18&lt;(Summary!$K$3+365),ENA_11!K18,0))</f>
        <v>42314.999999999949</v>
      </c>
    </row>
    <row r="19" spans="1:12" x14ac:dyDescent="0.2">
      <c r="A19" s="23">
        <v>37196</v>
      </c>
      <c r="B19" s="14"/>
      <c r="C19" s="15" t="s">
        <v>61</v>
      </c>
      <c r="D19" s="24">
        <v>3.74</v>
      </c>
      <c r="E19" s="14"/>
      <c r="F19" s="17">
        <f>-5000*30</f>
        <v>-150000</v>
      </c>
      <c r="G19" s="14"/>
      <c r="H19" s="24">
        <f>+'[4]ELpaso SJ &amp; Prm'!$F53</f>
        <v>4.1974999999999998</v>
      </c>
      <c r="I19" s="16">
        <f t="shared" si="0"/>
        <v>68624.999999999942</v>
      </c>
      <c r="J19" s="28"/>
      <c r="K19" s="30">
        <f t="shared" si="1"/>
        <v>68624.999999999942</v>
      </c>
      <c r="L19" s="357">
        <f>IF(K19=0,0,IF(A19&lt;(Summary!$K$3+365),ENA_11!K19,0))</f>
        <v>68624.999999999942</v>
      </c>
    </row>
    <row r="20" spans="1:12" x14ac:dyDescent="0.2">
      <c r="A20" s="23">
        <v>37226</v>
      </c>
      <c r="B20" s="14"/>
      <c r="C20" s="15" t="s">
        <v>61</v>
      </c>
      <c r="D20" s="24">
        <v>3.74</v>
      </c>
      <c r="E20" s="14"/>
      <c r="F20" s="17">
        <f>-5000*31</f>
        <v>-155000</v>
      </c>
      <c r="G20" s="14"/>
      <c r="H20" s="24">
        <f>+'[4]ELpaso SJ &amp; Prm'!$F54</f>
        <v>4.3605</v>
      </c>
      <c r="I20" s="16">
        <f t="shared" si="0"/>
        <v>96177.499999999971</v>
      </c>
      <c r="J20" s="28"/>
      <c r="K20" s="30">
        <f t="shared" si="1"/>
        <v>96177.499999999971</v>
      </c>
      <c r="L20" s="357">
        <f>IF(K20=0,0,IF(A20&lt;(Summary!$K$3+365),ENA_11!K20,0))</f>
        <v>96177.499999999971</v>
      </c>
    </row>
    <row r="21" spans="1:12" x14ac:dyDescent="0.2">
      <c r="A21" s="23"/>
      <c r="B21" s="14"/>
      <c r="C21" s="15"/>
      <c r="D21" s="24"/>
      <c r="E21" s="14"/>
      <c r="F21" s="17"/>
      <c r="G21" s="14"/>
      <c r="H21" s="24"/>
      <c r="I21" s="16"/>
      <c r="J21" s="28"/>
      <c r="K21" s="30"/>
      <c r="L21" s="14"/>
    </row>
    <row r="22" spans="1:12" x14ac:dyDescent="0.2">
      <c r="A22" s="14"/>
      <c r="B22" s="14"/>
      <c r="C22" s="14"/>
      <c r="D22" s="14"/>
      <c r="E22" s="14"/>
      <c r="F22" s="287">
        <f>SUM(F9:F20)</f>
        <v>-1825000</v>
      </c>
      <c r="G22" s="288"/>
      <c r="H22" s="308">
        <f>AVERAGE(H9:H20)</f>
        <v>5.0051666666666668</v>
      </c>
      <c r="I22" s="289">
        <f>SUM(I9:I20)</f>
        <v>2297662.5</v>
      </c>
      <c r="J22" s="289">
        <f>SUM(J9:J20)</f>
        <v>1979000</v>
      </c>
      <c r="K22" s="289">
        <f>SUM(K9:K20)</f>
        <v>318662.49999999983</v>
      </c>
      <c r="L22" s="289">
        <f>SUM(L9:L20)</f>
        <v>318662.49999999983</v>
      </c>
    </row>
    <row r="23" spans="1:12" x14ac:dyDescent="0.2">
      <c r="A23" s="14"/>
      <c r="B23" s="14"/>
      <c r="C23" s="14"/>
      <c r="D23" s="14"/>
      <c r="E23" s="14"/>
      <c r="F23" s="27"/>
      <c r="G23" s="14"/>
      <c r="H23" s="14"/>
      <c r="I23" s="35"/>
      <c r="J23" s="31"/>
      <c r="K23" s="31"/>
      <c r="L23" s="14"/>
    </row>
    <row r="24" spans="1:12" x14ac:dyDescent="0.2">
      <c r="A24" s="14"/>
      <c r="B24" s="14"/>
      <c r="C24" s="14"/>
      <c r="D24" s="14"/>
      <c r="E24" s="14"/>
      <c r="F24" s="14"/>
      <c r="G24" s="33" t="s">
        <v>45</v>
      </c>
      <c r="H24" s="25"/>
      <c r="I24" s="14"/>
      <c r="J24" s="28"/>
      <c r="K24" s="28"/>
      <c r="L24" s="14"/>
    </row>
    <row r="25" spans="1:12" x14ac:dyDescent="0.2">
      <c r="A25" s="14"/>
      <c r="B25" s="14"/>
      <c r="C25" s="14"/>
      <c r="D25" s="24"/>
      <c r="E25" s="14"/>
      <c r="F25" s="14"/>
      <c r="G25" s="32"/>
      <c r="H25" s="25"/>
      <c r="I25" s="14"/>
      <c r="J25" s="28"/>
      <c r="K25" s="28"/>
      <c r="L25" s="14"/>
    </row>
    <row r="26" spans="1:12" x14ac:dyDescent="0.2">
      <c r="A26" s="23">
        <v>36892</v>
      </c>
      <c r="B26" s="14"/>
      <c r="C26" s="15" t="s">
        <v>36</v>
      </c>
      <c r="D26" s="24">
        <v>3.74</v>
      </c>
      <c r="E26" s="14"/>
      <c r="F26" s="300">
        <f>5000*31</f>
        <v>155000</v>
      </c>
      <c r="G26" s="301"/>
      <c r="H26" s="301">
        <v>9.81</v>
      </c>
      <c r="I26" s="26">
        <f>(+D26-H26)*F26</f>
        <v>-940850</v>
      </c>
      <c r="J26" s="302">
        <f>+I26</f>
        <v>-940850</v>
      </c>
      <c r="K26" s="302"/>
      <c r="L26" s="378">
        <f>IF(K26=0,0,IF(A26&lt;(Summary!$K$3+365),ENA_11!K26,0))</f>
        <v>0</v>
      </c>
    </row>
    <row r="27" spans="1:12" x14ac:dyDescent="0.2">
      <c r="A27" s="23">
        <v>36923</v>
      </c>
      <c r="B27" s="14"/>
      <c r="C27" s="15" t="s">
        <v>36</v>
      </c>
      <c r="D27" s="24">
        <v>3.74</v>
      </c>
      <c r="E27" s="14"/>
      <c r="F27" s="300">
        <f>5000*28</f>
        <v>140000</v>
      </c>
      <c r="G27" s="310"/>
      <c r="H27" s="301">
        <v>6.65</v>
      </c>
      <c r="I27" s="26">
        <f t="shared" ref="I27:I37" si="2">(+D27-H27)*F27</f>
        <v>-407400</v>
      </c>
      <c r="J27" s="302">
        <f>+I27</f>
        <v>-407400</v>
      </c>
      <c r="K27" s="302"/>
      <c r="L27" s="378">
        <f>IF(K27=0,0,IF(A27&lt;(Summary!$K$3+365),ENA_11!K27,0))</f>
        <v>0</v>
      </c>
    </row>
    <row r="28" spans="1:12" x14ac:dyDescent="0.2">
      <c r="A28" s="23">
        <v>36951</v>
      </c>
      <c r="B28" s="14"/>
      <c r="C28" s="15" t="s">
        <v>36</v>
      </c>
      <c r="D28" s="24">
        <v>3.74</v>
      </c>
      <c r="E28" s="14"/>
      <c r="F28" s="300">
        <f>5000*31</f>
        <v>155000</v>
      </c>
      <c r="G28" s="310"/>
      <c r="H28" s="301">
        <v>5.12</v>
      </c>
      <c r="I28" s="26">
        <f t="shared" si="2"/>
        <v>-213899.99999999997</v>
      </c>
      <c r="J28" s="302">
        <f>+I28</f>
        <v>-213899.99999999997</v>
      </c>
      <c r="K28" s="302"/>
      <c r="L28" s="378">
        <f>IF(K28=0,0,IF(A28&lt;(Summary!$K$3+365),ENA_11!K28,0))</f>
        <v>0</v>
      </c>
    </row>
    <row r="29" spans="1:12" x14ac:dyDescent="0.2">
      <c r="A29" s="23">
        <v>36982</v>
      </c>
      <c r="B29" s="14"/>
      <c r="C29" s="15" t="s">
        <v>36</v>
      </c>
      <c r="D29" s="24">
        <v>3.74</v>
      </c>
      <c r="E29" s="14"/>
      <c r="F29" s="300">
        <f>5000*30</f>
        <v>150000</v>
      </c>
      <c r="G29" s="310"/>
      <c r="H29" s="301">
        <v>5.31</v>
      </c>
      <c r="I29" s="26">
        <f t="shared" si="2"/>
        <v>-235499.99999999991</v>
      </c>
      <c r="J29" s="302">
        <f>+I29</f>
        <v>-235499.99999999991</v>
      </c>
      <c r="K29" s="302"/>
      <c r="L29" s="378">
        <f>IF(K29=0,0,IF(A29&lt;(Summary!$K$3+365),ENA_11!K29,0))</f>
        <v>0</v>
      </c>
    </row>
    <row r="30" spans="1:12" x14ac:dyDescent="0.2">
      <c r="A30" s="23">
        <v>37012</v>
      </c>
      <c r="B30" s="14"/>
      <c r="C30" s="15" t="s">
        <v>36</v>
      </c>
      <c r="D30" s="24">
        <v>3.74</v>
      </c>
      <c r="E30" s="14"/>
      <c r="F30" s="300">
        <f>5000*31</f>
        <v>155000</v>
      </c>
      <c r="G30" s="288"/>
      <c r="H30" s="301">
        <v>4.91</v>
      </c>
      <c r="I30" s="26">
        <f t="shared" si="2"/>
        <v>-181350</v>
      </c>
      <c r="J30" s="302">
        <f>+I30</f>
        <v>-181350</v>
      </c>
      <c r="K30" s="302"/>
      <c r="L30" s="378">
        <f>IF(K30=0,0,IF(A30&lt;(Summary!$K$3+365),ENA_11!K30,0))</f>
        <v>0</v>
      </c>
    </row>
    <row r="31" spans="1:12" x14ac:dyDescent="0.2">
      <c r="A31" s="23">
        <v>37043</v>
      </c>
      <c r="B31" s="14"/>
      <c r="C31" s="15" t="s">
        <v>36</v>
      </c>
      <c r="D31" s="24">
        <v>3.74</v>
      </c>
      <c r="E31" s="14"/>
      <c r="F31" s="300">
        <f>5000*30</f>
        <v>150000</v>
      </c>
      <c r="G31" s="288"/>
      <c r="H31" s="301">
        <v>3.82</v>
      </c>
      <c r="I31" s="26">
        <f t="shared" si="2"/>
        <v>-11999.999999999944</v>
      </c>
      <c r="J31" s="303"/>
      <c r="K31" s="302">
        <f t="shared" ref="K31:K37" si="3">+I31</f>
        <v>-11999.999999999944</v>
      </c>
      <c r="L31" s="378">
        <f>IF(K31=0,0,IF(A31&lt;(Summary!$K$3+365),ENA_11!K31,0))</f>
        <v>-11999.999999999944</v>
      </c>
    </row>
    <row r="32" spans="1:12" x14ac:dyDescent="0.2">
      <c r="A32" s="23">
        <v>37073</v>
      </c>
      <c r="B32" s="14"/>
      <c r="C32" s="15" t="s">
        <v>36</v>
      </c>
      <c r="D32" s="24">
        <v>3.74</v>
      </c>
      <c r="E32" s="14"/>
      <c r="F32" s="300">
        <f>5000*31</f>
        <v>155000</v>
      </c>
      <c r="G32" s="288"/>
      <c r="H32" s="301">
        <f>+'[4]ELpaso SJ &amp; Prm'!$G49</f>
        <v>3.8815</v>
      </c>
      <c r="I32" s="26">
        <f t="shared" si="2"/>
        <v>-21932.49999999996</v>
      </c>
      <c r="J32" s="303"/>
      <c r="K32" s="302">
        <f t="shared" si="3"/>
        <v>-21932.49999999996</v>
      </c>
      <c r="L32" s="378">
        <f>IF(K32=0,0,IF(A32&lt;(Summary!$K$3+365),ENA_11!K32,0))</f>
        <v>-21932.49999999996</v>
      </c>
    </row>
    <row r="33" spans="1:12" x14ac:dyDescent="0.2">
      <c r="A33" s="23">
        <v>37104</v>
      </c>
      <c r="B33" s="14"/>
      <c r="C33" s="15" t="s">
        <v>36</v>
      </c>
      <c r="D33" s="24">
        <v>3.74</v>
      </c>
      <c r="E33" s="14"/>
      <c r="F33" s="300">
        <f>5000*31</f>
        <v>155000</v>
      </c>
      <c r="G33" s="288"/>
      <c r="H33" s="301">
        <f>+'[4]ELpaso SJ &amp; Prm'!$G50</f>
        <v>3.9925000000000002</v>
      </c>
      <c r="I33" s="26">
        <f t="shared" si="2"/>
        <v>-39137.499999999993</v>
      </c>
      <c r="J33" s="303"/>
      <c r="K33" s="302">
        <f t="shared" si="3"/>
        <v>-39137.499999999993</v>
      </c>
      <c r="L33" s="378">
        <f>IF(K33=0,0,IF(A33&lt;(Summary!$K$3+365),ENA_11!K33,0))</f>
        <v>-39137.499999999993</v>
      </c>
    </row>
    <row r="34" spans="1:12" x14ac:dyDescent="0.2">
      <c r="A34" s="23">
        <v>37135</v>
      </c>
      <c r="B34" s="14"/>
      <c r="C34" s="15" t="s">
        <v>36</v>
      </c>
      <c r="D34" s="24">
        <v>3.74</v>
      </c>
      <c r="E34" s="14"/>
      <c r="F34" s="300">
        <f>5000*30</f>
        <v>150000</v>
      </c>
      <c r="G34" s="288"/>
      <c r="H34" s="301">
        <f>+'[4]ELpaso SJ &amp; Prm'!$G51</f>
        <v>4.0195000000000007</v>
      </c>
      <c r="I34" s="26">
        <f t="shared" si="2"/>
        <v>-41925.00000000008</v>
      </c>
      <c r="J34" s="303"/>
      <c r="K34" s="302">
        <f t="shared" si="3"/>
        <v>-41925.00000000008</v>
      </c>
      <c r="L34" s="378">
        <f>IF(K34=0,0,IF(A34&lt;(Summary!$K$3+365),ENA_11!K34,0))</f>
        <v>-41925.00000000008</v>
      </c>
    </row>
    <row r="35" spans="1:12" x14ac:dyDescent="0.2">
      <c r="A35" s="23">
        <v>37165</v>
      </c>
      <c r="B35" s="14"/>
      <c r="C35" s="15" t="s">
        <v>36</v>
      </c>
      <c r="D35" s="24">
        <v>3.74</v>
      </c>
      <c r="E35" s="14"/>
      <c r="F35" s="300">
        <f>5000*31</f>
        <v>155000</v>
      </c>
      <c r="G35" s="288"/>
      <c r="H35" s="301">
        <f>+'[4]ELpaso SJ &amp; Prm'!$G52</f>
        <v>4.0205000000000002</v>
      </c>
      <c r="I35" s="26">
        <f t="shared" si="2"/>
        <v>-43477.499999999993</v>
      </c>
      <c r="J35" s="303"/>
      <c r="K35" s="302">
        <f t="shared" si="3"/>
        <v>-43477.499999999993</v>
      </c>
      <c r="L35" s="378">
        <f>IF(K35=0,0,IF(A35&lt;(Summary!$K$3+365),ENA_11!K35,0))</f>
        <v>-43477.499999999993</v>
      </c>
    </row>
    <row r="36" spans="1:12" x14ac:dyDescent="0.2">
      <c r="A36" s="23">
        <v>37196</v>
      </c>
      <c r="B36" s="14"/>
      <c r="C36" s="15" t="s">
        <v>36</v>
      </c>
      <c r="D36" s="24">
        <v>3.74</v>
      </c>
      <c r="E36" s="14"/>
      <c r="F36" s="300">
        <f>5000*30</f>
        <v>150000</v>
      </c>
      <c r="G36" s="288"/>
      <c r="H36" s="301">
        <f>+'[4]ELpaso SJ &amp; Prm'!$G53</f>
        <v>4.2124999999999995</v>
      </c>
      <c r="I36" s="26">
        <f t="shared" si="2"/>
        <v>-70874.999999999884</v>
      </c>
      <c r="J36" s="303"/>
      <c r="K36" s="302">
        <f t="shared" si="3"/>
        <v>-70874.999999999884</v>
      </c>
      <c r="L36" s="378">
        <f>IF(K36=0,0,IF(A36&lt;(Summary!$K$3+365),ENA_11!K36,0))</f>
        <v>-70874.999999999884</v>
      </c>
    </row>
    <row r="37" spans="1:12" x14ac:dyDescent="0.2">
      <c r="A37" s="23">
        <v>37226</v>
      </c>
      <c r="B37" s="14"/>
      <c r="C37" s="15" t="s">
        <v>36</v>
      </c>
      <c r="D37" s="24">
        <v>3.74</v>
      </c>
      <c r="E37" s="14"/>
      <c r="F37" s="300">
        <f>5000*31</f>
        <v>155000</v>
      </c>
      <c r="G37" s="288"/>
      <c r="H37" s="301">
        <f>+'[4]ELpaso SJ &amp; Prm'!$G54</f>
        <v>4.3754999999999997</v>
      </c>
      <c r="I37" s="26">
        <f t="shared" si="2"/>
        <v>-98502.499999999927</v>
      </c>
      <c r="J37" s="303"/>
      <c r="K37" s="302">
        <f t="shared" si="3"/>
        <v>-98502.499999999927</v>
      </c>
      <c r="L37" s="378">
        <f>IF(K37=0,0,IF(A37&lt;(Summary!$K$3+365),ENA_11!K37,0))</f>
        <v>-98502.499999999927</v>
      </c>
    </row>
    <row r="38" spans="1:12" x14ac:dyDescent="0.2">
      <c r="A38" s="23"/>
      <c r="B38" s="14"/>
      <c r="C38" s="15"/>
      <c r="D38" s="24"/>
      <c r="E38" s="14"/>
      <c r="F38" s="300"/>
      <c r="G38" s="288"/>
      <c r="H38" s="301"/>
      <c r="I38" s="26"/>
      <c r="J38" s="303"/>
      <c r="K38" s="302"/>
      <c r="L38" s="302"/>
    </row>
    <row r="39" spans="1:12" x14ac:dyDescent="0.2">
      <c r="A39" s="14"/>
      <c r="B39" s="14"/>
      <c r="C39" s="14"/>
      <c r="D39" s="14"/>
      <c r="E39" s="14"/>
      <c r="F39" s="287">
        <f>SUM(F26:F38)</f>
        <v>1825000</v>
      </c>
      <c r="G39" s="288"/>
      <c r="H39" s="308">
        <f>AVERAGE(H26:H37)</f>
        <v>5.0101666666666667</v>
      </c>
      <c r="I39" s="311">
        <f>SUM(I26:I38)</f>
        <v>-2306850</v>
      </c>
      <c r="J39" s="311">
        <f>SUM(J26:J38)</f>
        <v>-1979000</v>
      </c>
      <c r="K39" s="311">
        <f>SUM(K26:K38)</f>
        <v>-327849.99999999977</v>
      </c>
      <c r="L39" s="311">
        <f>SUM(L26:L38)</f>
        <v>-327849.99999999977</v>
      </c>
    </row>
    <row r="40" spans="1:12" x14ac:dyDescent="0.2">
      <c r="A40" s="14"/>
      <c r="B40" s="14"/>
      <c r="C40" s="14"/>
      <c r="D40" s="14"/>
      <c r="E40" s="14"/>
      <c r="F40" s="288"/>
      <c r="G40" s="288"/>
      <c r="H40" s="288"/>
      <c r="I40" s="288"/>
      <c r="J40" s="303"/>
      <c r="K40" s="303"/>
      <c r="L40" s="303"/>
    </row>
    <row r="41" spans="1:12" ht="13.5" thickBot="1" x14ac:dyDescent="0.25">
      <c r="A41" s="14"/>
      <c r="B41" s="14"/>
      <c r="C41" s="14"/>
      <c r="D41" s="14"/>
      <c r="E41" s="14"/>
      <c r="F41" s="312">
        <f>+F39+F22</f>
        <v>0</v>
      </c>
      <c r="G41" s="288"/>
      <c r="H41" s="288"/>
      <c r="I41" s="313">
        <f>+I39+I22</f>
        <v>-9187.5</v>
      </c>
      <c r="J41" s="313">
        <f>+J39+J22</f>
        <v>0</v>
      </c>
      <c r="K41" s="313">
        <f>+K39+K22</f>
        <v>-9187.4999999999418</v>
      </c>
      <c r="L41" s="313">
        <f>+L39+L22</f>
        <v>-9187.4999999999418</v>
      </c>
    </row>
    <row r="42" spans="1:12" ht="13.5" thickTop="1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9"/>
      <c r="K42" s="29"/>
      <c r="L42" s="29"/>
    </row>
    <row r="44" spans="1:12" x14ac:dyDescent="0.2">
      <c r="A44" s="22" t="s">
        <v>37</v>
      </c>
    </row>
  </sheetData>
  <phoneticPr fontId="0" type="noConversion"/>
  <pageMargins left="0.75" right="0.75" top="1" bottom="1" header="0.5" footer="0.5"/>
  <pageSetup scale="75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zoomScale="75" workbookViewId="0">
      <selection activeCell="H31" sqref="H31"/>
    </sheetView>
  </sheetViews>
  <sheetFormatPr defaultRowHeight="12.75" x14ac:dyDescent="0.2"/>
  <cols>
    <col min="1" max="2" width="10.7109375" customWidth="1"/>
    <col min="3" max="3" width="13.7109375" customWidth="1"/>
    <col min="4" max="4" width="10.7109375" customWidth="1"/>
    <col min="5" max="5" width="0" hidden="1" customWidth="1"/>
    <col min="6" max="6" width="13.140625" style="316" bestFit="1" customWidth="1"/>
    <col min="7" max="7" width="16.5703125" style="316" bestFit="1" customWidth="1"/>
    <col min="8" max="8" width="9.7109375" style="316" bestFit="1" customWidth="1"/>
    <col min="9" max="11" width="17.28515625" style="316" bestFit="1" customWidth="1"/>
    <col min="12" max="12" width="17.28515625" bestFit="1" customWidth="1"/>
  </cols>
  <sheetData>
    <row r="1" spans="1:12" s="2" customFormat="1" ht="15.75" x14ac:dyDescent="0.25">
      <c r="A1" s="1" t="s">
        <v>38</v>
      </c>
      <c r="B1" s="1"/>
      <c r="C1" s="1"/>
      <c r="D1" s="1"/>
      <c r="E1" s="1"/>
      <c r="F1" s="3"/>
      <c r="G1" s="3"/>
      <c r="H1" s="3"/>
      <c r="I1" s="3"/>
      <c r="J1" s="3"/>
      <c r="K1" s="3"/>
    </row>
    <row r="2" spans="1:12" s="2" customFormat="1" ht="15.75" x14ac:dyDescent="0.25">
      <c r="A2" s="1" t="s">
        <v>0</v>
      </c>
      <c r="B2" s="1"/>
      <c r="C2" s="1"/>
      <c r="D2" s="1"/>
      <c r="E2" s="1"/>
      <c r="F2" s="3"/>
      <c r="G2" s="3"/>
      <c r="H2" s="3"/>
      <c r="I2" s="3"/>
      <c r="J2" s="3"/>
      <c r="K2" s="3"/>
    </row>
    <row r="3" spans="1:12" s="4" customFormat="1" ht="15.75" x14ac:dyDescent="0.25">
      <c r="A3" s="1" t="s">
        <v>69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2" s="7" customFormat="1" x14ac:dyDescent="0.2">
      <c r="A6" s="5" t="s">
        <v>39</v>
      </c>
      <c r="B6" s="6" t="s">
        <v>3</v>
      </c>
      <c r="C6" s="6" t="s">
        <v>3</v>
      </c>
      <c r="D6" s="6" t="s">
        <v>61</v>
      </c>
      <c r="E6" s="6"/>
      <c r="F6" s="290" t="s">
        <v>7</v>
      </c>
      <c r="G6" s="290" t="s">
        <v>41</v>
      </c>
      <c r="H6" s="290" t="s">
        <v>25</v>
      </c>
      <c r="I6" s="291" t="s">
        <v>42</v>
      </c>
      <c r="J6" s="292"/>
      <c r="K6" s="293"/>
      <c r="L6" s="387"/>
    </row>
    <row r="7" spans="1:12" s="7" customFormat="1" x14ac:dyDescent="0.2">
      <c r="A7" s="8" t="s">
        <v>43</v>
      </c>
      <c r="B7" s="9" t="s">
        <v>9</v>
      </c>
      <c r="C7" s="9" t="s">
        <v>8</v>
      </c>
      <c r="D7" s="9" t="s">
        <v>40</v>
      </c>
      <c r="E7" s="9"/>
      <c r="F7" s="294" t="s">
        <v>44</v>
      </c>
      <c r="G7" s="294" t="s">
        <v>12</v>
      </c>
      <c r="H7" s="294" t="s">
        <v>77</v>
      </c>
      <c r="I7" s="294" t="s">
        <v>19</v>
      </c>
      <c r="J7" s="294" t="s">
        <v>20</v>
      </c>
      <c r="K7" s="295" t="s">
        <v>21</v>
      </c>
      <c r="L7" s="32"/>
    </row>
    <row r="8" spans="1:12" x14ac:dyDescent="0.2">
      <c r="A8" s="11"/>
      <c r="B8" s="12"/>
      <c r="C8" s="12"/>
      <c r="D8" s="183" t="s">
        <v>12</v>
      </c>
      <c r="E8" s="12"/>
      <c r="F8" s="296"/>
      <c r="G8" s="297" t="s">
        <v>45</v>
      </c>
      <c r="H8" s="147" t="s">
        <v>12</v>
      </c>
      <c r="I8" s="298" t="s">
        <v>24</v>
      </c>
      <c r="J8" s="298" t="s">
        <v>24</v>
      </c>
      <c r="K8" s="299" t="s">
        <v>24</v>
      </c>
      <c r="L8" s="379" t="s">
        <v>207</v>
      </c>
    </row>
    <row r="9" spans="1:12" x14ac:dyDescent="0.2">
      <c r="A9" s="23">
        <v>36892</v>
      </c>
      <c r="B9" s="14"/>
      <c r="C9" s="15" t="s">
        <v>61</v>
      </c>
      <c r="D9" s="24">
        <v>3.63</v>
      </c>
      <c r="E9" s="14"/>
      <c r="F9" s="300">
        <f>-5000*31</f>
        <v>-155000</v>
      </c>
      <c r="G9" s="301"/>
      <c r="H9" s="301">
        <v>9.81</v>
      </c>
      <c r="I9" s="26">
        <f t="shared" ref="I9:I20" si="0">SUM(D9-H9)*F9</f>
        <v>957900.00000000012</v>
      </c>
      <c r="J9" s="302">
        <f>+I9</f>
        <v>957900.00000000012</v>
      </c>
      <c r="K9" s="302"/>
      <c r="L9" s="357">
        <f>IF(K9=0,0,IF(A9&lt;(Summary!$K$3+365),ENA_12!K9,0))</f>
        <v>0</v>
      </c>
    </row>
    <row r="10" spans="1:12" x14ac:dyDescent="0.2">
      <c r="A10" s="23">
        <v>36923</v>
      </c>
      <c r="B10" s="14"/>
      <c r="C10" s="15" t="s">
        <v>61</v>
      </c>
      <c r="D10" s="24">
        <v>3.63</v>
      </c>
      <c r="E10" s="14"/>
      <c r="F10" s="300">
        <f>-5000*28</f>
        <v>-140000</v>
      </c>
      <c r="G10" s="301"/>
      <c r="H10" s="301">
        <v>6.65</v>
      </c>
      <c r="I10" s="26">
        <f t="shared" si="0"/>
        <v>422800.00000000006</v>
      </c>
      <c r="J10" s="302">
        <f>+I10</f>
        <v>422800.00000000006</v>
      </c>
      <c r="K10" s="302"/>
      <c r="L10" s="357">
        <f>IF(K10=0,0,IF(A10&lt;(Summary!$K$3+365),ENA_12!K10,0))</f>
        <v>0</v>
      </c>
    </row>
    <row r="11" spans="1:12" x14ac:dyDescent="0.2">
      <c r="A11" s="23">
        <v>36951</v>
      </c>
      <c r="B11" s="14"/>
      <c r="C11" s="15" t="s">
        <v>61</v>
      </c>
      <c r="D11" s="24">
        <v>3.63</v>
      </c>
      <c r="E11" s="14"/>
      <c r="F11" s="300">
        <f>-5000*31</f>
        <v>-155000</v>
      </c>
      <c r="G11" s="301"/>
      <c r="H11" s="301">
        <v>5.12</v>
      </c>
      <c r="I11" s="26">
        <f t="shared" si="0"/>
        <v>230950.00000000003</v>
      </c>
      <c r="J11" s="302">
        <f>+I11</f>
        <v>230950.00000000003</v>
      </c>
      <c r="K11" s="302"/>
      <c r="L11" s="357">
        <f>IF(K11=0,0,IF(A11&lt;(Summary!$K$3+365),ENA_12!K11,0))</f>
        <v>0</v>
      </c>
    </row>
    <row r="12" spans="1:12" x14ac:dyDescent="0.2">
      <c r="A12" s="23">
        <v>36982</v>
      </c>
      <c r="B12" s="14"/>
      <c r="C12" s="15" t="s">
        <v>61</v>
      </c>
      <c r="D12" s="24">
        <v>3.63</v>
      </c>
      <c r="E12" s="14"/>
      <c r="F12" s="300">
        <f>-5000*30</f>
        <v>-150000</v>
      </c>
      <c r="G12" s="301"/>
      <c r="H12" s="301">
        <v>5.31</v>
      </c>
      <c r="I12" s="26">
        <f t="shared" si="0"/>
        <v>251999.99999999997</v>
      </c>
      <c r="J12" s="302">
        <f>+I12</f>
        <v>251999.99999999997</v>
      </c>
      <c r="K12" s="302"/>
      <c r="L12" s="357">
        <f>IF(K12=0,0,IF(A12&lt;(Summary!$K$3+365),ENA_12!K12,0))</f>
        <v>0</v>
      </c>
    </row>
    <row r="13" spans="1:12" x14ac:dyDescent="0.2">
      <c r="A13" s="23">
        <v>37012</v>
      </c>
      <c r="B13" s="14"/>
      <c r="C13" s="15" t="s">
        <v>61</v>
      </c>
      <c r="D13" s="24">
        <v>3.63</v>
      </c>
      <c r="E13" s="14"/>
      <c r="F13" s="300">
        <f>-5000*31</f>
        <v>-155000</v>
      </c>
      <c r="G13" s="288"/>
      <c r="H13" s="301">
        <v>4.91</v>
      </c>
      <c r="I13" s="26">
        <f t="shared" si="0"/>
        <v>198400.00000000003</v>
      </c>
      <c r="J13" s="302">
        <f>+I13</f>
        <v>198400.00000000003</v>
      </c>
      <c r="K13" s="302"/>
      <c r="L13" s="357">
        <f>IF(K13=0,0,IF(A13&lt;(Summary!$K$3+365),ENA_12!K13,0))</f>
        <v>0</v>
      </c>
    </row>
    <row r="14" spans="1:12" x14ac:dyDescent="0.2">
      <c r="A14" s="23">
        <v>37043</v>
      </c>
      <c r="B14" s="14"/>
      <c r="C14" s="15" t="s">
        <v>61</v>
      </c>
      <c r="D14" s="24">
        <v>3.63</v>
      </c>
      <c r="E14" s="14"/>
      <c r="F14" s="300">
        <f>-5000*30</f>
        <v>-150000</v>
      </c>
      <c r="G14" s="288"/>
      <c r="H14" s="301">
        <v>3.82</v>
      </c>
      <c r="I14" s="26">
        <f t="shared" si="0"/>
        <v>28499.999999999993</v>
      </c>
      <c r="J14" s="303"/>
      <c r="K14" s="302">
        <f t="shared" ref="K14:K20" si="1">+I14</f>
        <v>28499.999999999993</v>
      </c>
      <c r="L14" s="357">
        <f>IF(K14=0,0,IF(A14&lt;(Summary!$K$3+365),ENA_12!K14,0))</f>
        <v>28499.999999999993</v>
      </c>
    </row>
    <row r="15" spans="1:12" x14ac:dyDescent="0.2">
      <c r="A15" s="23">
        <v>37073</v>
      </c>
      <c r="B15" s="14"/>
      <c r="C15" s="15" t="s">
        <v>61</v>
      </c>
      <c r="D15" s="24">
        <v>3.63</v>
      </c>
      <c r="E15" s="14"/>
      <c r="F15" s="300">
        <f>-5000*31</f>
        <v>-155000</v>
      </c>
      <c r="G15" s="288"/>
      <c r="H15" s="301">
        <f>+'[4]ELpaso SJ &amp; Prm'!$F49</f>
        <v>3.8740000000000001</v>
      </c>
      <c r="I15" s="26">
        <f t="shared" si="0"/>
        <v>37820.000000000036</v>
      </c>
      <c r="J15" s="303"/>
      <c r="K15" s="302">
        <f t="shared" si="1"/>
        <v>37820.000000000036</v>
      </c>
      <c r="L15" s="357">
        <f>IF(K15=0,0,IF(A15&lt;(Summary!$K$3+365),ENA_12!K15,0))</f>
        <v>37820.000000000036</v>
      </c>
    </row>
    <row r="16" spans="1:12" x14ac:dyDescent="0.2">
      <c r="A16" s="23">
        <v>37104</v>
      </c>
      <c r="B16" s="14"/>
      <c r="C16" s="15" t="s">
        <v>61</v>
      </c>
      <c r="D16" s="24">
        <v>3.63</v>
      </c>
      <c r="E16" s="14"/>
      <c r="F16" s="300">
        <f>-5000*31</f>
        <v>-155000</v>
      </c>
      <c r="G16" s="288"/>
      <c r="H16" s="301">
        <f>+'[4]ELpaso SJ &amp; Prm'!$F50</f>
        <v>3.9850000000000003</v>
      </c>
      <c r="I16" s="26">
        <f t="shared" si="0"/>
        <v>55025.000000000065</v>
      </c>
      <c r="J16" s="303"/>
      <c r="K16" s="302">
        <f t="shared" si="1"/>
        <v>55025.000000000065</v>
      </c>
      <c r="L16" s="357">
        <f>IF(K16=0,0,IF(A16&lt;(Summary!$K$3+365),ENA_12!K16,0))</f>
        <v>55025.000000000065</v>
      </c>
    </row>
    <row r="17" spans="1:12" x14ac:dyDescent="0.2">
      <c r="A17" s="23">
        <v>37135</v>
      </c>
      <c r="B17" s="14"/>
      <c r="C17" s="15" t="s">
        <v>61</v>
      </c>
      <c r="D17" s="24">
        <v>3.63</v>
      </c>
      <c r="E17" s="14"/>
      <c r="F17" s="300">
        <f>-5000*30</f>
        <v>-150000</v>
      </c>
      <c r="G17" s="288"/>
      <c r="H17" s="301">
        <f>+'[4]ELpaso SJ &amp; Prm'!$F51</f>
        <v>4.0120000000000005</v>
      </c>
      <c r="I17" s="26">
        <f t="shared" si="0"/>
        <v>57300.000000000087</v>
      </c>
      <c r="J17" s="303"/>
      <c r="K17" s="302">
        <f t="shared" si="1"/>
        <v>57300.000000000087</v>
      </c>
      <c r="L17" s="357">
        <f>IF(K17=0,0,IF(A17&lt;(Summary!$K$3+365),ENA_12!K17,0))</f>
        <v>57300.000000000087</v>
      </c>
    </row>
    <row r="18" spans="1:12" x14ac:dyDescent="0.2">
      <c r="A18" s="23">
        <v>37165</v>
      </c>
      <c r="B18" s="14"/>
      <c r="C18" s="15" t="s">
        <v>61</v>
      </c>
      <c r="D18" s="24">
        <v>3.63</v>
      </c>
      <c r="E18" s="14"/>
      <c r="F18" s="300">
        <f>-5000*31</f>
        <v>-155000</v>
      </c>
      <c r="G18" s="288"/>
      <c r="H18" s="301">
        <f>+'[4]ELpaso SJ &amp; Prm'!$F52</f>
        <v>4.0129999999999999</v>
      </c>
      <c r="I18" s="26">
        <f t="shared" si="0"/>
        <v>59365</v>
      </c>
      <c r="J18" s="303"/>
      <c r="K18" s="302">
        <f t="shared" si="1"/>
        <v>59365</v>
      </c>
      <c r="L18" s="357">
        <f>IF(K18=0,0,IF(A18&lt;(Summary!$K$3+365),ENA_12!K18,0))</f>
        <v>59365</v>
      </c>
    </row>
    <row r="19" spans="1:12" x14ac:dyDescent="0.2">
      <c r="A19" s="23">
        <v>37196</v>
      </c>
      <c r="B19" s="14"/>
      <c r="C19" s="15" t="s">
        <v>61</v>
      </c>
      <c r="D19" s="24">
        <v>3.63</v>
      </c>
      <c r="E19" s="14"/>
      <c r="F19" s="300">
        <f>-5000*30</f>
        <v>-150000</v>
      </c>
      <c r="G19" s="288"/>
      <c r="H19" s="301">
        <f>+'[4]ELpaso SJ &amp; Prm'!$F53</f>
        <v>4.1974999999999998</v>
      </c>
      <c r="I19" s="26">
        <f t="shared" si="0"/>
        <v>85124.999999999985</v>
      </c>
      <c r="J19" s="303"/>
      <c r="K19" s="302">
        <f t="shared" si="1"/>
        <v>85124.999999999985</v>
      </c>
      <c r="L19" s="357">
        <f>IF(K19=0,0,IF(A19&lt;(Summary!$K$3+365),ENA_12!K19,0))</f>
        <v>85124.999999999985</v>
      </c>
    </row>
    <row r="20" spans="1:12" x14ac:dyDescent="0.2">
      <c r="A20" s="23">
        <v>37226</v>
      </c>
      <c r="B20" s="14"/>
      <c r="C20" s="15" t="s">
        <v>61</v>
      </c>
      <c r="D20" s="24">
        <v>3.63</v>
      </c>
      <c r="E20" s="14"/>
      <c r="F20" s="300">
        <f>-5000*31</f>
        <v>-155000</v>
      </c>
      <c r="G20" s="288"/>
      <c r="H20" s="301">
        <f>+'[4]ELpaso SJ &amp; Prm'!$F54</f>
        <v>4.3605</v>
      </c>
      <c r="I20" s="26">
        <f t="shared" si="0"/>
        <v>113227.50000000003</v>
      </c>
      <c r="J20" s="303"/>
      <c r="K20" s="302">
        <f t="shared" si="1"/>
        <v>113227.50000000003</v>
      </c>
      <c r="L20" s="357">
        <f>IF(K20=0,0,IF(A20&lt;(Summary!$K$3+365),ENA_12!K20,0))</f>
        <v>113227.50000000003</v>
      </c>
    </row>
    <row r="21" spans="1:12" x14ac:dyDescent="0.2">
      <c r="A21" s="23"/>
      <c r="B21" s="14"/>
      <c r="C21" s="15"/>
      <c r="D21" s="24"/>
      <c r="E21" s="14"/>
      <c r="F21" s="300"/>
      <c r="G21" s="288"/>
      <c r="H21" s="301"/>
      <c r="I21" s="26"/>
      <c r="J21" s="303"/>
      <c r="K21" s="302"/>
      <c r="L21" s="14"/>
    </row>
    <row r="22" spans="1:12" x14ac:dyDescent="0.2">
      <c r="A22" s="14"/>
      <c r="B22" s="14"/>
      <c r="C22" s="14"/>
      <c r="D22" s="14"/>
      <c r="E22" s="14"/>
      <c r="F22" s="287">
        <f>SUM(F9:F20)</f>
        <v>-1825000</v>
      </c>
      <c r="G22" s="288"/>
      <c r="H22" s="308">
        <f>AVERAGE(H9:H20)</f>
        <v>5.0051666666666668</v>
      </c>
      <c r="I22" s="289">
        <f>SUM(I9:I20)</f>
        <v>2498412.5000000005</v>
      </c>
      <c r="J22" s="289">
        <f>SUM(J9:J20)</f>
        <v>2062050.0000000002</v>
      </c>
      <c r="K22" s="289">
        <f>SUM(K9:K20)</f>
        <v>436362.50000000023</v>
      </c>
      <c r="L22" s="289">
        <f>SUM(L9:L20)</f>
        <v>436362.50000000023</v>
      </c>
    </row>
    <row r="23" spans="1:12" x14ac:dyDescent="0.2">
      <c r="A23" s="14"/>
      <c r="B23" s="14"/>
      <c r="C23" s="14"/>
      <c r="D23" s="14"/>
      <c r="E23" s="14"/>
      <c r="F23" s="304"/>
      <c r="G23" s="288"/>
      <c r="H23" s="288"/>
      <c r="I23" s="305"/>
      <c r="J23" s="306"/>
      <c r="K23" s="306"/>
      <c r="L23" s="14"/>
    </row>
    <row r="24" spans="1:12" x14ac:dyDescent="0.2">
      <c r="A24" s="14"/>
      <c r="B24" s="14"/>
      <c r="C24" s="14"/>
      <c r="D24" s="14"/>
      <c r="E24" s="14"/>
      <c r="F24" s="288"/>
      <c r="G24" s="307" t="s">
        <v>45</v>
      </c>
      <c r="H24" s="308"/>
      <c r="I24" s="288"/>
      <c r="J24" s="303"/>
      <c r="K24" s="303"/>
      <c r="L24" s="14"/>
    </row>
    <row r="25" spans="1:12" x14ac:dyDescent="0.2">
      <c r="A25" s="14"/>
      <c r="B25" s="14"/>
      <c r="C25" s="14"/>
      <c r="D25" s="24"/>
      <c r="E25" s="14"/>
      <c r="F25" s="288"/>
      <c r="G25" s="309"/>
      <c r="H25" s="308"/>
      <c r="I25" s="288"/>
      <c r="J25" s="303"/>
      <c r="K25" s="303"/>
      <c r="L25" s="14"/>
    </row>
    <row r="26" spans="1:12" x14ac:dyDescent="0.2">
      <c r="A26" s="23">
        <v>36892</v>
      </c>
      <c r="B26" s="14"/>
      <c r="C26" s="15" t="s">
        <v>36</v>
      </c>
      <c r="D26" s="24">
        <v>3.63</v>
      </c>
      <c r="E26" s="14"/>
      <c r="F26" s="300">
        <f>5000*31</f>
        <v>155000</v>
      </c>
      <c r="G26" s="301"/>
      <c r="H26" s="301">
        <v>9.81</v>
      </c>
      <c r="I26" s="26">
        <f>(+D26-H26)*F26</f>
        <v>-957900.00000000012</v>
      </c>
      <c r="J26" s="302">
        <f>+I26</f>
        <v>-957900.00000000012</v>
      </c>
      <c r="K26" s="302"/>
      <c r="L26" s="357">
        <f>IF(K26=0,0,IF(A26&lt;(Summary!$K$3+365),ENA_12!K26,0))</f>
        <v>0</v>
      </c>
    </row>
    <row r="27" spans="1:12" x14ac:dyDescent="0.2">
      <c r="A27" s="23">
        <v>36923</v>
      </c>
      <c r="B27" s="14"/>
      <c r="C27" s="15" t="s">
        <v>36</v>
      </c>
      <c r="D27" s="24">
        <v>3.63</v>
      </c>
      <c r="E27" s="14"/>
      <c r="F27" s="300">
        <f>5000*28</f>
        <v>140000</v>
      </c>
      <c r="G27" s="310"/>
      <c r="H27" s="301">
        <v>6.65</v>
      </c>
      <c r="I27" s="26">
        <f t="shared" ref="I27:I37" si="2">(+D27-H27)*F27</f>
        <v>-422800.00000000006</v>
      </c>
      <c r="J27" s="302">
        <f>+I27</f>
        <v>-422800.00000000006</v>
      </c>
      <c r="K27" s="302"/>
      <c r="L27" s="357">
        <f>IF(K27=0,0,IF(A27&lt;(Summary!$K$3+365),ENA_12!K27,0))</f>
        <v>0</v>
      </c>
    </row>
    <row r="28" spans="1:12" x14ac:dyDescent="0.2">
      <c r="A28" s="23">
        <v>36951</v>
      </c>
      <c r="B28" s="14"/>
      <c r="C28" s="15" t="s">
        <v>36</v>
      </c>
      <c r="D28" s="24">
        <v>3.63</v>
      </c>
      <c r="E28" s="14"/>
      <c r="F28" s="300">
        <f>5000*31</f>
        <v>155000</v>
      </c>
      <c r="G28" s="310"/>
      <c r="H28" s="301">
        <v>5.12</v>
      </c>
      <c r="I28" s="26">
        <f t="shared" si="2"/>
        <v>-230950.00000000003</v>
      </c>
      <c r="J28" s="302">
        <f>+I28</f>
        <v>-230950.00000000003</v>
      </c>
      <c r="K28" s="302"/>
      <c r="L28" s="357">
        <f>IF(K28=0,0,IF(A28&lt;(Summary!$K$3+365),ENA_12!K28,0))</f>
        <v>0</v>
      </c>
    </row>
    <row r="29" spans="1:12" x14ac:dyDescent="0.2">
      <c r="A29" s="23">
        <v>36982</v>
      </c>
      <c r="B29" s="14"/>
      <c r="C29" s="15" t="s">
        <v>36</v>
      </c>
      <c r="D29" s="24">
        <v>3.63</v>
      </c>
      <c r="E29" s="14"/>
      <c r="F29" s="300">
        <f>5000*30</f>
        <v>150000</v>
      </c>
      <c r="G29" s="310"/>
      <c r="H29" s="301">
        <v>5.31</v>
      </c>
      <c r="I29" s="26">
        <f t="shared" si="2"/>
        <v>-251999.99999999997</v>
      </c>
      <c r="J29" s="302">
        <f>+I29</f>
        <v>-251999.99999999997</v>
      </c>
      <c r="K29" s="302"/>
      <c r="L29" s="357">
        <f>IF(K29=0,0,IF(A29&lt;(Summary!$K$3+365),ENA_12!K29,0))</f>
        <v>0</v>
      </c>
    </row>
    <row r="30" spans="1:12" x14ac:dyDescent="0.2">
      <c r="A30" s="23">
        <v>37012</v>
      </c>
      <c r="B30" s="14"/>
      <c r="C30" s="15" t="s">
        <v>36</v>
      </c>
      <c r="D30" s="24">
        <v>3.63</v>
      </c>
      <c r="E30" s="14"/>
      <c r="F30" s="300">
        <f>5000*31</f>
        <v>155000</v>
      </c>
      <c r="G30" s="288"/>
      <c r="H30" s="301">
        <v>4.91</v>
      </c>
      <c r="I30" s="26">
        <f t="shared" si="2"/>
        <v>-198400.00000000003</v>
      </c>
      <c r="J30" s="302">
        <f>+I30</f>
        <v>-198400.00000000003</v>
      </c>
      <c r="K30" s="302"/>
      <c r="L30" s="357">
        <f>IF(K30=0,0,IF(A30&lt;(Summary!$K$3+365),ENA_12!K30,0))</f>
        <v>0</v>
      </c>
    </row>
    <row r="31" spans="1:12" x14ac:dyDescent="0.2">
      <c r="A31" s="23">
        <v>37043</v>
      </c>
      <c r="B31" s="14"/>
      <c r="C31" s="15" t="s">
        <v>36</v>
      </c>
      <c r="D31" s="24">
        <v>3.63</v>
      </c>
      <c r="E31" s="14"/>
      <c r="F31" s="300">
        <f>5000*30</f>
        <v>150000</v>
      </c>
      <c r="G31" s="288"/>
      <c r="H31" s="301">
        <v>3.82</v>
      </c>
      <c r="I31" s="26">
        <f t="shared" si="2"/>
        <v>-28499.999999999993</v>
      </c>
      <c r="J31" s="303"/>
      <c r="K31" s="302">
        <f t="shared" ref="K31:K37" si="3">+I31</f>
        <v>-28499.999999999993</v>
      </c>
      <c r="L31" s="357">
        <f>IF(K31=0,0,IF(A31&lt;(Summary!$K$3+365),ENA_12!K31,0))</f>
        <v>-28499.999999999993</v>
      </c>
    </row>
    <row r="32" spans="1:12" x14ac:dyDescent="0.2">
      <c r="A32" s="23">
        <v>37073</v>
      </c>
      <c r="B32" s="14"/>
      <c r="C32" s="15" t="s">
        <v>36</v>
      </c>
      <c r="D32" s="24">
        <v>3.63</v>
      </c>
      <c r="E32" s="14"/>
      <c r="F32" s="300">
        <f>5000*31</f>
        <v>155000</v>
      </c>
      <c r="G32" s="288"/>
      <c r="H32" s="301">
        <f>+'[4]ELpaso SJ &amp; Prm'!$G49</f>
        <v>3.8815</v>
      </c>
      <c r="I32" s="26">
        <f t="shared" si="2"/>
        <v>-38982.500000000007</v>
      </c>
      <c r="J32" s="303"/>
      <c r="K32" s="302">
        <f t="shared" si="3"/>
        <v>-38982.500000000007</v>
      </c>
      <c r="L32" s="357">
        <f>IF(K32=0,0,IF(A32&lt;(Summary!$K$3+365),ENA_12!K32,0))</f>
        <v>-38982.500000000007</v>
      </c>
    </row>
    <row r="33" spans="1:12" x14ac:dyDescent="0.2">
      <c r="A33" s="23">
        <v>37104</v>
      </c>
      <c r="B33" s="14"/>
      <c r="C33" s="15" t="s">
        <v>36</v>
      </c>
      <c r="D33" s="24">
        <v>3.63</v>
      </c>
      <c r="E33" s="14"/>
      <c r="F33" s="300">
        <f>5000*31</f>
        <v>155000</v>
      </c>
      <c r="G33" s="288"/>
      <c r="H33" s="301">
        <f>+'[4]ELpaso SJ &amp; Prm'!$G50</f>
        <v>3.9925000000000002</v>
      </c>
      <c r="I33" s="26">
        <f t="shared" si="2"/>
        <v>-56187.500000000044</v>
      </c>
      <c r="J33" s="303"/>
      <c r="K33" s="302">
        <f t="shared" si="3"/>
        <v>-56187.500000000044</v>
      </c>
      <c r="L33" s="357">
        <f>IF(K33=0,0,IF(A33&lt;(Summary!$K$3+365),ENA_12!K33,0))</f>
        <v>-56187.500000000044</v>
      </c>
    </row>
    <row r="34" spans="1:12" x14ac:dyDescent="0.2">
      <c r="A34" s="23">
        <v>37135</v>
      </c>
      <c r="B34" s="14"/>
      <c r="C34" s="15" t="s">
        <v>36</v>
      </c>
      <c r="D34" s="24">
        <v>3.63</v>
      </c>
      <c r="E34" s="14"/>
      <c r="F34" s="300">
        <f>5000*30</f>
        <v>150000</v>
      </c>
      <c r="G34" s="288"/>
      <c r="H34" s="301">
        <f>+'[4]ELpaso SJ &amp; Prm'!$G51</f>
        <v>4.0195000000000007</v>
      </c>
      <c r="I34" s="26">
        <f t="shared" si="2"/>
        <v>-58425.000000000124</v>
      </c>
      <c r="J34" s="303"/>
      <c r="K34" s="302">
        <f t="shared" si="3"/>
        <v>-58425.000000000124</v>
      </c>
      <c r="L34" s="357">
        <f>IF(K34=0,0,IF(A34&lt;(Summary!$K$3+365),ENA_12!K34,0))</f>
        <v>-58425.000000000124</v>
      </c>
    </row>
    <row r="35" spans="1:12" x14ac:dyDescent="0.2">
      <c r="A35" s="23">
        <v>37165</v>
      </c>
      <c r="B35" s="14"/>
      <c r="C35" s="15" t="s">
        <v>36</v>
      </c>
      <c r="D35" s="24">
        <v>3.63</v>
      </c>
      <c r="E35" s="14"/>
      <c r="F35" s="300">
        <f>5000*31</f>
        <v>155000</v>
      </c>
      <c r="G35" s="288"/>
      <c r="H35" s="301">
        <f>+'[4]ELpaso SJ &amp; Prm'!$G52</f>
        <v>4.0205000000000002</v>
      </c>
      <c r="I35" s="26">
        <f t="shared" si="2"/>
        <v>-60527.500000000044</v>
      </c>
      <c r="J35" s="303"/>
      <c r="K35" s="302">
        <f t="shared" si="3"/>
        <v>-60527.500000000044</v>
      </c>
      <c r="L35" s="357">
        <f>IF(K35=0,0,IF(A35&lt;(Summary!$K$3+365),ENA_12!K35,0))</f>
        <v>-60527.500000000044</v>
      </c>
    </row>
    <row r="36" spans="1:12" x14ac:dyDescent="0.2">
      <c r="A36" s="23">
        <v>37196</v>
      </c>
      <c r="B36" s="14"/>
      <c r="C36" s="15" t="s">
        <v>36</v>
      </c>
      <c r="D36" s="24">
        <v>3.63</v>
      </c>
      <c r="E36" s="14"/>
      <c r="F36" s="300">
        <f>5000*30</f>
        <v>150000</v>
      </c>
      <c r="G36" s="288"/>
      <c r="H36" s="301">
        <f>+'[4]ELpaso SJ &amp; Prm'!$G53</f>
        <v>4.2124999999999995</v>
      </c>
      <c r="I36" s="26">
        <f t="shared" si="2"/>
        <v>-87374.999999999942</v>
      </c>
      <c r="J36" s="303"/>
      <c r="K36" s="302">
        <f t="shared" si="3"/>
        <v>-87374.999999999942</v>
      </c>
      <c r="L36" s="357">
        <f>IF(K36=0,0,IF(A36&lt;(Summary!$K$3+365),ENA_12!K36,0))</f>
        <v>-87374.999999999942</v>
      </c>
    </row>
    <row r="37" spans="1:12" x14ac:dyDescent="0.2">
      <c r="A37" s="23">
        <v>37226</v>
      </c>
      <c r="B37" s="14"/>
      <c r="C37" s="15" t="s">
        <v>36</v>
      </c>
      <c r="D37" s="24">
        <v>3.63</v>
      </c>
      <c r="E37" s="14"/>
      <c r="F37" s="300">
        <f>5000*31</f>
        <v>155000</v>
      </c>
      <c r="G37" s="288"/>
      <c r="H37" s="301">
        <f>+'[4]ELpaso SJ &amp; Prm'!$G54</f>
        <v>4.3754999999999997</v>
      </c>
      <c r="I37" s="26">
        <f t="shared" si="2"/>
        <v>-115552.49999999997</v>
      </c>
      <c r="J37" s="303"/>
      <c r="K37" s="302">
        <f t="shared" si="3"/>
        <v>-115552.49999999997</v>
      </c>
      <c r="L37" s="357">
        <f>IF(K37=0,0,IF(A37&lt;(Summary!$K$3+365),ENA_12!K37,0))</f>
        <v>-115552.49999999997</v>
      </c>
    </row>
    <row r="38" spans="1:12" x14ac:dyDescent="0.2">
      <c r="A38" s="23"/>
      <c r="B38" s="14"/>
      <c r="C38" s="15"/>
      <c r="D38" s="24"/>
      <c r="E38" s="14"/>
      <c r="F38" s="300"/>
      <c r="G38" s="288"/>
      <c r="H38" s="301"/>
      <c r="I38" s="26"/>
      <c r="J38" s="303"/>
      <c r="K38" s="302"/>
      <c r="L38" s="14"/>
    </row>
    <row r="39" spans="1:12" x14ac:dyDescent="0.2">
      <c r="A39" s="14"/>
      <c r="B39" s="14"/>
      <c r="C39" s="14"/>
      <c r="D39" s="14"/>
      <c r="E39" s="14"/>
      <c r="F39" s="287">
        <f>SUM(F26:F38)</f>
        <v>1825000</v>
      </c>
      <c r="G39" s="288"/>
      <c r="H39" s="308">
        <f>AVERAGE(H26:H37)</f>
        <v>5.0101666666666667</v>
      </c>
      <c r="I39" s="311">
        <f>SUM(I26:I38)</f>
        <v>-2507600.0000000005</v>
      </c>
      <c r="J39" s="311">
        <f>SUM(J26:J38)</f>
        <v>-2062050.0000000002</v>
      </c>
      <c r="K39" s="311">
        <f>SUM(K26:K38)</f>
        <v>-445550.00000000012</v>
      </c>
      <c r="L39" s="311">
        <f>SUM(L26:L38)</f>
        <v>-445550.00000000012</v>
      </c>
    </row>
    <row r="40" spans="1:12" x14ac:dyDescent="0.2">
      <c r="A40" s="14"/>
      <c r="B40" s="14"/>
      <c r="C40" s="14"/>
      <c r="D40" s="14"/>
      <c r="E40" s="14"/>
      <c r="F40" s="288"/>
      <c r="G40" s="288"/>
      <c r="H40" s="288"/>
      <c r="I40" s="288"/>
      <c r="J40" s="303"/>
      <c r="K40" s="303"/>
      <c r="L40" s="303"/>
    </row>
    <row r="41" spans="1:12" ht="13.5" thickBot="1" x14ac:dyDescent="0.25">
      <c r="A41" s="14"/>
      <c r="B41" s="14"/>
      <c r="C41" s="14"/>
      <c r="D41" s="14"/>
      <c r="E41" s="14"/>
      <c r="F41" s="312">
        <f>+F39+F22</f>
        <v>0</v>
      </c>
      <c r="G41" s="288"/>
      <c r="H41" s="288"/>
      <c r="I41" s="313">
        <f>+I39+I22</f>
        <v>-9187.5</v>
      </c>
      <c r="J41" s="313">
        <f>+J39+J22</f>
        <v>0</v>
      </c>
      <c r="K41" s="313">
        <f>+K39+K22</f>
        <v>-9187.4999999998836</v>
      </c>
      <c r="L41" s="313">
        <f>+L39+L22</f>
        <v>-9187.4999999998836</v>
      </c>
    </row>
    <row r="42" spans="1:12" ht="13.5" thickTop="1" x14ac:dyDescent="0.2">
      <c r="A42" s="20"/>
      <c r="B42" s="20"/>
      <c r="C42" s="20"/>
      <c r="D42" s="20"/>
      <c r="E42" s="20"/>
      <c r="F42" s="314"/>
      <c r="G42" s="314"/>
      <c r="H42" s="314"/>
      <c r="I42" s="314"/>
      <c r="J42" s="315"/>
      <c r="K42" s="315"/>
      <c r="L42" s="315"/>
    </row>
    <row r="44" spans="1:12" x14ac:dyDescent="0.2">
      <c r="A44" s="22" t="s">
        <v>37</v>
      </c>
    </row>
  </sheetData>
  <phoneticPr fontId="0" type="noConversion"/>
  <pageMargins left="0.75" right="0.75" top="1" bottom="1" header="0.5" footer="0.5"/>
  <pageSetup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zoomScale="72" workbookViewId="0">
      <selection activeCell="H31" sqref="H31"/>
    </sheetView>
  </sheetViews>
  <sheetFormatPr defaultRowHeight="12.75" x14ac:dyDescent="0.2"/>
  <cols>
    <col min="1" max="1" width="7.140625" customWidth="1"/>
    <col min="2" max="2" width="10.7109375" customWidth="1"/>
    <col min="3" max="3" width="12.85546875" bestFit="1" customWidth="1"/>
    <col min="5" max="5" width="0" hidden="1" customWidth="1"/>
    <col min="6" max="6" width="13.140625" customWidth="1"/>
    <col min="7" max="7" width="18.42578125" customWidth="1"/>
    <col min="8" max="8" width="10" bestFit="1" customWidth="1"/>
    <col min="9" max="9" width="17.7109375" customWidth="1"/>
    <col min="10" max="10" width="18.42578125" customWidth="1"/>
    <col min="11" max="11" width="17" bestFit="1" customWidth="1"/>
    <col min="12" max="12" width="18" bestFit="1" customWidth="1"/>
  </cols>
  <sheetData>
    <row r="1" spans="1:12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70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5" spans="1:12" x14ac:dyDescent="0.2">
      <c r="A5" s="316"/>
      <c r="B5" s="316"/>
      <c r="C5" s="316"/>
      <c r="D5" s="316"/>
      <c r="E5" s="316"/>
      <c r="F5" s="316"/>
      <c r="G5" s="316"/>
      <c r="H5" s="316"/>
      <c r="I5" s="316"/>
      <c r="J5" s="316"/>
      <c r="K5" s="316"/>
    </row>
    <row r="6" spans="1:12" s="7" customFormat="1" x14ac:dyDescent="0.2">
      <c r="A6" s="319" t="s">
        <v>39</v>
      </c>
      <c r="B6" s="290" t="s">
        <v>3</v>
      </c>
      <c r="C6" s="290" t="s">
        <v>3</v>
      </c>
      <c r="D6" s="290" t="s">
        <v>129</v>
      </c>
      <c r="E6" s="290"/>
      <c r="F6" s="290" t="s">
        <v>7</v>
      </c>
      <c r="G6" s="290" t="s">
        <v>41</v>
      </c>
      <c r="H6" s="290" t="s">
        <v>25</v>
      </c>
      <c r="I6" s="291" t="s">
        <v>42</v>
      </c>
      <c r="J6" s="292"/>
      <c r="K6" s="293"/>
      <c r="L6" s="387"/>
    </row>
    <row r="7" spans="1:12" s="7" customFormat="1" x14ac:dyDescent="0.2">
      <c r="A7" s="320" t="s">
        <v>43</v>
      </c>
      <c r="B7" s="294" t="s">
        <v>9</v>
      </c>
      <c r="C7" s="294" t="s">
        <v>8</v>
      </c>
      <c r="D7" s="294" t="s">
        <v>40</v>
      </c>
      <c r="E7" s="294"/>
      <c r="F7" s="294" t="s">
        <v>44</v>
      </c>
      <c r="G7" s="294" t="s">
        <v>12</v>
      </c>
      <c r="H7" s="294" t="s">
        <v>77</v>
      </c>
      <c r="I7" s="294" t="s">
        <v>19</v>
      </c>
      <c r="J7" s="294" t="s">
        <v>20</v>
      </c>
      <c r="K7" s="295" t="s">
        <v>21</v>
      </c>
      <c r="L7" s="32"/>
    </row>
    <row r="8" spans="1:12" x14ac:dyDescent="0.2">
      <c r="A8" s="321"/>
      <c r="B8" s="296"/>
      <c r="C8" s="296"/>
      <c r="D8" s="147" t="s">
        <v>12</v>
      </c>
      <c r="E8" s="296"/>
      <c r="F8" s="296"/>
      <c r="G8" s="297" t="s">
        <v>45</v>
      </c>
      <c r="H8" s="147" t="s">
        <v>12</v>
      </c>
      <c r="I8" s="298" t="s">
        <v>24</v>
      </c>
      <c r="J8" s="298" t="s">
        <v>24</v>
      </c>
      <c r="K8" s="299" t="s">
        <v>24</v>
      </c>
      <c r="L8" s="379" t="s">
        <v>207</v>
      </c>
    </row>
    <row r="9" spans="1:12" x14ac:dyDescent="0.2">
      <c r="A9" s="23">
        <v>36892</v>
      </c>
      <c r="B9" s="14"/>
      <c r="C9" s="15" t="s">
        <v>61</v>
      </c>
      <c r="D9" s="24">
        <v>3.585</v>
      </c>
      <c r="E9" s="14"/>
      <c r="F9" s="17">
        <f>-5000*31</f>
        <v>-155000</v>
      </c>
      <c r="G9" s="24"/>
      <c r="H9" s="24">
        <v>9.81</v>
      </c>
      <c r="I9" s="16">
        <f t="shared" ref="I9:I20" si="0">SUM(D9-H9)*F9</f>
        <v>964875.00000000012</v>
      </c>
      <c r="J9" s="30">
        <f>+I9</f>
        <v>964875.00000000012</v>
      </c>
      <c r="K9" s="30"/>
      <c r="L9" s="357">
        <f>IF(K9=0,0,IF(A9&lt;(Summary!$K$3+365),ENA_13!K9,0))</f>
        <v>0</v>
      </c>
    </row>
    <row r="10" spans="1:12" x14ac:dyDescent="0.2">
      <c r="A10" s="23">
        <v>36923</v>
      </c>
      <c r="B10" s="14"/>
      <c r="C10" s="15" t="s">
        <v>61</v>
      </c>
      <c r="D10" s="24">
        <v>3.585</v>
      </c>
      <c r="E10" s="14"/>
      <c r="F10" s="300">
        <f>-5000*28</f>
        <v>-140000</v>
      </c>
      <c r="G10" s="301"/>
      <c r="H10" s="301">
        <v>6.65</v>
      </c>
      <c r="I10" s="26">
        <f t="shared" si="0"/>
        <v>429100.00000000006</v>
      </c>
      <c r="J10" s="302">
        <f>+I10</f>
        <v>429100.00000000006</v>
      </c>
      <c r="K10" s="302"/>
      <c r="L10" s="357">
        <f>IF(K10=0,0,IF(A10&lt;(Summary!$K$3+365),ENA_13!K10,0))</f>
        <v>0</v>
      </c>
    </row>
    <row r="11" spans="1:12" x14ac:dyDescent="0.2">
      <c r="A11" s="23">
        <v>36951</v>
      </c>
      <c r="B11" s="14"/>
      <c r="C11" s="15" t="s">
        <v>61</v>
      </c>
      <c r="D11" s="24">
        <v>3.585</v>
      </c>
      <c r="E11" s="14"/>
      <c r="F11" s="300">
        <f>-5000*31</f>
        <v>-155000</v>
      </c>
      <c r="G11" s="301"/>
      <c r="H11" s="301">
        <v>5.12</v>
      </c>
      <c r="I11" s="26">
        <f t="shared" si="0"/>
        <v>237925.00000000003</v>
      </c>
      <c r="J11" s="302">
        <f>+I11</f>
        <v>237925.00000000003</v>
      </c>
      <c r="K11" s="302"/>
      <c r="L11" s="357">
        <f>IF(K11=0,0,IF(A11&lt;(Summary!$K$3+365),ENA_13!K11,0))</f>
        <v>0</v>
      </c>
    </row>
    <row r="12" spans="1:12" x14ac:dyDescent="0.2">
      <c r="A12" s="23">
        <v>36982</v>
      </c>
      <c r="B12" s="14"/>
      <c r="C12" s="15" t="s">
        <v>61</v>
      </c>
      <c r="D12" s="24">
        <v>3.585</v>
      </c>
      <c r="E12" s="14"/>
      <c r="F12" s="300">
        <f>-5000*30</f>
        <v>-150000</v>
      </c>
      <c r="G12" s="301"/>
      <c r="H12" s="301">
        <v>5.31</v>
      </c>
      <c r="I12" s="26">
        <f t="shared" si="0"/>
        <v>258749.99999999994</v>
      </c>
      <c r="J12" s="302">
        <f>+I12</f>
        <v>258749.99999999994</v>
      </c>
      <c r="K12" s="302"/>
      <c r="L12" s="357">
        <f>IF(K12=0,0,IF(A12&lt;(Summary!$K$3+365),ENA_13!K12,0))</f>
        <v>0</v>
      </c>
    </row>
    <row r="13" spans="1:12" x14ac:dyDescent="0.2">
      <c r="A13" s="23">
        <v>37012</v>
      </c>
      <c r="B13" s="14"/>
      <c r="C13" s="15" t="s">
        <v>61</v>
      </c>
      <c r="D13" s="24">
        <v>3.585</v>
      </c>
      <c r="E13" s="14"/>
      <c r="F13" s="300">
        <f>-5000*31</f>
        <v>-155000</v>
      </c>
      <c r="G13" s="288"/>
      <c r="H13" s="301">
        <v>4.91</v>
      </c>
      <c r="I13" s="26">
        <f t="shared" si="0"/>
        <v>205375.00000000003</v>
      </c>
      <c r="J13" s="302">
        <f>+I13</f>
        <v>205375.00000000003</v>
      </c>
      <c r="K13" s="302"/>
      <c r="L13" s="357">
        <f>IF(K13=0,0,IF(A13&lt;(Summary!$K$3+365),ENA_13!K13,0))</f>
        <v>0</v>
      </c>
    </row>
    <row r="14" spans="1:12" x14ac:dyDescent="0.2">
      <c r="A14" s="23">
        <v>37043</v>
      </c>
      <c r="B14" s="14"/>
      <c r="C14" s="15" t="s">
        <v>61</v>
      </c>
      <c r="D14" s="24">
        <v>3.585</v>
      </c>
      <c r="E14" s="14"/>
      <c r="F14" s="300">
        <f>-5000*30</f>
        <v>-150000</v>
      </c>
      <c r="G14" s="288"/>
      <c r="H14" s="301">
        <v>3.82</v>
      </c>
      <c r="I14" s="26">
        <f t="shared" si="0"/>
        <v>35249.999999999978</v>
      </c>
      <c r="J14" s="303"/>
      <c r="K14" s="302">
        <f t="shared" ref="K14:K20" si="1">+I14</f>
        <v>35249.999999999978</v>
      </c>
      <c r="L14" s="357">
        <f>IF(K14=0,0,IF(A14&lt;(Summary!$K$3+365),ENA_13!K14,0))</f>
        <v>35249.999999999978</v>
      </c>
    </row>
    <row r="15" spans="1:12" x14ac:dyDescent="0.2">
      <c r="A15" s="23">
        <v>37073</v>
      </c>
      <c r="B15" s="14"/>
      <c r="C15" s="15" t="s">
        <v>61</v>
      </c>
      <c r="D15" s="24">
        <v>3.585</v>
      </c>
      <c r="E15" s="14"/>
      <c r="F15" s="300">
        <f>-5000*31</f>
        <v>-155000</v>
      </c>
      <c r="G15" s="288"/>
      <c r="H15" s="301">
        <f>+'[4]ELpaso SJ &amp; Prm'!$F49</f>
        <v>3.8740000000000001</v>
      </c>
      <c r="I15" s="26">
        <f t="shared" si="0"/>
        <v>44795.000000000022</v>
      </c>
      <c r="J15" s="303"/>
      <c r="K15" s="302">
        <f t="shared" si="1"/>
        <v>44795.000000000022</v>
      </c>
      <c r="L15" s="357">
        <f>IF(K15=0,0,IF(A15&lt;(Summary!$K$3+365),ENA_13!K15,0))</f>
        <v>44795.000000000022</v>
      </c>
    </row>
    <row r="16" spans="1:12" x14ac:dyDescent="0.2">
      <c r="A16" s="23">
        <v>37104</v>
      </c>
      <c r="B16" s="14"/>
      <c r="C16" s="15" t="s">
        <v>61</v>
      </c>
      <c r="D16" s="24">
        <v>3.585</v>
      </c>
      <c r="E16" s="14"/>
      <c r="F16" s="300">
        <f>-5000*31</f>
        <v>-155000</v>
      </c>
      <c r="G16" s="288"/>
      <c r="H16" s="301">
        <f>+'[4]ELpaso SJ &amp; Prm'!$F50</f>
        <v>3.9850000000000003</v>
      </c>
      <c r="I16" s="26">
        <f t="shared" si="0"/>
        <v>62000.000000000058</v>
      </c>
      <c r="J16" s="303"/>
      <c r="K16" s="302">
        <f t="shared" si="1"/>
        <v>62000.000000000058</v>
      </c>
      <c r="L16" s="357">
        <f>IF(K16=0,0,IF(A16&lt;(Summary!$K$3+365),ENA_13!K16,0))</f>
        <v>62000.000000000058</v>
      </c>
    </row>
    <row r="17" spans="1:12" x14ac:dyDescent="0.2">
      <c r="A17" s="23">
        <v>37135</v>
      </c>
      <c r="B17" s="14"/>
      <c r="C17" s="15" t="s">
        <v>61</v>
      </c>
      <c r="D17" s="24">
        <v>3.585</v>
      </c>
      <c r="E17" s="14"/>
      <c r="F17" s="300">
        <f>-5000*30</f>
        <v>-150000</v>
      </c>
      <c r="G17" s="288"/>
      <c r="H17" s="301">
        <f>+'[4]ELpaso SJ &amp; Prm'!$F51</f>
        <v>4.0120000000000005</v>
      </c>
      <c r="I17" s="26">
        <f t="shared" si="0"/>
        <v>64050.000000000073</v>
      </c>
      <c r="J17" s="303"/>
      <c r="K17" s="302">
        <f t="shared" si="1"/>
        <v>64050.000000000073</v>
      </c>
      <c r="L17" s="357">
        <f>IF(K17=0,0,IF(A17&lt;(Summary!$K$3+365),ENA_13!K17,0))</f>
        <v>64050.000000000073</v>
      </c>
    </row>
    <row r="18" spans="1:12" x14ac:dyDescent="0.2">
      <c r="A18" s="23">
        <v>37165</v>
      </c>
      <c r="B18" s="14"/>
      <c r="C18" s="15" t="s">
        <v>61</v>
      </c>
      <c r="D18" s="24">
        <v>3.585</v>
      </c>
      <c r="E18" s="14"/>
      <c r="F18" s="300">
        <f>-5000*31</f>
        <v>-155000</v>
      </c>
      <c r="G18" s="288"/>
      <c r="H18" s="301">
        <f>+'[4]ELpaso SJ &amp; Prm'!$F52</f>
        <v>4.0129999999999999</v>
      </c>
      <c r="I18" s="26">
        <f t="shared" si="0"/>
        <v>66339.999999999985</v>
      </c>
      <c r="J18" s="303"/>
      <c r="K18" s="302">
        <f t="shared" si="1"/>
        <v>66339.999999999985</v>
      </c>
      <c r="L18" s="357">
        <f>IF(K18=0,0,IF(A18&lt;(Summary!$K$3+365),ENA_13!K18,0))</f>
        <v>66339.999999999985</v>
      </c>
    </row>
    <row r="19" spans="1:12" x14ac:dyDescent="0.2">
      <c r="A19" s="23">
        <v>37196</v>
      </c>
      <c r="B19" s="14"/>
      <c r="C19" s="15" t="s">
        <v>61</v>
      </c>
      <c r="D19" s="24">
        <v>3.585</v>
      </c>
      <c r="E19" s="14"/>
      <c r="F19" s="300">
        <f>-5000*30</f>
        <v>-150000</v>
      </c>
      <c r="G19" s="288"/>
      <c r="H19" s="301">
        <f>+'[4]ELpaso SJ &amp; Prm'!$F53</f>
        <v>4.1974999999999998</v>
      </c>
      <c r="I19" s="26">
        <f t="shared" si="0"/>
        <v>91874.999999999971</v>
      </c>
      <c r="J19" s="303"/>
      <c r="K19" s="302">
        <f t="shared" si="1"/>
        <v>91874.999999999971</v>
      </c>
      <c r="L19" s="357">
        <f>IF(K19=0,0,IF(A19&lt;(Summary!$K$3+365),ENA_13!K19,0))</f>
        <v>91874.999999999971</v>
      </c>
    </row>
    <row r="20" spans="1:12" x14ac:dyDescent="0.2">
      <c r="A20" s="23">
        <v>37226</v>
      </c>
      <c r="B20" s="14"/>
      <c r="C20" s="15" t="s">
        <v>61</v>
      </c>
      <c r="D20" s="24">
        <v>3.585</v>
      </c>
      <c r="E20" s="14"/>
      <c r="F20" s="300">
        <f>-5000*31</f>
        <v>-155000</v>
      </c>
      <c r="G20" s="288"/>
      <c r="H20" s="301">
        <f>+'[4]ELpaso SJ &amp; Prm'!$F54</f>
        <v>4.3605</v>
      </c>
      <c r="I20" s="26">
        <f t="shared" si="0"/>
        <v>120202.50000000001</v>
      </c>
      <c r="J20" s="303"/>
      <c r="K20" s="302">
        <f t="shared" si="1"/>
        <v>120202.50000000001</v>
      </c>
      <c r="L20" s="357">
        <f>IF(K20=0,0,IF(A20&lt;(Summary!$K$3+365),ENA_13!K20,0))</f>
        <v>120202.50000000001</v>
      </c>
    </row>
    <row r="21" spans="1:12" x14ac:dyDescent="0.2">
      <c r="A21" s="23"/>
      <c r="B21" s="14"/>
      <c r="C21" s="15"/>
      <c r="D21" s="24"/>
      <c r="E21" s="14"/>
      <c r="F21" s="300"/>
      <c r="G21" s="288"/>
      <c r="H21" s="301"/>
      <c r="I21" s="26"/>
      <c r="J21" s="303"/>
      <c r="K21" s="302"/>
      <c r="L21" s="14"/>
    </row>
    <row r="22" spans="1:12" x14ac:dyDescent="0.2">
      <c r="A22" s="14"/>
      <c r="B22" s="14"/>
      <c r="C22" s="14"/>
      <c r="D22" s="14"/>
      <c r="E22" s="14"/>
      <c r="F22" s="287">
        <f>SUM(F9:F20)</f>
        <v>-1825000</v>
      </c>
      <c r="G22" s="288"/>
      <c r="H22" s="308">
        <f>AVERAGE(H9:H20)</f>
        <v>5.0051666666666668</v>
      </c>
      <c r="I22" s="289">
        <f>SUM(I9:I20)</f>
        <v>2580537.5</v>
      </c>
      <c r="J22" s="289">
        <f>SUM(J9:J20)</f>
        <v>2096025.0000000002</v>
      </c>
      <c r="K22" s="289">
        <f>SUM(K9:K20)</f>
        <v>484512.50000000012</v>
      </c>
      <c r="L22" s="289">
        <f>SUM(L9:L20)</f>
        <v>484512.50000000012</v>
      </c>
    </row>
    <row r="23" spans="1:12" x14ac:dyDescent="0.2">
      <c r="A23" s="14"/>
      <c r="B23" s="14"/>
      <c r="C23" s="14"/>
      <c r="D23" s="14"/>
      <c r="E23" s="14"/>
      <c r="F23" s="304"/>
      <c r="G23" s="288"/>
      <c r="H23" s="288"/>
      <c r="I23" s="305"/>
      <c r="J23" s="306"/>
      <c r="K23" s="306"/>
      <c r="L23" s="14"/>
    </row>
    <row r="24" spans="1:12" x14ac:dyDescent="0.2">
      <c r="A24" s="14"/>
      <c r="B24" s="14"/>
      <c r="C24" s="14"/>
      <c r="D24" s="14"/>
      <c r="E24" s="14"/>
      <c r="F24" s="288"/>
      <c r="G24" s="307" t="s">
        <v>45</v>
      </c>
      <c r="H24" s="308"/>
      <c r="I24" s="288"/>
      <c r="J24" s="303"/>
      <c r="K24" s="303"/>
      <c r="L24" s="14"/>
    </row>
    <row r="25" spans="1:12" x14ac:dyDescent="0.2">
      <c r="A25" s="14"/>
      <c r="B25" s="14"/>
      <c r="C25" s="14"/>
      <c r="D25" s="24"/>
      <c r="E25" s="14"/>
      <c r="F25" s="288"/>
      <c r="G25" s="309"/>
      <c r="H25" s="308"/>
      <c r="I25" s="288"/>
      <c r="J25" s="303"/>
      <c r="K25" s="303"/>
      <c r="L25" s="14"/>
    </row>
    <row r="26" spans="1:12" x14ac:dyDescent="0.2">
      <c r="A26" s="23">
        <v>36892</v>
      </c>
      <c r="B26" s="14"/>
      <c r="C26" s="15" t="s">
        <v>36</v>
      </c>
      <c r="D26" s="24">
        <v>3.585</v>
      </c>
      <c r="E26" s="14"/>
      <c r="F26" s="300">
        <f>5000*31</f>
        <v>155000</v>
      </c>
      <c r="G26" s="301"/>
      <c r="H26" s="301">
        <v>9.81</v>
      </c>
      <c r="I26" s="26">
        <f>(+D26-H26)*F26</f>
        <v>-964875.00000000012</v>
      </c>
      <c r="J26" s="302">
        <f>+I26</f>
        <v>-964875.00000000012</v>
      </c>
      <c r="K26" s="302"/>
      <c r="L26" s="357">
        <f>IF(K26=0,0,IF(A26&lt;(Summary!$K$3+365),ENA_13!K26,0))</f>
        <v>0</v>
      </c>
    </row>
    <row r="27" spans="1:12" x14ac:dyDescent="0.2">
      <c r="A27" s="23">
        <v>36923</v>
      </c>
      <c r="B27" s="14"/>
      <c r="C27" s="15" t="s">
        <v>36</v>
      </c>
      <c r="D27" s="24">
        <v>3.585</v>
      </c>
      <c r="E27" s="14"/>
      <c r="F27" s="300">
        <f>5000*28</f>
        <v>140000</v>
      </c>
      <c r="G27" s="310"/>
      <c r="H27" s="301">
        <v>6.65</v>
      </c>
      <c r="I27" s="26">
        <f t="shared" ref="I27:I37" si="2">(+D27-H27)*F27</f>
        <v>-429100.00000000006</v>
      </c>
      <c r="J27" s="302">
        <f>+I27</f>
        <v>-429100.00000000006</v>
      </c>
      <c r="K27" s="302"/>
      <c r="L27" s="357">
        <f>IF(K27=0,0,IF(A27&lt;(Summary!$K$3+365),ENA_13!K27,0))</f>
        <v>0</v>
      </c>
    </row>
    <row r="28" spans="1:12" x14ac:dyDescent="0.2">
      <c r="A28" s="23">
        <v>36951</v>
      </c>
      <c r="B28" s="14"/>
      <c r="C28" s="15" t="s">
        <v>36</v>
      </c>
      <c r="D28" s="24">
        <v>3.585</v>
      </c>
      <c r="E28" s="14"/>
      <c r="F28" s="300">
        <f>5000*31</f>
        <v>155000</v>
      </c>
      <c r="G28" s="310"/>
      <c r="H28" s="301">
        <v>5.12</v>
      </c>
      <c r="I28" s="26">
        <f t="shared" si="2"/>
        <v>-237925.00000000003</v>
      </c>
      <c r="J28" s="302">
        <f>+I28</f>
        <v>-237925.00000000003</v>
      </c>
      <c r="K28" s="302"/>
      <c r="L28" s="357">
        <f>IF(K28=0,0,IF(A28&lt;(Summary!$K$3+365),ENA_13!K28,0))</f>
        <v>0</v>
      </c>
    </row>
    <row r="29" spans="1:12" x14ac:dyDescent="0.2">
      <c r="A29" s="23">
        <v>36982</v>
      </c>
      <c r="B29" s="14"/>
      <c r="C29" s="15" t="s">
        <v>36</v>
      </c>
      <c r="D29" s="24">
        <v>3.585</v>
      </c>
      <c r="E29" s="14"/>
      <c r="F29" s="300">
        <f>5000*30</f>
        <v>150000</v>
      </c>
      <c r="G29" s="310"/>
      <c r="H29" s="301">
        <v>5.31</v>
      </c>
      <c r="I29" s="26">
        <f t="shared" si="2"/>
        <v>-258749.99999999994</v>
      </c>
      <c r="J29" s="302">
        <f>+I29</f>
        <v>-258749.99999999994</v>
      </c>
      <c r="K29" s="302"/>
      <c r="L29" s="357">
        <f>IF(K29=0,0,IF(A29&lt;(Summary!$K$3+365),ENA_13!K29,0))</f>
        <v>0</v>
      </c>
    </row>
    <row r="30" spans="1:12" x14ac:dyDescent="0.2">
      <c r="A30" s="23">
        <v>37012</v>
      </c>
      <c r="B30" s="14"/>
      <c r="C30" s="15" t="s">
        <v>36</v>
      </c>
      <c r="D30" s="24">
        <v>3.585</v>
      </c>
      <c r="E30" s="14"/>
      <c r="F30" s="300">
        <f>5000*31</f>
        <v>155000</v>
      </c>
      <c r="G30" s="288"/>
      <c r="H30" s="301">
        <v>4.91</v>
      </c>
      <c r="I30" s="26">
        <f t="shared" si="2"/>
        <v>-205375.00000000003</v>
      </c>
      <c r="J30" s="302">
        <f>+I30</f>
        <v>-205375.00000000003</v>
      </c>
      <c r="K30" s="302"/>
      <c r="L30" s="357">
        <f>IF(K30=0,0,IF(A30&lt;(Summary!$K$3+365),ENA_13!K30,0))</f>
        <v>0</v>
      </c>
    </row>
    <row r="31" spans="1:12" x14ac:dyDescent="0.2">
      <c r="A31" s="23">
        <v>37043</v>
      </c>
      <c r="B31" s="14"/>
      <c r="C31" s="15" t="s">
        <v>36</v>
      </c>
      <c r="D31" s="24">
        <v>3.585</v>
      </c>
      <c r="E31" s="14"/>
      <c r="F31" s="300">
        <f>5000*30</f>
        <v>150000</v>
      </c>
      <c r="G31" s="288"/>
      <c r="H31" s="301">
        <v>3.82</v>
      </c>
      <c r="I31" s="26">
        <f t="shared" si="2"/>
        <v>-35249.999999999978</v>
      </c>
      <c r="J31" s="303"/>
      <c r="K31" s="302">
        <f t="shared" ref="K31:K37" si="3">+I31</f>
        <v>-35249.999999999978</v>
      </c>
      <c r="L31" s="357">
        <f>IF(K31=0,0,IF(A31&lt;(Summary!$K$3+365),ENA_13!K31,0))</f>
        <v>-35249.999999999978</v>
      </c>
    </row>
    <row r="32" spans="1:12" x14ac:dyDescent="0.2">
      <c r="A32" s="23">
        <v>37073</v>
      </c>
      <c r="B32" s="14"/>
      <c r="C32" s="15" t="s">
        <v>36</v>
      </c>
      <c r="D32" s="24">
        <v>3.585</v>
      </c>
      <c r="E32" s="14"/>
      <c r="F32" s="300">
        <f>5000*31</f>
        <v>155000</v>
      </c>
      <c r="G32" s="288"/>
      <c r="H32" s="301">
        <f>+'[4]ELpaso SJ &amp; Prm'!$G49</f>
        <v>3.8815</v>
      </c>
      <c r="I32" s="26">
        <f t="shared" si="2"/>
        <v>-45957.5</v>
      </c>
      <c r="J32" s="303"/>
      <c r="K32" s="302">
        <f t="shared" si="3"/>
        <v>-45957.5</v>
      </c>
      <c r="L32" s="357">
        <f>IF(K32=0,0,IF(A32&lt;(Summary!$K$3+365),ENA_13!K32,0))</f>
        <v>-45957.5</v>
      </c>
    </row>
    <row r="33" spans="1:12" x14ac:dyDescent="0.2">
      <c r="A33" s="23">
        <v>37104</v>
      </c>
      <c r="B33" s="14"/>
      <c r="C33" s="15" t="s">
        <v>36</v>
      </c>
      <c r="D33" s="24">
        <v>3.585</v>
      </c>
      <c r="E33" s="14"/>
      <c r="F33" s="300">
        <f>5000*31</f>
        <v>155000</v>
      </c>
      <c r="G33" s="288"/>
      <c r="H33" s="301">
        <f>+'[4]ELpaso SJ &amp; Prm'!$G50</f>
        <v>3.9925000000000002</v>
      </c>
      <c r="I33" s="26">
        <f t="shared" si="2"/>
        <v>-63162.500000000029</v>
      </c>
      <c r="J33" s="303"/>
      <c r="K33" s="302">
        <f t="shared" si="3"/>
        <v>-63162.500000000029</v>
      </c>
      <c r="L33" s="357">
        <f>IF(K33=0,0,IF(A33&lt;(Summary!$K$3+365),ENA_13!K33,0))</f>
        <v>-63162.500000000029</v>
      </c>
    </row>
    <row r="34" spans="1:12" x14ac:dyDescent="0.2">
      <c r="A34" s="23">
        <v>37135</v>
      </c>
      <c r="B34" s="14"/>
      <c r="C34" s="15" t="s">
        <v>36</v>
      </c>
      <c r="D34" s="24">
        <v>3.585</v>
      </c>
      <c r="E34" s="14"/>
      <c r="F34" s="300">
        <f>5000*30</f>
        <v>150000</v>
      </c>
      <c r="G34" s="288"/>
      <c r="H34" s="301">
        <f>+'[4]ELpaso SJ &amp; Prm'!$G51</f>
        <v>4.0195000000000007</v>
      </c>
      <c r="I34" s="26">
        <f t="shared" si="2"/>
        <v>-65175.000000000116</v>
      </c>
      <c r="J34" s="303"/>
      <c r="K34" s="302">
        <f t="shared" si="3"/>
        <v>-65175.000000000116</v>
      </c>
      <c r="L34" s="357">
        <f>IF(K34=0,0,IF(A34&lt;(Summary!$K$3+365),ENA_13!K34,0))</f>
        <v>-65175.000000000116</v>
      </c>
    </row>
    <row r="35" spans="1:12" x14ac:dyDescent="0.2">
      <c r="A35" s="23">
        <v>37165</v>
      </c>
      <c r="B35" s="14"/>
      <c r="C35" s="15" t="s">
        <v>36</v>
      </c>
      <c r="D35" s="24">
        <v>3.585</v>
      </c>
      <c r="E35" s="14"/>
      <c r="F35" s="300">
        <f>5000*31</f>
        <v>155000</v>
      </c>
      <c r="G35" s="288"/>
      <c r="H35" s="301">
        <f>+'[4]ELpaso SJ &amp; Prm'!$G52</f>
        <v>4.0205000000000002</v>
      </c>
      <c r="I35" s="26">
        <f t="shared" si="2"/>
        <v>-67502.500000000029</v>
      </c>
      <c r="J35" s="303"/>
      <c r="K35" s="302">
        <f t="shared" si="3"/>
        <v>-67502.500000000029</v>
      </c>
      <c r="L35" s="357">
        <f>IF(K35=0,0,IF(A35&lt;(Summary!$K$3+365),ENA_13!K35,0))</f>
        <v>-67502.500000000029</v>
      </c>
    </row>
    <row r="36" spans="1:12" x14ac:dyDescent="0.2">
      <c r="A36" s="23">
        <v>37196</v>
      </c>
      <c r="B36" s="14"/>
      <c r="C36" s="15" t="s">
        <v>36</v>
      </c>
      <c r="D36" s="24">
        <v>3.585</v>
      </c>
      <c r="E36" s="14"/>
      <c r="F36" s="300">
        <f>5000*30</f>
        <v>150000</v>
      </c>
      <c r="G36" s="288"/>
      <c r="H36" s="301">
        <f>+'[4]ELpaso SJ &amp; Prm'!$G53</f>
        <v>4.2124999999999995</v>
      </c>
      <c r="I36" s="26">
        <f t="shared" si="2"/>
        <v>-94124.999999999927</v>
      </c>
      <c r="J36" s="303"/>
      <c r="K36" s="302">
        <f t="shared" si="3"/>
        <v>-94124.999999999927</v>
      </c>
      <c r="L36" s="357">
        <f>IF(K36=0,0,IF(A36&lt;(Summary!$K$3+365),ENA_13!K36,0))</f>
        <v>-94124.999999999927</v>
      </c>
    </row>
    <row r="37" spans="1:12" x14ac:dyDescent="0.2">
      <c r="A37" s="23">
        <v>37226</v>
      </c>
      <c r="B37" s="14"/>
      <c r="C37" s="15" t="s">
        <v>36</v>
      </c>
      <c r="D37" s="24">
        <v>3.585</v>
      </c>
      <c r="E37" s="14"/>
      <c r="F37" s="300">
        <f>5000*31</f>
        <v>155000</v>
      </c>
      <c r="G37" s="288"/>
      <c r="H37" s="301">
        <f>+'[4]ELpaso SJ &amp; Prm'!$G54</f>
        <v>4.3754999999999997</v>
      </c>
      <c r="I37" s="26">
        <f t="shared" si="2"/>
        <v>-122527.49999999996</v>
      </c>
      <c r="J37" s="303"/>
      <c r="K37" s="302">
        <f t="shared" si="3"/>
        <v>-122527.49999999996</v>
      </c>
      <c r="L37" s="357">
        <f>IF(K37=0,0,IF(A37&lt;(Summary!$K$3+365),ENA_13!K37,0))</f>
        <v>-122527.49999999996</v>
      </c>
    </row>
    <row r="38" spans="1:12" x14ac:dyDescent="0.2">
      <c r="A38" s="23"/>
      <c r="B38" s="14"/>
      <c r="C38" s="15"/>
      <c r="D38" s="24"/>
      <c r="E38" s="14"/>
      <c r="F38" s="300"/>
      <c r="G38" s="288"/>
      <c r="H38" s="301"/>
      <c r="I38" s="26"/>
      <c r="J38" s="303"/>
      <c r="K38" s="302"/>
      <c r="L38" s="330"/>
    </row>
    <row r="39" spans="1:12" x14ac:dyDescent="0.2">
      <c r="A39" s="14"/>
      <c r="B39" s="14"/>
      <c r="C39" s="14"/>
      <c r="D39" s="14"/>
      <c r="E39" s="14"/>
      <c r="F39" s="287">
        <f>SUM(F26:F38)</f>
        <v>1825000</v>
      </c>
      <c r="G39" s="288"/>
      <c r="H39" s="308">
        <f>AVERAGE(H26:H37)</f>
        <v>5.0101666666666667</v>
      </c>
      <c r="I39" s="311">
        <f>SUM(I26:I38)</f>
        <v>-2589725</v>
      </c>
      <c r="J39" s="311">
        <f>SUM(J26:J38)</f>
        <v>-2096025.0000000002</v>
      </c>
      <c r="K39" s="311">
        <f>SUM(K26:K38)</f>
        <v>-493700</v>
      </c>
      <c r="L39" s="311">
        <f>SUM(L26:L38)</f>
        <v>-493700</v>
      </c>
    </row>
    <row r="40" spans="1:12" x14ac:dyDescent="0.2">
      <c r="A40" s="14"/>
      <c r="B40" s="14"/>
      <c r="C40" s="14"/>
      <c r="D40" s="14"/>
      <c r="E40" s="14"/>
      <c r="F40" s="288"/>
      <c r="G40" s="288"/>
      <c r="H40" s="288"/>
      <c r="I40" s="288"/>
      <c r="J40" s="303"/>
      <c r="K40" s="303"/>
      <c r="L40" s="303"/>
    </row>
    <row r="41" spans="1:12" ht="13.5" thickBot="1" x14ac:dyDescent="0.25">
      <c r="A41" s="14"/>
      <c r="B41" s="14"/>
      <c r="C41" s="14"/>
      <c r="D41" s="14"/>
      <c r="E41" s="14"/>
      <c r="F41" s="312">
        <f>+F39+F22</f>
        <v>0</v>
      </c>
      <c r="G41" s="288"/>
      <c r="H41" s="288"/>
      <c r="I41" s="313">
        <f>+I39+I22</f>
        <v>-9187.5</v>
      </c>
      <c r="J41" s="313">
        <f>+J39+J22</f>
        <v>0</v>
      </c>
      <c r="K41" s="313">
        <f>+K39+K22</f>
        <v>-9187.4999999998836</v>
      </c>
      <c r="L41" s="313">
        <f>+L39+L22</f>
        <v>-9187.4999999998836</v>
      </c>
    </row>
    <row r="42" spans="1:12" ht="13.5" thickTop="1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9"/>
      <c r="K42" s="29"/>
      <c r="L42" s="29"/>
    </row>
    <row r="44" spans="1:12" x14ac:dyDescent="0.2">
      <c r="A44" s="22" t="s">
        <v>37</v>
      </c>
    </row>
  </sheetData>
  <phoneticPr fontId="0" type="noConversion"/>
  <pageMargins left="0.75" right="0.75" top="1" bottom="1" header="0.5" footer="0.5"/>
  <pageSetup scale="81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zoomScale="75" workbookViewId="0">
      <selection activeCell="H14" sqref="H14"/>
    </sheetView>
  </sheetViews>
  <sheetFormatPr defaultRowHeight="12.75" x14ac:dyDescent="0.2"/>
  <cols>
    <col min="1" max="1" width="7.140625" customWidth="1"/>
    <col min="2" max="2" width="10.28515625" customWidth="1"/>
    <col min="3" max="3" width="20.42578125" customWidth="1"/>
    <col min="4" max="4" width="8.7109375" customWidth="1"/>
    <col min="5" max="5" width="0" hidden="1" customWidth="1"/>
    <col min="6" max="6" width="13.140625" customWidth="1"/>
    <col min="7" max="7" width="16.5703125" customWidth="1"/>
    <col min="8" max="8" width="9.7109375" customWidth="1"/>
    <col min="9" max="9" width="16.7109375" bestFit="1" customWidth="1"/>
    <col min="10" max="10" width="9.85546875" customWidth="1"/>
    <col min="11" max="11" width="16.7109375" bestFit="1" customWidth="1"/>
    <col min="12" max="12" width="17.28515625" bestFit="1" customWidth="1"/>
  </cols>
  <sheetData>
    <row r="1" spans="1:12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200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3"/>
      <c r="B4" s="3"/>
      <c r="C4" s="3"/>
      <c r="D4" s="3"/>
      <c r="E4" s="3"/>
      <c r="F4" s="3"/>
      <c r="G4" s="3"/>
      <c r="H4" s="3"/>
      <c r="I4" s="3"/>
    </row>
    <row r="6" spans="1:12" s="7" customFormat="1" x14ac:dyDescent="0.2">
      <c r="A6" s="319" t="s">
        <v>39</v>
      </c>
      <c r="B6" s="290" t="s">
        <v>3</v>
      </c>
      <c r="C6" s="290" t="s">
        <v>3</v>
      </c>
      <c r="D6" s="290" t="s">
        <v>31</v>
      </c>
      <c r="E6" s="290"/>
      <c r="F6" s="290" t="s">
        <v>7</v>
      </c>
      <c r="G6" s="290" t="s">
        <v>41</v>
      </c>
      <c r="H6" s="290" t="s">
        <v>25</v>
      </c>
      <c r="I6" s="291" t="s">
        <v>42</v>
      </c>
      <c r="J6" s="292"/>
      <c r="K6" s="293"/>
    </row>
    <row r="7" spans="1:12" s="7" customFormat="1" x14ac:dyDescent="0.2">
      <c r="A7" s="320" t="s">
        <v>43</v>
      </c>
      <c r="B7" s="294" t="s">
        <v>9</v>
      </c>
      <c r="C7" s="294" t="s">
        <v>8</v>
      </c>
      <c r="D7" s="294" t="s">
        <v>40</v>
      </c>
      <c r="E7" s="294"/>
      <c r="F7" s="294" t="s">
        <v>44</v>
      </c>
      <c r="G7" s="294" t="s">
        <v>12</v>
      </c>
      <c r="H7" s="294" t="s">
        <v>77</v>
      </c>
      <c r="I7" s="294" t="s">
        <v>19</v>
      </c>
      <c r="J7" s="294" t="s">
        <v>20</v>
      </c>
      <c r="K7" s="295" t="s">
        <v>21</v>
      </c>
    </row>
    <row r="8" spans="1:12" x14ac:dyDescent="0.2">
      <c r="A8" s="321"/>
      <c r="B8" s="296"/>
      <c r="C8" s="296"/>
      <c r="D8" s="147" t="s">
        <v>12</v>
      </c>
      <c r="E8" s="296"/>
      <c r="F8" s="296"/>
      <c r="G8" s="297" t="s">
        <v>45</v>
      </c>
      <c r="H8" s="147" t="s">
        <v>12</v>
      </c>
      <c r="I8" s="298" t="s">
        <v>24</v>
      </c>
      <c r="J8" s="298" t="s">
        <v>24</v>
      </c>
      <c r="K8" s="299" t="s">
        <v>24</v>
      </c>
      <c r="L8" s="384" t="s">
        <v>207</v>
      </c>
    </row>
    <row r="9" spans="1:12" x14ac:dyDescent="0.2">
      <c r="A9" s="326">
        <v>37257</v>
      </c>
      <c r="B9" s="288"/>
      <c r="C9" s="327" t="s">
        <v>31</v>
      </c>
      <c r="D9" s="301">
        <v>5.05</v>
      </c>
      <c r="E9" s="288"/>
      <c r="F9" s="300">
        <f>-5000*31</f>
        <v>-155000</v>
      </c>
      <c r="G9" s="301"/>
      <c r="H9" s="301">
        <f>+'[4]ELpaso SJ &amp; Prm'!$F55</f>
        <v>4.4284999999999997</v>
      </c>
      <c r="I9" s="26">
        <f t="shared" ref="I9:I20" si="0">SUM(D9-H9)*F9</f>
        <v>-96332.500000000029</v>
      </c>
      <c r="J9" s="302"/>
      <c r="K9" s="302">
        <f>+I9</f>
        <v>-96332.500000000029</v>
      </c>
      <c r="L9" s="357">
        <f>IF(K9=0,0,IF(A9&lt;(Summary!$K$3+365),K9,0))</f>
        <v>-96332.500000000029</v>
      </c>
    </row>
    <row r="10" spans="1:12" x14ac:dyDescent="0.2">
      <c r="A10" s="326">
        <v>37288</v>
      </c>
      <c r="B10" s="288"/>
      <c r="C10" s="327" t="s">
        <v>31</v>
      </c>
      <c r="D10" s="301">
        <v>5.05</v>
      </c>
      <c r="E10" s="288"/>
      <c r="F10" s="300">
        <f>-5000*28</f>
        <v>-140000</v>
      </c>
      <c r="G10" s="301"/>
      <c r="H10" s="301">
        <f>+'[4]ELpaso SJ &amp; Prm'!$F56</f>
        <v>4.3114999999999997</v>
      </c>
      <c r="I10" s="26">
        <f t="shared" si="0"/>
        <v>-103390.00000000003</v>
      </c>
      <c r="J10" s="302"/>
      <c r="K10" s="302">
        <f>+I10</f>
        <v>-103390.00000000003</v>
      </c>
      <c r="L10" s="357">
        <f>IF(K10=0,0,IF(A10&lt;(Summary!$K$3+365),K10,0))</f>
        <v>-103390.00000000003</v>
      </c>
    </row>
    <row r="11" spans="1:12" x14ac:dyDescent="0.2">
      <c r="A11" s="326">
        <v>37316</v>
      </c>
      <c r="B11" s="288"/>
      <c r="C11" s="327" t="s">
        <v>31</v>
      </c>
      <c r="D11" s="301">
        <v>5.05</v>
      </c>
      <c r="E11" s="288"/>
      <c r="F11" s="300">
        <f>-5000*31</f>
        <v>-155000</v>
      </c>
      <c r="G11" s="301"/>
      <c r="H11" s="301">
        <f>+'[4]ELpaso SJ &amp; Prm'!$F57</f>
        <v>4.1425000000000001</v>
      </c>
      <c r="I11" s="26">
        <f t="shared" si="0"/>
        <v>-140662.49999999997</v>
      </c>
      <c r="J11" s="302"/>
      <c r="K11" s="302">
        <f>+I11</f>
        <v>-140662.49999999997</v>
      </c>
      <c r="L11" s="357">
        <f>IF(K11=0,0,IF(A11&lt;(Summary!$K$3+365),K11,0))</f>
        <v>-140662.49999999997</v>
      </c>
    </row>
    <row r="12" spans="1:12" x14ac:dyDescent="0.2">
      <c r="A12" s="326">
        <v>37347</v>
      </c>
      <c r="B12" s="288"/>
      <c r="C12" s="327" t="s">
        <v>31</v>
      </c>
      <c r="D12" s="301">
        <v>5.05</v>
      </c>
      <c r="E12" s="288"/>
      <c r="F12" s="300">
        <f>-5000*30</f>
        <v>-150000</v>
      </c>
      <c r="G12" s="301"/>
      <c r="H12" s="301">
        <f>+'[4]ELpaso SJ &amp; Prm'!$F58</f>
        <v>3.8000000000000003</v>
      </c>
      <c r="I12" s="26">
        <f t="shared" si="0"/>
        <v>-187499.99999999994</v>
      </c>
      <c r="J12" s="302"/>
      <c r="K12" s="302">
        <f t="shared" ref="K12:K20" si="1">+I12</f>
        <v>-187499.99999999994</v>
      </c>
      <c r="L12" s="357">
        <f>IF(K12=0,0,IF(A12&lt;(Summary!$K$3+365),K12,0))</f>
        <v>-187499.99999999994</v>
      </c>
    </row>
    <row r="13" spans="1:12" x14ac:dyDescent="0.2">
      <c r="A13" s="326">
        <v>37377</v>
      </c>
      <c r="B13" s="288"/>
      <c r="C13" s="327" t="s">
        <v>31</v>
      </c>
      <c r="D13" s="301">
        <v>5.05</v>
      </c>
      <c r="E13" s="288"/>
      <c r="F13" s="300">
        <f>-5000*31</f>
        <v>-155000</v>
      </c>
      <c r="G13" s="288"/>
      <c r="H13" s="301">
        <f>+'[4]ELpaso SJ &amp; Prm'!$F59</f>
        <v>3.7250000000000001</v>
      </c>
      <c r="I13" s="26">
        <f t="shared" si="0"/>
        <v>-205374.99999999997</v>
      </c>
      <c r="J13" s="303"/>
      <c r="K13" s="302">
        <f t="shared" si="1"/>
        <v>-205374.99999999997</v>
      </c>
      <c r="L13" s="357">
        <f>IF(K13=0,0,IF(A13&lt;(Summary!$K$3+365),K13,0))</f>
        <v>-205374.99999999997</v>
      </c>
    </row>
    <row r="14" spans="1:12" x14ac:dyDescent="0.2">
      <c r="A14" s="326">
        <v>37408</v>
      </c>
      <c r="B14" s="288"/>
      <c r="C14" s="327" t="s">
        <v>31</v>
      </c>
      <c r="D14" s="301">
        <v>5.05</v>
      </c>
      <c r="E14" s="288"/>
      <c r="F14" s="300">
        <f>-5000*30</f>
        <v>-150000</v>
      </c>
      <c r="G14" s="288"/>
      <c r="H14" s="301">
        <f>+'[4]ELpaso SJ &amp; Prm'!$F60</f>
        <v>3.77</v>
      </c>
      <c r="I14" s="26">
        <f t="shared" si="0"/>
        <v>-191999.99999999997</v>
      </c>
      <c r="J14" s="303"/>
      <c r="K14" s="302">
        <f t="shared" si="1"/>
        <v>-191999.99999999997</v>
      </c>
      <c r="L14" s="357">
        <f>IF(K14=0,0,IF(A14&lt;(Summary!$K$3+365),K14,0))</f>
        <v>0</v>
      </c>
    </row>
    <row r="15" spans="1:12" x14ac:dyDescent="0.2">
      <c r="A15" s="326">
        <v>37438</v>
      </c>
      <c r="B15" s="288"/>
      <c r="C15" s="327" t="s">
        <v>31</v>
      </c>
      <c r="D15" s="301">
        <v>5.05</v>
      </c>
      <c r="E15" s="288"/>
      <c r="F15" s="300">
        <f>-5000*31</f>
        <v>-155000</v>
      </c>
      <c r="G15" s="288"/>
      <c r="H15" s="301">
        <f>+'[4]ELpaso SJ &amp; Prm'!$F61</f>
        <v>3.8050000000000002</v>
      </c>
      <c r="I15" s="26">
        <f t="shared" si="0"/>
        <v>-192974.99999999994</v>
      </c>
      <c r="J15" s="303"/>
      <c r="K15" s="302">
        <f t="shared" si="1"/>
        <v>-192974.99999999994</v>
      </c>
      <c r="L15" s="357">
        <f>IF(K15=0,0,IF(A15&lt;(Summary!$K$3+365),K15,0))</f>
        <v>0</v>
      </c>
    </row>
    <row r="16" spans="1:12" x14ac:dyDescent="0.2">
      <c r="A16" s="326">
        <v>37469</v>
      </c>
      <c r="B16" s="288"/>
      <c r="C16" s="327" t="s">
        <v>31</v>
      </c>
      <c r="D16" s="301">
        <v>5.05</v>
      </c>
      <c r="E16" s="288"/>
      <c r="F16" s="300">
        <f>-5000*31</f>
        <v>-155000</v>
      </c>
      <c r="G16" s="288"/>
      <c r="H16" s="301">
        <f>+'[4]ELpaso SJ &amp; Prm'!$F62</f>
        <v>3.8250000000000002</v>
      </c>
      <c r="I16" s="26">
        <f t="shared" si="0"/>
        <v>-189874.99999999994</v>
      </c>
      <c r="J16" s="303"/>
      <c r="K16" s="302">
        <f t="shared" si="1"/>
        <v>-189874.99999999994</v>
      </c>
      <c r="L16" s="357">
        <f>IF(K16=0,0,IF(A16&lt;(Summary!$K$3+365),K16,0))</f>
        <v>0</v>
      </c>
    </row>
    <row r="17" spans="1:12" x14ac:dyDescent="0.2">
      <c r="A17" s="326">
        <v>37500</v>
      </c>
      <c r="B17" s="288"/>
      <c r="C17" s="327" t="s">
        <v>31</v>
      </c>
      <c r="D17" s="301">
        <v>5.05</v>
      </c>
      <c r="E17" s="288"/>
      <c r="F17" s="300">
        <f>-5000*30</f>
        <v>-150000</v>
      </c>
      <c r="G17" s="288"/>
      <c r="H17" s="301">
        <f>+'[4]ELpaso SJ &amp; Prm'!$F63</f>
        <v>3.8420000000000001</v>
      </c>
      <c r="I17" s="26">
        <f t="shared" si="0"/>
        <v>-181199.99999999997</v>
      </c>
      <c r="J17" s="303"/>
      <c r="K17" s="302">
        <f t="shared" si="1"/>
        <v>-181199.99999999997</v>
      </c>
      <c r="L17" s="357">
        <f>IF(K17=0,0,IF(A17&lt;(Summary!$K$3+365),K17,0))</f>
        <v>0</v>
      </c>
    </row>
    <row r="18" spans="1:12" x14ac:dyDescent="0.2">
      <c r="A18" s="326">
        <v>37530</v>
      </c>
      <c r="B18" s="288"/>
      <c r="C18" s="327" t="s">
        <v>31</v>
      </c>
      <c r="D18" s="301">
        <v>5.05</v>
      </c>
      <c r="E18" s="288"/>
      <c r="F18" s="300">
        <f>-5000*31</f>
        <v>-155000</v>
      </c>
      <c r="G18" s="288"/>
      <c r="H18" s="301">
        <f>+'[4]ELpaso SJ &amp; Prm'!$F64</f>
        <v>3.8590000000000004</v>
      </c>
      <c r="I18" s="26">
        <f t="shared" si="0"/>
        <v>-184604.99999999991</v>
      </c>
      <c r="J18" s="303"/>
      <c r="K18" s="302">
        <f t="shared" si="1"/>
        <v>-184604.99999999991</v>
      </c>
      <c r="L18" s="357">
        <f>IF(K18=0,0,IF(A18&lt;(Summary!$K$3+365),K18,0))</f>
        <v>0</v>
      </c>
    </row>
    <row r="19" spans="1:12" x14ac:dyDescent="0.2">
      <c r="A19" s="326">
        <v>37561</v>
      </c>
      <c r="B19" s="288"/>
      <c r="C19" s="327" t="s">
        <v>31</v>
      </c>
      <c r="D19" s="301">
        <v>5.05</v>
      </c>
      <c r="E19" s="288"/>
      <c r="F19" s="300">
        <f>-5000*30</f>
        <v>-150000</v>
      </c>
      <c r="G19" s="288"/>
      <c r="H19" s="301">
        <f>+'[4]ELpaso SJ &amp; Prm'!$F65</f>
        <v>3.9939999999999998</v>
      </c>
      <c r="I19" s="26">
        <f t="shared" si="0"/>
        <v>-158400</v>
      </c>
      <c r="J19" s="303"/>
      <c r="K19" s="302">
        <f t="shared" si="1"/>
        <v>-158400</v>
      </c>
      <c r="L19" s="357">
        <f>IF(K19=0,0,IF(A19&lt;(Summary!$K$3+365),K19,0))</f>
        <v>0</v>
      </c>
    </row>
    <row r="20" spans="1:12" x14ac:dyDescent="0.2">
      <c r="A20" s="326">
        <v>37591</v>
      </c>
      <c r="B20" s="288"/>
      <c r="C20" s="327" t="s">
        <v>31</v>
      </c>
      <c r="D20" s="301">
        <v>5.05</v>
      </c>
      <c r="E20" s="288"/>
      <c r="F20" s="300">
        <f>-5000*31</f>
        <v>-155000</v>
      </c>
      <c r="G20" s="288"/>
      <c r="H20" s="301">
        <f>+'[4]ELpaso SJ &amp; Prm'!$F66</f>
        <v>4.1239999999999997</v>
      </c>
      <c r="I20" s="26">
        <f t="shared" si="0"/>
        <v>-143530.00000000003</v>
      </c>
      <c r="J20" s="303"/>
      <c r="K20" s="302">
        <f t="shared" si="1"/>
        <v>-143530.00000000003</v>
      </c>
      <c r="L20" s="357">
        <f>IF(K20=0,0,IF(A20&lt;(Summary!$K$3+365),K20,0))</f>
        <v>0</v>
      </c>
    </row>
    <row r="21" spans="1:12" x14ac:dyDescent="0.2">
      <c r="A21" s="326"/>
      <c r="B21" s="288"/>
      <c r="C21" s="327"/>
      <c r="D21" s="301"/>
      <c r="E21" s="288"/>
      <c r="F21" s="300"/>
      <c r="G21" s="288"/>
      <c r="H21" s="301"/>
      <c r="I21" s="26"/>
      <c r="J21" s="303"/>
      <c r="K21" s="302"/>
      <c r="L21" s="14"/>
    </row>
    <row r="22" spans="1:12" x14ac:dyDescent="0.2">
      <c r="A22" s="288"/>
      <c r="B22" s="288"/>
      <c r="C22" s="288"/>
      <c r="D22" s="308">
        <f>AVERAGE(D9:D20)</f>
        <v>5.0499999999999989</v>
      </c>
      <c r="E22" s="288"/>
      <c r="F22" s="287">
        <f>SUM(F9:F20)</f>
        <v>-1825000</v>
      </c>
      <c r="G22" s="288"/>
      <c r="H22" s="308">
        <f>AVERAGE(H9:H20)</f>
        <v>3.9688750000000002</v>
      </c>
      <c r="I22" s="289">
        <f>SUM(I9:I20)</f>
        <v>-1975845</v>
      </c>
      <c r="J22" s="289">
        <f>SUM(J9:J20)</f>
        <v>0</v>
      </c>
      <c r="K22" s="289">
        <f>SUM(K9:K20)</f>
        <v>-1975845</v>
      </c>
      <c r="L22" s="289">
        <f>SUM(L9:L20)</f>
        <v>-733260</v>
      </c>
    </row>
    <row r="23" spans="1:12" x14ac:dyDescent="0.2">
      <c r="A23" s="288"/>
      <c r="B23" s="288"/>
      <c r="C23" s="288"/>
      <c r="D23" s="288"/>
      <c r="E23" s="288"/>
      <c r="F23" s="304"/>
      <c r="G23" s="288"/>
      <c r="H23" s="288"/>
      <c r="I23" s="305"/>
      <c r="J23" s="306"/>
      <c r="K23" s="306"/>
      <c r="L23" s="14"/>
    </row>
    <row r="24" spans="1:12" x14ac:dyDescent="0.2">
      <c r="A24" s="288"/>
      <c r="B24" s="288"/>
      <c r="C24" s="288"/>
      <c r="D24" s="288"/>
      <c r="E24" s="288"/>
      <c r="F24" s="288"/>
      <c r="G24" s="307" t="s">
        <v>45</v>
      </c>
      <c r="H24" s="308"/>
      <c r="I24" s="288"/>
      <c r="J24" s="303"/>
      <c r="K24" s="303"/>
      <c r="L24" s="14"/>
    </row>
    <row r="25" spans="1:12" x14ac:dyDescent="0.2">
      <c r="A25" s="288"/>
      <c r="B25" s="288"/>
      <c r="C25" s="288"/>
      <c r="D25" s="301"/>
      <c r="E25" s="288"/>
      <c r="F25" s="288"/>
      <c r="G25" s="309"/>
      <c r="H25" s="308"/>
      <c r="I25" s="288"/>
      <c r="J25" s="303"/>
      <c r="K25" s="303"/>
      <c r="L25" s="14"/>
    </row>
    <row r="26" spans="1:12" x14ac:dyDescent="0.2">
      <c r="A26" s="326">
        <v>37257</v>
      </c>
      <c r="B26" s="288">
        <v>22948</v>
      </c>
      <c r="C26" s="328" t="s">
        <v>201</v>
      </c>
      <c r="D26" s="301">
        <v>5.05</v>
      </c>
      <c r="E26" s="288"/>
      <c r="F26" s="300">
        <f>5000*31</f>
        <v>155000</v>
      </c>
      <c r="G26" s="301"/>
      <c r="H26" s="301">
        <f>+'[4]ELpaso SJ &amp; Prm'!$G55</f>
        <v>4.4434999999999993</v>
      </c>
      <c r="I26" s="26">
        <f t="shared" ref="I26:I37" si="2">(+D26-H26)*F26</f>
        <v>94007.500000000073</v>
      </c>
      <c r="J26" s="302"/>
      <c r="K26" s="302">
        <f>+I26</f>
        <v>94007.500000000073</v>
      </c>
      <c r="L26" s="357">
        <f>IF(K26=0,0,IF(A26&lt;(Summary!$K$3+365),K26,0))</f>
        <v>94007.500000000073</v>
      </c>
    </row>
    <row r="27" spans="1:12" x14ac:dyDescent="0.2">
      <c r="A27" s="326">
        <v>37288</v>
      </c>
      <c r="B27" s="288">
        <v>22948</v>
      </c>
      <c r="C27" s="328" t="s">
        <v>201</v>
      </c>
      <c r="D27" s="301">
        <v>5.05</v>
      </c>
      <c r="E27" s="288"/>
      <c r="F27" s="300">
        <f>5000*28</f>
        <v>140000</v>
      </c>
      <c r="G27" s="301"/>
      <c r="H27" s="301">
        <f>+'[4]ELpaso SJ &amp; Prm'!$G56</f>
        <v>4.3264999999999993</v>
      </c>
      <c r="I27" s="26">
        <f t="shared" si="2"/>
        <v>101290.00000000007</v>
      </c>
      <c r="J27" s="302"/>
      <c r="K27" s="302">
        <f>+I27</f>
        <v>101290.00000000007</v>
      </c>
      <c r="L27" s="357">
        <f>IF(K27=0,0,IF(A27&lt;(Summary!$K$3+365),K27,0))</f>
        <v>101290.00000000007</v>
      </c>
    </row>
    <row r="28" spans="1:12" x14ac:dyDescent="0.2">
      <c r="A28" s="326">
        <v>37316</v>
      </c>
      <c r="B28" s="288">
        <v>22948</v>
      </c>
      <c r="C28" s="328" t="s">
        <v>201</v>
      </c>
      <c r="D28" s="301">
        <v>5.05</v>
      </c>
      <c r="E28" s="288"/>
      <c r="F28" s="300">
        <f>5000*31</f>
        <v>155000</v>
      </c>
      <c r="G28" s="301"/>
      <c r="H28" s="301">
        <f>+'[4]ELpaso SJ &amp; Prm'!$G57</f>
        <v>4.1574999999999998</v>
      </c>
      <c r="I28" s="26">
        <f t="shared" si="2"/>
        <v>138337.5</v>
      </c>
      <c r="J28" s="302"/>
      <c r="K28" s="302">
        <f>+I28</f>
        <v>138337.5</v>
      </c>
      <c r="L28" s="357">
        <f>IF(K28=0,0,IF(A28&lt;(Summary!$K$3+365),K28,0))</f>
        <v>138337.5</v>
      </c>
    </row>
    <row r="29" spans="1:12" x14ac:dyDescent="0.2">
      <c r="A29" s="326">
        <v>37347</v>
      </c>
      <c r="B29" s="288">
        <v>22948</v>
      </c>
      <c r="C29" s="328" t="s">
        <v>201</v>
      </c>
      <c r="D29" s="301">
        <v>5.05</v>
      </c>
      <c r="E29" s="288"/>
      <c r="F29" s="300">
        <f>5000*30</f>
        <v>150000</v>
      </c>
      <c r="G29" s="301"/>
      <c r="H29" s="301">
        <f>+'[4]ELpaso SJ &amp; Prm'!$G58</f>
        <v>3.81</v>
      </c>
      <c r="I29" s="26">
        <f t="shared" si="2"/>
        <v>185999.99999999997</v>
      </c>
      <c r="J29" s="302"/>
      <c r="K29" s="302">
        <f t="shared" ref="K29:K37" si="3">+I29</f>
        <v>185999.99999999997</v>
      </c>
      <c r="L29" s="357">
        <f>IF(K29=0,0,IF(A29&lt;(Summary!$K$3+365),K29,0))</f>
        <v>185999.99999999997</v>
      </c>
    </row>
    <row r="30" spans="1:12" x14ac:dyDescent="0.2">
      <c r="A30" s="326">
        <v>37377</v>
      </c>
      <c r="B30" s="288">
        <v>22948</v>
      </c>
      <c r="C30" s="328" t="s">
        <v>201</v>
      </c>
      <c r="D30" s="301">
        <v>5.05</v>
      </c>
      <c r="E30" s="288"/>
      <c r="F30" s="300">
        <f>5000*31</f>
        <v>155000</v>
      </c>
      <c r="G30" s="301"/>
      <c r="H30" s="301">
        <f>+'[4]ELpaso SJ &amp; Prm'!$G59</f>
        <v>3.7349999999999999</v>
      </c>
      <c r="I30" s="26">
        <f t="shared" si="2"/>
        <v>203825</v>
      </c>
      <c r="J30" s="303"/>
      <c r="K30" s="302">
        <f t="shared" si="3"/>
        <v>203825</v>
      </c>
      <c r="L30" s="357">
        <f>IF(K30=0,0,IF(A30&lt;(Summary!$K$3+365),K30,0))</f>
        <v>203825</v>
      </c>
    </row>
    <row r="31" spans="1:12" x14ac:dyDescent="0.2">
      <c r="A31" s="326">
        <v>37408</v>
      </c>
      <c r="B31" s="288">
        <v>22948</v>
      </c>
      <c r="C31" s="328" t="s">
        <v>201</v>
      </c>
      <c r="D31" s="301">
        <v>5.05</v>
      </c>
      <c r="E31" s="288"/>
      <c r="F31" s="300">
        <f>5000*30</f>
        <v>150000</v>
      </c>
      <c r="G31" s="301"/>
      <c r="H31" s="301">
        <f>+'[4]ELpaso SJ &amp; Prm'!$G60</f>
        <v>3.78</v>
      </c>
      <c r="I31" s="26">
        <f t="shared" si="2"/>
        <v>190500</v>
      </c>
      <c r="J31" s="303"/>
      <c r="K31" s="302">
        <f t="shared" si="3"/>
        <v>190500</v>
      </c>
      <c r="L31" s="357">
        <f>IF(K31=0,0,IF(A31&lt;(Summary!$K$3+365),K31,0))</f>
        <v>0</v>
      </c>
    </row>
    <row r="32" spans="1:12" x14ac:dyDescent="0.2">
      <c r="A32" s="326">
        <v>37438</v>
      </c>
      <c r="B32" s="288">
        <v>22948</v>
      </c>
      <c r="C32" s="328" t="s">
        <v>201</v>
      </c>
      <c r="D32" s="301">
        <v>5.05</v>
      </c>
      <c r="E32" s="288"/>
      <c r="F32" s="300">
        <f>5000*31</f>
        <v>155000</v>
      </c>
      <c r="G32" s="301"/>
      <c r="H32" s="301">
        <f>+'[4]ELpaso SJ &amp; Prm'!$G61</f>
        <v>3.8149999999999999</v>
      </c>
      <c r="I32" s="26">
        <f t="shared" si="2"/>
        <v>191424.99999999997</v>
      </c>
      <c r="J32" s="303"/>
      <c r="K32" s="302">
        <f t="shared" si="3"/>
        <v>191424.99999999997</v>
      </c>
      <c r="L32" s="357">
        <f>IF(K32=0,0,IF(A32&lt;(Summary!$K$3+365),K32,0))</f>
        <v>0</v>
      </c>
    </row>
    <row r="33" spans="1:12" x14ac:dyDescent="0.2">
      <c r="A33" s="326">
        <v>37469</v>
      </c>
      <c r="B33" s="288">
        <v>22948</v>
      </c>
      <c r="C33" s="328" t="s">
        <v>201</v>
      </c>
      <c r="D33" s="301">
        <v>5.05</v>
      </c>
      <c r="E33" s="288"/>
      <c r="F33" s="300">
        <f>5000*31</f>
        <v>155000</v>
      </c>
      <c r="G33" s="301"/>
      <c r="H33" s="301">
        <f>+'[4]ELpaso SJ &amp; Prm'!$G62</f>
        <v>3.835</v>
      </c>
      <c r="I33" s="26">
        <f t="shared" si="2"/>
        <v>188324.99999999997</v>
      </c>
      <c r="J33" s="303"/>
      <c r="K33" s="302">
        <f t="shared" si="3"/>
        <v>188324.99999999997</v>
      </c>
      <c r="L33" s="357">
        <f>IF(K33=0,0,IF(A33&lt;(Summary!$K$3+365),K33,0))</f>
        <v>0</v>
      </c>
    </row>
    <row r="34" spans="1:12" x14ac:dyDescent="0.2">
      <c r="A34" s="326">
        <v>37500</v>
      </c>
      <c r="B34" s="288">
        <v>22948</v>
      </c>
      <c r="C34" s="328" t="s">
        <v>201</v>
      </c>
      <c r="D34" s="301">
        <v>5.05</v>
      </c>
      <c r="E34" s="288"/>
      <c r="F34" s="300">
        <f>5000*30</f>
        <v>150000</v>
      </c>
      <c r="G34" s="301"/>
      <c r="H34" s="301">
        <f>+'[4]ELpaso SJ &amp; Prm'!$G63</f>
        <v>3.8519999999999999</v>
      </c>
      <c r="I34" s="26">
        <f t="shared" si="2"/>
        <v>179700</v>
      </c>
      <c r="J34" s="303"/>
      <c r="K34" s="302">
        <f t="shared" si="3"/>
        <v>179700</v>
      </c>
      <c r="L34" s="357">
        <f>IF(K34=0,0,IF(A34&lt;(Summary!$K$3+365),K34,0))</f>
        <v>0</v>
      </c>
    </row>
    <row r="35" spans="1:12" x14ac:dyDescent="0.2">
      <c r="A35" s="326">
        <v>37530</v>
      </c>
      <c r="B35" s="288">
        <v>22948</v>
      </c>
      <c r="C35" s="328" t="s">
        <v>201</v>
      </c>
      <c r="D35" s="301">
        <v>5.05</v>
      </c>
      <c r="E35" s="288"/>
      <c r="F35" s="300">
        <f>5000*31</f>
        <v>155000</v>
      </c>
      <c r="G35" s="301"/>
      <c r="H35" s="301">
        <f>+'[4]ELpaso SJ &amp; Prm'!$G64</f>
        <v>3.8690000000000002</v>
      </c>
      <c r="I35" s="26">
        <f t="shared" si="2"/>
        <v>183054.99999999994</v>
      </c>
      <c r="J35" s="303"/>
      <c r="K35" s="302">
        <f t="shared" si="3"/>
        <v>183054.99999999994</v>
      </c>
      <c r="L35" s="357">
        <f>IF(K35=0,0,IF(A35&lt;(Summary!$K$3+365),K35,0))</f>
        <v>0</v>
      </c>
    </row>
    <row r="36" spans="1:12" x14ac:dyDescent="0.2">
      <c r="A36" s="326">
        <v>37561</v>
      </c>
      <c r="B36" s="288">
        <v>22948</v>
      </c>
      <c r="C36" s="328" t="s">
        <v>201</v>
      </c>
      <c r="D36" s="301">
        <v>5.05</v>
      </c>
      <c r="E36" s="288"/>
      <c r="F36" s="300">
        <f>5000*30</f>
        <v>150000</v>
      </c>
      <c r="G36" s="301"/>
      <c r="H36" s="301">
        <f>+'[4]ELpaso SJ &amp; Prm'!$G65</f>
        <v>4.0089999999999995</v>
      </c>
      <c r="I36" s="26">
        <f t="shared" si="2"/>
        <v>156150.00000000006</v>
      </c>
      <c r="J36" s="303"/>
      <c r="K36" s="302">
        <f t="shared" si="3"/>
        <v>156150.00000000006</v>
      </c>
      <c r="L36" s="357">
        <f>IF(K36=0,0,IF(A36&lt;(Summary!$K$3+365),K36,0))</f>
        <v>0</v>
      </c>
    </row>
    <row r="37" spans="1:12" x14ac:dyDescent="0.2">
      <c r="A37" s="326">
        <v>37591</v>
      </c>
      <c r="B37" s="288">
        <v>22948</v>
      </c>
      <c r="C37" s="328" t="s">
        <v>201</v>
      </c>
      <c r="D37" s="301">
        <v>5.05</v>
      </c>
      <c r="E37" s="288"/>
      <c r="F37" s="300">
        <f>5000*31</f>
        <v>155000</v>
      </c>
      <c r="G37" s="301"/>
      <c r="H37" s="301">
        <f>+'[4]ELpaso SJ &amp; Prm'!$G66</f>
        <v>4.1389999999999993</v>
      </c>
      <c r="I37" s="26">
        <f t="shared" si="2"/>
        <v>141205.00000000009</v>
      </c>
      <c r="J37" s="303"/>
      <c r="K37" s="302">
        <f t="shared" si="3"/>
        <v>141205.00000000009</v>
      </c>
      <c r="L37" s="357">
        <f>IF(K37=0,0,IF(A37&lt;(Summary!$K$3+365),K37,0))</f>
        <v>0</v>
      </c>
    </row>
    <row r="38" spans="1:12" x14ac:dyDescent="0.2">
      <c r="A38" s="326"/>
      <c r="B38" s="288"/>
      <c r="C38" s="327"/>
      <c r="D38" s="301"/>
      <c r="E38" s="288"/>
      <c r="F38" s="300"/>
      <c r="G38" s="288"/>
      <c r="H38" s="301"/>
      <c r="I38" s="26"/>
      <c r="J38" s="303"/>
      <c r="K38" s="302"/>
      <c r="L38" s="14"/>
    </row>
    <row r="39" spans="1:12" x14ac:dyDescent="0.2">
      <c r="A39" s="288"/>
      <c r="B39" s="288"/>
      <c r="C39" s="288"/>
      <c r="D39" s="308">
        <f>AVERAGE(D26:D37)</f>
        <v>5.0499999999999989</v>
      </c>
      <c r="E39" s="288"/>
      <c r="F39" s="287">
        <f>SUM(F26:F38)</f>
        <v>1825000</v>
      </c>
      <c r="G39" s="288"/>
      <c r="H39" s="308">
        <f>AVERAGE(H26:H37)</f>
        <v>3.9809583333333336</v>
      </c>
      <c r="I39" s="311">
        <f>SUM(I26:I38)</f>
        <v>1953820</v>
      </c>
      <c r="J39" s="311">
        <f>SUM(J26:J38)</f>
        <v>0</v>
      </c>
      <c r="K39" s="311">
        <f>SUM(K26:K38)</f>
        <v>1953820</v>
      </c>
      <c r="L39" s="289">
        <f>SUM(L26:L37)</f>
        <v>723460.00000000012</v>
      </c>
    </row>
    <row r="40" spans="1:12" x14ac:dyDescent="0.2">
      <c r="A40" s="14"/>
      <c r="B40" s="14"/>
      <c r="C40" s="14"/>
      <c r="D40" s="14"/>
      <c r="E40" s="14"/>
      <c r="F40" s="288"/>
      <c r="G40" s="288"/>
      <c r="H40" s="288"/>
      <c r="I40" s="288"/>
      <c r="J40" s="303"/>
      <c r="K40" s="303"/>
      <c r="L40" s="14"/>
    </row>
    <row r="41" spans="1:12" ht="13.5" thickBot="1" x14ac:dyDescent="0.25">
      <c r="A41" s="14"/>
      <c r="B41" s="14"/>
      <c r="C41" s="14"/>
      <c r="D41" s="14"/>
      <c r="E41" s="14"/>
      <c r="F41" s="312">
        <f>+F39+F22</f>
        <v>0</v>
      </c>
      <c r="G41" s="288"/>
      <c r="H41" s="288"/>
      <c r="I41" s="313">
        <f>+I39+I22</f>
        <v>-22025</v>
      </c>
      <c r="J41" s="313">
        <f>+J39+J22</f>
        <v>0</v>
      </c>
      <c r="K41" s="313">
        <f>+K39+K22</f>
        <v>-22025</v>
      </c>
      <c r="L41" s="14"/>
    </row>
    <row r="42" spans="1:12" ht="13.5" thickTop="1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9"/>
      <c r="K42" s="29"/>
      <c r="L42" s="20"/>
    </row>
    <row r="44" spans="1:12" x14ac:dyDescent="0.2">
      <c r="A44" s="22" t="s">
        <v>37</v>
      </c>
    </row>
  </sheetData>
  <phoneticPr fontId="0" type="noConversion"/>
  <pageMargins left="0.75" right="0.75" top="1" bottom="1" header="0.5" footer="0.5"/>
  <pageSetup scale="83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"/>
  <sheetViews>
    <sheetView zoomScale="75" workbookViewId="0">
      <selection activeCell="H10" sqref="H10"/>
    </sheetView>
  </sheetViews>
  <sheetFormatPr defaultRowHeight="12.75" x14ac:dyDescent="0.2"/>
  <cols>
    <col min="1" max="2" width="10.7109375" customWidth="1"/>
    <col min="3" max="3" width="10.28515625" bestFit="1" customWidth="1"/>
    <col min="4" max="4" width="12.5703125" bestFit="1" customWidth="1"/>
    <col min="5" max="5" width="0" hidden="1" customWidth="1"/>
    <col min="6" max="6" width="12.7109375" customWidth="1"/>
    <col min="7" max="7" width="13.140625" customWidth="1"/>
    <col min="8" max="8" width="11.7109375" customWidth="1"/>
    <col min="9" max="9" width="11.85546875" bestFit="1" customWidth="1"/>
    <col min="10" max="10" width="13.42578125" customWidth="1"/>
    <col min="11" max="11" width="11.85546875" bestFit="1" customWidth="1"/>
    <col min="12" max="12" width="17.28515625" bestFit="1" customWidth="1"/>
  </cols>
  <sheetData>
    <row r="1" spans="1:12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166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591"/>
      <c r="B4" s="591"/>
      <c r="C4" s="591"/>
      <c r="D4" s="591"/>
      <c r="E4" s="591"/>
      <c r="F4" s="591"/>
      <c r="G4" s="591"/>
      <c r="H4" s="591"/>
      <c r="I4" s="591"/>
      <c r="J4" s="591"/>
      <c r="K4" s="591"/>
    </row>
    <row r="5" spans="1:12" x14ac:dyDescent="0.2">
      <c r="G5" s="114"/>
      <c r="H5" s="114"/>
    </row>
    <row r="6" spans="1:12" s="7" customFormat="1" x14ac:dyDescent="0.2">
      <c r="A6" s="319" t="s">
        <v>39</v>
      </c>
      <c r="B6" s="290" t="s">
        <v>3</v>
      </c>
      <c r="C6" s="290" t="s">
        <v>3</v>
      </c>
      <c r="D6" s="290" t="s">
        <v>25</v>
      </c>
      <c r="E6" s="290"/>
      <c r="F6" s="290"/>
      <c r="G6" s="290"/>
      <c r="H6" s="290" t="s">
        <v>94</v>
      </c>
      <c r="I6" s="291" t="s">
        <v>42</v>
      </c>
      <c r="J6" s="292"/>
      <c r="K6" s="293"/>
      <c r="L6" s="387"/>
    </row>
    <row r="7" spans="1:12" s="7" customFormat="1" x14ac:dyDescent="0.2">
      <c r="A7" s="320" t="s">
        <v>43</v>
      </c>
      <c r="B7" s="294" t="s">
        <v>9</v>
      </c>
      <c r="C7" s="294" t="s">
        <v>8</v>
      </c>
      <c r="D7" s="294" t="s">
        <v>86</v>
      </c>
      <c r="E7" s="294"/>
      <c r="F7" s="294"/>
      <c r="G7" s="294"/>
      <c r="H7" s="294" t="s">
        <v>167</v>
      </c>
      <c r="I7" s="294" t="s">
        <v>19</v>
      </c>
      <c r="J7" s="294" t="s">
        <v>20</v>
      </c>
      <c r="K7" s="295" t="s">
        <v>21</v>
      </c>
      <c r="L7" s="32"/>
    </row>
    <row r="8" spans="1:12" x14ac:dyDescent="0.2">
      <c r="A8" s="373"/>
      <c r="B8" s="374"/>
      <c r="C8" s="374"/>
      <c r="D8" s="294" t="s">
        <v>152</v>
      </c>
      <c r="E8" s="374"/>
      <c r="F8" s="374"/>
      <c r="G8" s="375"/>
      <c r="H8" s="294" t="s">
        <v>168</v>
      </c>
      <c r="I8" s="360" t="s">
        <v>24</v>
      </c>
      <c r="J8" s="360" t="s">
        <v>24</v>
      </c>
      <c r="K8" s="383" t="s">
        <v>24</v>
      </c>
      <c r="L8" s="14"/>
    </row>
    <row r="9" spans="1:12" x14ac:dyDescent="0.2">
      <c r="A9" s="321"/>
      <c r="B9" s="296"/>
      <c r="C9" s="296"/>
      <c r="D9" s="377">
        <v>-0.21</v>
      </c>
      <c r="E9" s="296"/>
      <c r="F9" s="296"/>
      <c r="G9" s="297"/>
      <c r="H9" s="147"/>
      <c r="I9" s="298"/>
      <c r="J9" s="298"/>
      <c r="K9" s="299"/>
      <c r="L9" s="379" t="s">
        <v>207</v>
      </c>
    </row>
    <row r="10" spans="1:12" x14ac:dyDescent="0.2">
      <c r="A10" s="23">
        <v>37226</v>
      </c>
      <c r="B10" s="14"/>
      <c r="C10" s="15" t="s">
        <v>31</v>
      </c>
      <c r="D10" s="24">
        <f>[4]NYMEX!$C$14+$D$9</f>
        <v>4.1630000000000003</v>
      </c>
      <c r="E10" s="14"/>
      <c r="F10" s="17">
        <f>-13500*31</f>
        <v>-418500</v>
      </c>
      <c r="G10" s="17">
        <f>+F10/31</f>
        <v>-13500</v>
      </c>
      <c r="H10" s="24">
        <f>+'[4]ELpaso SJ &amp; Prm'!$F$15</f>
        <v>4.133</v>
      </c>
      <c r="I10" s="16">
        <f>SUM(-D10+H10)*F10</f>
        <v>12555.000000000104</v>
      </c>
      <c r="J10" s="30"/>
      <c r="K10" s="30">
        <f>+I10</f>
        <v>12555.000000000104</v>
      </c>
      <c r="L10" s="357">
        <f>IF(K10=0,0,IF(A10&lt;(Summary!$K$3+365),K10,0))</f>
        <v>12555.000000000104</v>
      </c>
    </row>
    <row r="11" spans="1:12" x14ac:dyDescent="0.2">
      <c r="A11" s="23"/>
      <c r="B11" s="14"/>
      <c r="C11" s="15"/>
      <c r="D11" s="123"/>
      <c r="E11" s="14"/>
      <c r="F11" s="42"/>
      <c r="G11" s="17"/>
      <c r="H11" s="123"/>
      <c r="I11" s="43"/>
      <c r="J11" s="43"/>
      <c r="K11" s="92"/>
      <c r="L11" s="14"/>
    </row>
    <row r="12" spans="1:12" x14ac:dyDescent="0.2">
      <c r="A12" s="23"/>
      <c r="B12" s="14"/>
      <c r="C12" s="15"/>
      <c r="D12" s="24"/>
      <c r="E12" s="14"/>
      <c r="F12" s="17">
        <f>SUM(F10:F11)</f>
        <v>-418500</v>
      </c>
      <c r="G12" s="14"/>
      <c r="H12" s="24"/>
      <c r="I12" s="16">
        <f>SUM(I10:I11)</f>
        <v>12555.000000000104</v>
      </c>
      <c r="J12" s="16">
        <f>SUM(J10:J11)</f>
        <v>0</v>
      </c>
      <c r="K12" s="16">
        <f>SUM(K10:K11)</f>
        <v>12555.000000000104</v>
      </c>
      <c r="L12" s="16">
        <f>SUM(L10:L11)</f>
        <v>12555.000000000104</v>
      </c>
    </row>
    <row r="13" spans="1:12" x14ac:dyDescent="0.2">
      <c r="A13" s="23"/>
      <c r="B13" s="14"/>
      <c r="C13" s="15"/>
      <c r="D13" s="24"/>
      <c r="E13" s="14"/>
      <c r="F13" s="17"/>
      <c r="G13" s="208"/>
      <c r="H13" s="24"/>
      <c r="I13" s="16"/>
      <c r="J13" s="28"/>
      <c r="K13" s="18"/>
      <c r="L13" s="18"/>
    </row>
    <row r="14" spans="1:12" x14ac:dyDescent="0.2">
      <c r="A14" s="23"/>
      <c r="B14" s="14"/>
      <c r="C14" s="15"/>
      <c r="D14" s="24"/>
      <c r="E14" s="14"/>
      <c r="F14" s="17"/>
      <c r="G14" s="14"/>
      <c r="H14" s="24"/>
      <c r="I14" s="16"/>
      <c r="J14" s="28"/>
      <c r="K14" s="18"/>
      <c r="L14" s="18"/>
    </row>
    <row r="15" spans="1:12" ht="13.5" thickBot="1" x14ac:dyDescent="0.25">
      <c r="A15" s="23"/>
      <c r="B15" s="14"/>
      <c r="C15" s="15"/>
      <c r="D15" s="24"/>
      <c r="E15" s="14"/>
      <c r="F15" s="89">
        <f>+F12</f>
        <v>-418500</v>
      </c>
      <c r="G15" s="14"/>
      <c r="H15" s="14"/>
      <c r="I15" s="90">
        <f>+I12</f>
        <v>12555.000000000104</v>
      </c>
      <c r="J15" s="90">
        <f>+J12</f>
        <v>0</v>
      </c>
      <c r="K15" s="90">
        <f>+K12</f>
        <v>12555.000000000104</v>
      </c>
      <c r="L15" s="90">
        <f>+L12</f>
        <v>12555.000000000104</v>
      </c>
    </row>
    <row r="16" spans="1:12" ht="13.5" thickTop="1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9"/>
      <c r="K16" s="29"/>
      <c r="L16" s="20"/>
    </row>
    <row r="18" spans="1:1" x14ac:dyDescent="0.2">
      <c r="A18" s="22" t="s">
        <v>37</v>
      </c>
    </row>
  </sheetData>
  <mergeCells count="1">
    <mergeCell ref="A4:K4"/>
  </mergeCells>
  <phoneticPr fontId="0" type="noConversion"/>
  <pageMargins left="0.75" right="0.75" top="1" bottom="1" header="0.5" footer="0.5"/>
  <pageSetup scale="9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"/>
  <sheetViews>
    <sheetView topLeftCell="A4" zoomScale="75" workbookViewId="0">
      <selection activeCell="H11" sqref="H11"/>
    </sheetView>
  </sheetViews>
  <sheetFormatPr defaultRowHeight="12.75" x14ac:dyDescent="0.2"/>
  <cols>
    <col min="1" max="2" width="10.7109375" customWidth="1"/>
    <col min="3" max="3" width="13.7109375" customWidth="1"/>
    <col min="4" max="4" width="14.5703125" bestFit="1" customWidth="1"/>
    <col min="5" max="5" width="0" hidden="1" customWidth="1"/>
    <col min="6" max="6" width="12.7109375" customWidth="1"/>
    <col min="7" max="7" width="13.5703125" customWidth="1"/>
    <col min="8" max="8" width="16.7109375" customWidth="1"/>
    <col min="9" max="9" width="19.28515625" customWidth="1"/>
    <col min="10" max="10" width="11.7109375" bestFit="1" customWidth="1"/>
    <col min="11" max="11" width="14" bestFit="1" customWidth="1"/>
    <col min="12" max="12" width="17.28515625" bestFit="1" customWidth="1"/>
  </cols>
  <sheetData>
    <row r="1" spans="1:12" s="2" customFormat="1" ht="15" x14ac:dyDescent="0.2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s="2" customFormat="1" ht="15" x14ac:dyDescent="0.2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s="4" customFormat="1" ht="15.75" x14ac:dyDescent="0.25">
      <c r="A3" s="1" t="s">
        <v>169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s="4" customFormat="1" ht="15.75" x14ac:dyDescent="0.25">
      <c r="A4" s="591"/>
      <c r="B4" s="591"/>
      <c r="C4" s="591"/>
      <c r="D4" s="591"/>
      <c r="E4" s="591"/>
      <c r="F4" s="591"/>
      <c r="G4" s="591"/>
      <c r="H4" s="591"/>
      <c r="I4" s="591"/>
      <c r="J4" s="591"/>
      <c r="K4" s="591"/>
    </row>
    <row r="5" spans="1:12" x14ac:dyDescent="0.2">
      <c r="A5" s="316"/>
      <c r="B5" s="316"/>
      <c r="C5" s="316"/>
      <c r="D5" s="316"/>
      <c r="E5" s="316"/>
      <c r="F5" s="316"/>
      <c r="G5" s="386"/>
      <c r="H5" s="386"/>
      <c r="I5" s="316"/>
      <c r="J5" s="316"/>
      <c r="K5" s="316"/>
    </row>
    <row r="6" spans="1:12" s="7" customFormat="1" x14ac:dyDescent="0.2">
      <c r="A6" s="320" t="s">
        <v>39</v>
      </c>
      <c r="B6" s="290" t="s">
        <v>3</v>
      </c>
      <c r="C6" s="290" t="s">
        <v>3</v>
      </c>
      <c r="D6" s="290" t="s">
        <v>31</v>
      </c>
      <c r="E6" s="290"/>
      <c r="F6" s="290"/>
      <c r="G6" s="290"/>
      <c r="H6" s="290" t="s">
        <v>25</v>
      </c>
      <c r="I6" s="291" t="s">
        <v>42</v>
      </c>
      <c r="J6" s="292"/>
      <c r="K6" s="293"/>
    </row>
    <row r="7" spans="1:12" s="7" customFormat="1" x14ac:dyDescent="0.2">
      <c r="A7" s="320" t="s">
        <v>43</v>
      </c>
      <c r="B7" s="294" t="s">
        <v>9</v>
      </c>
      <c r="C7" s="294" t="s">
        <v>8</v>
      </c>
      <c r="D7" s="294" t="s">
        <v>86</v>
      </c>
      <c r="E7" s="294"/>
      <c r="F7" s="294"/>
      <c r="G7" s="294"/>
      <c r="H7" s="294" t="s">
        <v>122</v>
      </c>
      <c r="I7" s="294" t="s">
        <v>19</v>
      </c>
      <c r="J7" s="294" t="s">
        <v>20</v>
      </c>
      <c r="K7" s="294" t="s">
        <v>21</v>
      </c>
      <c r="L7" s="124"/>
    </row>
    <row r="8" spans="1:12" x14ac:dyDescent="0.2">
      <c r="A8" s="373"/>
      <c r="B8" s="374"/>
      <c r="C8" s="374"/>
      <c r="D8" s="294" t="s">
        <v>152</v>
      </c>
      <c r="E8" s="374"/>
      <c r="F8" s="374"/>
      <c r="G8" s="375"/>
      <c r="H8" s="294" t="s">
        <v>155</v>
      </c>
      <c r="I8" s="360" t="s">
        <v>24</v>
      </c>
      <c r="J8" s="360" t="s">
        <v>24</v>
      </c>
      <c r="K8" s="360" t="s">
        <v>24</v>
      </c>
      <c r="L8" s="124"/>
    </row>
    <row r="9" spans="1:12" x14ac:dyDescent="0.2">
      <c r="A9" s="11"/>
      <c r="B9" s="12"/>
      <c r="C9" s="12"/>
      <c r="D9" s="377">
        <v>0.9</v>
      </c>
      <c r="E9" s="12"/>
      <c r="F9" s="12"/>
      <c r="G9" s="34"/>
      <c r="H9" s="13"/>
      <c r="I9" s="39"/>
      <c r="J9" s="39"/>
      <c r="K9" s="40"/>
      <c r="L9" s="385" t="s">
        <v>207</v>
      </c>
    </row>
    <row r="10" spans="1:12" x14ac:dyDescent="0.2">
      <c r="A10" s="23">
        <v>37226</v>
      </c>
      <c r="B10" s="14"/>
      <c r="C10" s="15" t="s">
        <v>31</v>
      </c>
      <c r="D10" s="24">
        <f>[4]NYMEX!$C14+$D$9</f>
        <v>5.2730000000000006</v>
      </c>
      <c r="E10" s="14"/>
      <c r="F10" s="17">
        <f>13500*31</f>
        <v>418500</v>
      </c>
      <c r="G10" s="17">
        <f>+F10/31</f>
        <v>13500</v>
      </c>
      <c r="H10" s="24">
        <f>+'[4]NGI Socal'!$E9</f>
        <v>7.923</v>
      </c>
      <c r="I10" s="16">
        <f>SUM(-D10+H10)*F10</f>
        <v>1109024.9999999998</v>
      </c>
      <c r="J10" s="30"/>
      <c r="K10" s="30">
        <f>+I10</f>
        <v>1109024.9999999998</v>
      </c>
      <c r="L10" s="357">
        <f>IF(K10=0,0,IF(A10&lt;(Summary!$K$3+365),K10,0))</f>
        <v>1109024.9999999998</v>
      </c>
    </row>
    <row r="11" spans="1:12" x14ac:dyDescent="0.2">
      <c r="A11" s="23"/>
      <c r="B11" s="14"/>
      <c r="C11" s="15"/>
      <c r="D11" s="123"/>
      <c r="E11" s="14"/>
      <c r="F11" s="42"/>
      <c r="G11" s="17"/>
      <c r="H11" s="123"/>
      <c r="I11" s="43"/>
      <c r="J11" s="43"/>
      <c r="K11" s="92"/>
      <c r="L11" s="14"/>
    </row>
    <row r="12" spans="1:12" x14ac:dyDescent="0.2">
      <c r="A12" s="23"/>
      <c r="B12" s="14"/>
      <c r="C12" s="15"/>
      <c r="D12" s="24"/>
      <c r="E12" s="14"/>
      <c r="F12" s="17">
        <f>SUM(F10:F11)</f>
        <v>418500</v>
      </c>
      <c r="G12" s="14"/>
      <c r="H12" s="24"/>
      <c r="I12" s="16">
        <f>SUM(I10:I11)</f>
        <v>1109024.9999999998</v>
      </c>
      <c r="J12" s="16">
        <f>SUM(J10:J11)</f>
        <v>0</v>
      </c>
      <c r="K12" s="16">
        <f>SUM(K10:K11)</f>
        <v>1109024.9999999998</v>
      </c>
      <c r="L12" s="16">
        <f>SUM(L10:L11)</f>
        <v>1109024.9999999998</v>
      </c>
    </row>
    <row r="13" spans="1:12" x14ac:dyDescent="0.2">
      <c r="A13" s="23"/>
      <c r="B13" s="14"/>
      <c r="C13" s="15"/>
      <c r="D13" s="24"/>
      <c r="E13" s="14"/>
      <c r="F13" s="17"/>
      <c r="G13" s="208"/>
      <c r="H13" s="24"/>
      <c r="I13" s="16"/>
      <c r="J13" s="28"/>
      <c r="K13" s="18"/>
      <c r="L13" s="18"/>
    </row>
    <row r="14" spans="1:12" x14ac:dyDescent="0.2">
      <c r="A14" s="23"/>
      <c r="B14" s="14"/>
      <c r="C14" s="15"/>
      <c r="D14" s="24"/>
      <c r="E14" s="14"/>
      <c r="F14" s="17"/>
      <c r="G14" s="14"/>
      <c r="H14" s="14"/>
      <c r="I14" s="16"/>
      <c r="J14" s="28"/>
      <c r="K14" s="18"/>
      <c r="L14" s="18"/>
    </row>
    <row r="15" spans="1:12" ht="13.5" thickBot="1" x14ac:dyDescent="0.25">
      <c r="A15" s="23"/>
      <c r="B15" s="14"/>
      <c r="C15" s="15"/>
      <c r="D15" s="24"/>
      <c r="E15" s="14"/>
      <c r="F15" s="89">
        <f>+F12</f>
        <v>418500</v>
      </c>
      <c r="G15" s="14"/>
      <c r="H15" s="14"/>
      <c r="I15" s="90">
        <f>+I12</f>
        <v>1109024.9999999998</v>
      </c>
      <c r="J15" s="90">
        <f>+J12</f>
        <v>0</v>
      </c>
      <c r="K15" s="90">
        <f>+K12</f>
        <v>1109024.9999999998</v>
      </c>
      <c r="L15" s="90">
        <f>+L12</f>
        <v>1109024.9999999998</v>
      </c>
    </row>
    <row r="16" spans="1:12" ht="13.5" thickTop="1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9"/>
      <c r="K16" s="29"/>
      <c r="L16" s="29"/>
    </row>
    <row r="18" spans="1:1" x14ac:dyDescent="0.2">
      <c r="A18" s="22" t="s">
        <v>37</v>
      </c>
    </row>
  </sheetData>
  <mergeCells count="1">
    <mergeCell ref="A4:K4"/>
  </mergeCells>
  <phoneticPr fontId="0" type="noConversion"/>
  <pageMargins left="0.75" right="0.75" top="1" bottom="1" header="0.5" footer="0.5"/>
  <pageSetup scale="7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</vt:i4>
      </vt:variant>
    </vt:vector>
  </HeadingPairs>
  <TitlesOfParts>
    <vt:vector size="37" baseType="lpstr">
      <vt:lpstr>Summary</vt:lpstr>
      <vt:lpstr>Sum (val)</vt:lpstr>
      <vt:lpstr>ENA_9</vt:lpstr>
      <vt:lpstr>ENA_11</vt:lpstr>
      <vt:lpstr>ENA_12</vt:lpstr>
      <vt:lpstr>ENA_13</vt:lpstr>
      <vt:lpstr>QV8401.1</vt:lpstr>
      <vt:lpstr>QL5363.1</vt:lpstr>
      <vt:lpstr>QL5365.1</vt:lpstr>
      <vt:lpstr>QL2915.1</vt:lpstr>
      <vt:lpstr>QL2918.1</vt:lpstr>
      <vt:lpstr>QL5424.1</vt:lpstr>
      <vt:lpstr>QL5444.1</vt:lpstr>
      <vt:lpstr>QL5357.1</vt:lpstr>
      <vt:lpstr>QL5358.1</vt:lpstr>
      <vt:lpstr>QL9270.1</vt:lpstr>
      <vt:lpstr>QL9273.1</vt:lpstr>
      <vt:lpstr>Elpaso_6</vt:lpstr>
      <vt:lpstr>SW17</vt:lpstr>
      <vt:lpstr>SW18</vt:lpstr>
      <vt:lpstr>M337849</vt:lpstr>
      <vt:lpstr>12007624</vt:lpstr>
      <vt:lpstr>QK7503.1</vt:lpstr>
      <vt:lpstr>ENA #QF4410.1</vt:lpstr>
      <vt:lpstr>ENA #QF4447.1</vt:lpstr>
      <vt:lpstr>ENA #QF0967.1</vt:lpstr>
      <vt:lpstr>ENA #QF5953.1</vt:lpstr>
      <vt:lpstr>HJN1006</vt:lpstr>
      <vt:lpstr>HJN1007</vt:lpstr>
      <vt:lpstr>HJN1008</vt:lpstr>
      <vt:lpstr>HJN1009</vt:lpstr>
      <vt:lpstr>HJN1010</vt:lpstr>
      <vt:lpstr>HJN1011</vt:lpstr>
      <vt:lpstr>'Sum (val)'!Print_Area</vt:lpstr>
      <vt:lpstr>Summary!Print_Area</vt:lpstr>
      <vt:lpstr>'Sum (val)'!Print_Titles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Jan Havlíček</cp:lastModifiedBy>
  <cp:lastPrinted>2001-06-08T14:16:17Z</cp:lastPrinted>
  <dcterms:created xsi:type="dcterms:W3CDTF">1999-02-26T14:05:48Z</dcterms:created>
  <dcterms:modified xsi:type="dcterms:W3CDTF">2023-09-15T15:45:23Z</dcterms:modified>
</cp:coreProperties>
</file>