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DFA72A-DA57-41AF-B648-EB385EFB89EC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0" calcOnSave="0"/>
</workbook>
</file>

<file path=xl/calcChain.xml><?xml version="1.0" encoding="utf-8"?>
<calcChain xmlns="http://schemas.openxmlformats.org/spreadsheetml/2006/main">
  <c r="E7" i="1" l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M19" i="1"/>
  <c r="E20" i="1"/>
  <c r="F20" i="1"/>
  <c r="G20" i="1"/>
  <c r="H20" i="1"/>
  <c r="M20" i="1"/>
  <c r="E21" i="1"/>
  <c r="F21" i="1"/>
  <c r="G21" i="1"/>
  <c r="H21" i="1"/>
  <c r="M21" i="1"/>
  <c r="E22" i="1"/>
  <c r="F22" i="1"/>
  <c r="G22" i="1"/>
  <c r="H22" i="1"/>
  <c r="M22" i="1"/>
  <c r="E23" i="1"/>
  <c r="F23" i="1"/>
  <c r="G23" i="1"/>
  <c r="H23" i="1"/>
  <c r="M23" i="1"/>
  <c r="E24" i="1"/>
  <c r="F24" i="1"/>
  <c r="G24" i="1"/>
  <c r="H24" i="1"/>
  <c r="M24" i="1"/>
  <c r="E25" i="1"/>
  <c r="F25" i="1"/>
  <c r="G25" i="1"/>
  <c r="H25" i="1"/>
  <c r="M25" i="1"/>
  <c r="E26" i="1"/>
  <c r="F26" i="1"/>
  <c r="G26" i="1"/>
  <c r="H26" i="1"/>
  <c r="J27" i="1"/>
  <c r="J28" i="1"/>
  <c r="M28" i="1"/>
  <c r="E30" i="1"/>
  <c r="F30" i="1"/>
  <c r="G30" i="1"/>
  <c r="H30" i="1"/>
  <c r="E31" i="1"/>
  <c r="F31" i="1"/>
  <c r="G31" i="1"/>
  <c r="H31" i="1"/>
  <c r="J32" i="1"/>
  <c r="J33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C63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J67" i="1"/>
  <c r="J68" i="1"/>
  <c r="E70" i="1"/>
  <c r="G70" i="1"/>
  <c r="H70" i="1"/>
  <c r="E71" i="1"/>
  <c r="G71" i="1"/>
  <c r="H71" i="1"/>
  <c r="E72" i="1"/>
  <c r="G72" i="1"/>
  <c r="H72" i="1"/>
  <c r="E73" i="1"/>
  <c r="G73" i="1"/>
  <c r="H73" i="1"/>
  <c r="E74" i="1"/>
  <c r="G74" i="1"/>
  <c r="H74" i="1"/>
  <c r="J75" i="1"/>
  <c r="C78" i="1"/>
  <c r="E78" i="1"/>
  <c r="F78" i="1"/>
  <c r="G78" i="1"/>
  <c r="H78" i="1"/>
  <c r="E79" i="1"/>
  <c r="F79" i="1"/>
  <c r="G79" i="1"/>
  <c r="H79" i="1"/>
  <c r="C80" i="1"/>
  <c r="E80" i="1"/>
  <c r="F80" i="1"/>
  <c r="G80" i="1"/>
  <c r="H80" i="1"/>
  <c r="C81" i="1"/>
  <c r="E81" i="1"/>
  <c r="F81" i="1"/>
  <c r="G81" i="1"/>
  <c r="H81" i="1"/>
  <c r="E82" i="1"/>
  <c r="F82" i="1"/>
  <c r="G82" i="1"/>
  <c r="H82" i="1"/>
  <c r="E83" i="1"/>
  <c r="F83" i="1"/>
  <c r="G83" i="1"/>
  <c r="H83" i="1"/>
  <c r="J84" i="1"/>
  <c r="J85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J102" i="1"/>
  <c r="J103" i="1"/>
  <c r="E105" i="1"/>
  <c r="F105" i="1"/>
  <c r="G105" i="1"/>
  <c r="H105" i="1"/>
  <c r="E106" i="1"/>
  <c r="F106" i="1"/>
  <c r="G106" i="1"/>
  <c r="H106" i="1"/>
  <c r="J107" i="1"/>
  <c r="J108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C150" i="1"/>
  <c r="E150" i="1"/>
  <c r="F150" i="1"/>
  <c r="G150" i="1"/>
  <c r="H150" i="1"/>
  <c r="J151" i="1"/>
  <c r="J152" i="1"/>
  <c r="E154" i="1"/>
  <c r="F154" i="1"/>
  <c r="G154" i="1"/>
  <c r="H154" i="1"/>
  <c r="E155" i="1"/>
  <c r="F155" i="1"/>
  <c r="G155" i="1"/>
  <c r="H155" i="1"/>
  <c r="J156" i="1"/>
  <c r="J157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J163" i="1"/>
  <c r="J164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J227" i="1"/>
  <c r="J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Z247" i="1"/>
  <c r="Z247" i="1" a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J400" i="1"/>
  <c r="J401" i="1"/>
  <c r="H405" i="1"/>
  <c r="H406" i="1"/>
  <c r="H407" i="1"/>
  <c r="A1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B3" i="2"/>
  <c r="C3" i="2"/>
  <c r="D3" i="2"/>
  <c r="E3" i="2"/>
  <c r="F3" i="2"/>
  <c r="G3" i="2"/>
  <c r="H3" i="2"/>
  <c r="I3" i="2"/>
  <c r="J3" i="2"/>
  <c r="L3" i="2"/>
  <c r="M3" i="2"/>
  <c r="B5" i="2"/>
  <c r="C5" i="2"/>
  <c r="D5" i="2"/>
  <c r="E5" i="2"/>
  <c r="F5" i="2"/>
  <c r="G5" i="2"/>
  <c r="H5" i="2"/>
  <c r="I5" i="2"/>
  <c r="J5" i="2"/>
  <c r="K5" i="2"/>
  <c r="L5" i="2"/>
  <c r="M5" i="2"/>
  <c r="P5" i="2"/>
  <c r="Q5" i="2"/>
  <c r="R5" i="2"/>
  <c r="B6" i="2"/>
  <c r="C6" i="2"/>
  <c r="D6" i="2"/>
  <c r="E6" i="2"/>
  <c r="F6" i="2"/>
  <c r="G6" i="2"/>
  <c r="H6" i="2"/>
  <c r="I6" i="2"/>
  <c r="J6" i="2"/>
  <c r="K6" i="2"/>
  <c r="L6" i="2"/>
  <c r="M6" i="2"/>
  <c r="P6" i="2"/>
  <c r="Q6" i="2"/>
  <c r="R6" i="2"/>
  <c r="U6" i="2"/>
  <c r="X6" i="2"/>
  <c r="B7" i="2"/>
  <c r="C7" i="2"/>
  <c r="D7" i="2"/>
  <c r="E7" i="2"/>
  <c r="F7" i="2"/>
  <c r="G7" i="2"/>
  <c r="H7" i="2"/>
  <c r="I7" i="2"/>
  <c r="J7" i="2"/>
  <c r="K7" i="2"/>
  <c r="L7" i="2"/>
  <c r="M7" i="2"/>
  <c r="P7" i="2"/>
  <c r="Q7" i="2"/>
  <c r="R7" i="2"/>
  <c r="B8" i="2"/>
  <c r="C8" i="2"/>
  <c r="D8" i="2"/>
  <c r="E8" i="2"/>
  <c r="F8" i="2"/>
  <c r="G8" i="2"/>
  <c r="H8" i="2"/>
  <c r="I8" i="2"/>
  <c r="J8" i="2"/>
  <c r="K8" i="2"/>
  <c r="L8" i="2"/>
  <c r="M8" i="2"/>
  <c r="P8" i="2"/>
  <c r="Q8" i="2"/>
  <c r="R8" i="2"/>
  <c r="U8" i="2"/>
  <c r="X8" i="2"/>
  <c r="B9" i="2"/>
  <c r="C9" i="2"/>
  <c r="D9" i="2"/>
  <c r="G9" i="2"/>
  <c r="I9" i="2"/>
  <c r="L9" i="2"/>
  <c r="P9" i="2"/>
  <c r="Q9" i="2"/>
  <c r="R9" i="2"/>
  <c r="U9" i="2"/>
  <c r="X9" i="2"/>
  <c r="B10" i="2"/>
  <c r="C10" i="2"/>
  <c r="D10" i="2"/>
  <c r="E10" i="2"/>
  <c r="F10" i="2"/>
  <c r="G10" i="2"/>
  <c r="H10" i="2"/>
  <c r="I10" i="2"/>
  <c r="J10" i="2"/>
  <c r="K10" i="2"/>
  <c r="L10" i="2"/>
  <c r="M10" i="2"/>
  <c r="P10" i="2"/>
  <c r="Q10" i="2"/>
  <c r="R10" i="2"/>
  <c r="U10" i="2"/>
  <c r="X10" i="2"/>
  <c r="U11" i="2"/>
  <c r="X11" i="2"/>
  <c r="M12" i="2"/>
  <c r="U12" i="2"/>
  <c r="X12" i="2"/>
  <c r="M13" i="2"/>
  <c r="G9" i="3"/>
  <c r="H9" i="3"/>
  <c r="J9" i="3"/>
  <c r="G10" i="3"/>
  <c r="J10" i="3"/>
  <c r="G11" i="3"/>
  <c r="J11" i="3"/>
  <c r="G12" i="3"/>
  <c r="H12" i="3"/>
  <c r="J12" i="3"/>
  <c r="G13" i="3"/>
  <c r="J13" i="3"/>
  <c r="G14" i="3"/>
  <c r="J14" i="3"/>
  <c r="G15" i="3"/>
  <c r="H15" i="3"/>
  <c r="J15" i="3"/>
  <c r="G16" i="3"/>
  <c r="J16" i="3"/>
  <c r="G17" i="3"/>
  <c r="H17" i="3"/>
  <c r="J17" i="3"/>
  <c r="G18" i="3"/>
  <c r="J18" i="3"/>
  <c r="G19" i="3"/>
  <c r="J19" i="3"/>
  <c r="G20" i="3"/>
  <c r="J20" i="3"/>
  <c r="G21" i="3"/>
  <c r="J21" i="3"/>
  <c r="G22" i="3"/>
  <c r="J22" i="3"/>
  <c r="G23" i="3"/>
  <c r="J23" i="3"/>
  <c r="G24" i="3"/>
  <c r="J24" i="3"/>
  <c r="G25" i="3"/>
  <c r="J25" i="3"/>
  <c r="F26" i="3"/>
  <c r="G26" i="3"/>
  <c r="J26" i="3"/>
  <c r="G27" i="3"/>
  <c r="J27" i="3"/>
  <c r="F29" i="3"/>
  <c r="G29" i="3"/>
  <c r="J29" i="3"/>
  <c r="D31" i="3"/>
  <c r="E31" i="3"/>
  <c r="F31" i="3"/>
  <c r="G31" i="3"/>
  <c r="H31" i="3"/>
  <c r="I31" i="3"/>
  <c r="J31" i="3"/>
  <c r="D32" i="3"/>
  <c r="E32" i="3"/>
  <c r="F32" i="3"/>
  <c r="G32" i="3"/>
  <c r="H32" i="3"/>
  <c r="I32" i="3"/>
  <c r="J32" i="3"/>
  <c r="D33" i="3"/>
  <c r="E33" i="3"/>
  <c r="F33" i="3"/>
  <c r="G33" i="3"/>
  <c r="H33" i="3"/>
  <c r="I33" i="3"/>
  <c r="J33" i="3"/>
  <c r="D34" i="3"/>
  <c r="E34" i="3"/>
  <c r="F34" i="3"/>
  <c r="G34" i="3"/>
  <c r="H34" i="3"/>
  <c r="I34" i="3"/>
  <c r="J34" i="3"/>
  <c r="D35" i="3"/>
  <c r="E35" i="3"/>
  <c r="F35" i="3"/>
  <c r="G35" i="3"/>
  <c r="H35" i="3"/>
  <c r="I35" i="3"/>
  <c r="J35" i="3"/>
  <c r="D36" i="3"/>
  <c r="E36" i="3"/>
  <c r="F36" i="3"/>
  <c r="G36" i="3"/>
  <c r="H36" i="3"/>
  <c r="I36" i="3"/>
  <c r="J36" i="3"/>
  <c r="D37" i="3"/>
  <c r="E37" i="3"/>
  <c r="F37" i="3"/>
  <c r="G37" i="3"/>
  <c r="H37" i="3"/>
  <c r="I37" i="3"/>
  <c r="J37" i="3"/>
  <c r="D38" i="3"/>
  <c r="E38" i="3"/>
  <c r="F38" i="3"/>
  <c r="G38" i="3"/>
  <c r="H38" i="3"/>
  <c r="I38" i="3"/>
  <c r="J38" i="3"/>
  <c r="D39" i="3"/>
  <c r="E39" i="3"/>
  <c r="F39" i="3"/>
  <c r="G39" i="3"/>
  <c r="H39" i="3"/>
  <c r="I39" i="3"/>
  <c r="J39" i="3"/>
  <c r="D40" i="3"/>
  <c r="E40" i="3"/>
  <c r="F40" i="3"/>
  <c r="G40" i="3"/>
  <c r="H40" i="3"/>
  <c r="I40" i="3"/>
  <c r="J40" i="3"/>
  <c r="D41" i="3"/>
  <c r="E41" i="3"/>
  <c r="F41" i="3"/>
  <c r="G41" i="3"/>
  <c r="H41" i="3"/>
  <c r="I41" i="3"/>
  <c r="J41" i="3"/>
  <c r="G43" i="3"/>
</calcChain>
</file>

<file path=xl/sharedStrings.xml><?xml version="1.0" encoding="utf-8"?>
<sst xmlns="http://schemas.openxmlformats.org/spreadsheetml/2006/main" count="458" uniqueCount="81">
  <si>
    <t>Prev</t>
  </si>
  <si>
    <t>Open</t>
  </si>
  <si>
    <t>High</t>
  </si>
  <si>
    <t>Low</t>
  </si>
  <si>
    <t>Change</t>
  </si>
  <si>
    <t>USH9</t>
  </si>
  <si>
    <t>Contract</t>
  </si>
  <si>
    <t>Symbol</t>
  </si>
  <si>
    <t>Trade</t>
  </si>
  <si>
    <t>Date</t>
  </si>
  <si>
    <t>Price</t>
  </si>
  <si>
    <t>Current</t>
  </si>
  <si>
    <t>Gain /</t>
  </si>
  <si>
    <t>Loss</t>
  </si>
  <si>
    <t>Point</t>
  </si>
  <si>
    <t>$</t>
  </si>
  <si>
    <t>Volume</t>
  </si>
  <si>
    <t>Last</t>
  </si>
  <si>
    <t>Broker</t>
  </si>
  <si>
    <t>Fee</t>
  </si>
  <si>
    <t>Total P/L</t>
  </si>
  <si>
    <t>Total Bean P/L</t>
  </si>
  <si>
    <t>Total Bond P/L</t>
  </si>
  <si>
    <t>SPH9</t>
  </si>
  <si>
    <t>Total S&amp;P P/L</t>
  </si>
  <si>
    <t>AFCI</t>
  </si>
  <si>
    <t>AIG</t>
  </si>
  <si>
    <t>AOL</t>
  </si>
  <si>
    <t>BAMM</t>
  </si>
  <si>
    <t>CPQ</t>
  </si>
  <si>
    <t>DELL</t>
  </si>
  <si>
    <t>DIMD</t>
  </si>
  <si>
    <t>EDS</t>
  </si>
  <si>
    <t>EGHT</t>
  </si>
  <si>
    <t>ENMD</t>
  </si>
  <si>
    <t>IOM</t>
  </si>
  <si>
    <t>LU</t>
  </si>
  <si>
    <t>MER</t>
  </si>
  <si>
    <t>ONSL</t>
  </si>
  <si>
    <t>SFE</t>
  </si>
  <si>
    <t>COMS</t>
  </si>
  <si>
    <t>WAVO</t>
  </si>
  <si>
    <t>YHOO</t>
  </si>
  <si>
    <t>QTHDG</t>
  </si>
  <si>
    <t>Total Acct. Value</t>
  </si>
  <si>
    <t>Net Position</t>
  </si>
  <si>
    <t>USM9</t>
  </si>
  <si>
    <t>CTK9</t>
  </si>
  <si>
    <t>Total Cotton P/L</t>
  </si>
  <si>
    <t>SPM9</t>
  </si>
  <si>
    <t>FCK9</t>
  </si>
  <si>
    <t>Total Feeder P/L</t>
  </si>
  <si>
    <t>WK9</t>
  </si>
  <si>
    <t>ES 1</t>
  </si>
  <si>
    <t>LCM9</t>
  </si>
  <si>
    <t>SBK9</t>
  </si>
  <si>
    <t>Total Wheat P/L</t>
  </si>
  <si>
    <t>Total Sugar P/L</t>
  </si>
  <si>
    <t>Total Live Cattle P/L</t>
  </si>
  <si>
    <t>SFM9</t>
  </si>
  <si>
    <t>DMM9</t>
  </si>
  <si>
    <t>SIK9</t>
  </si>
  <si>
    <t>Total Silver P/L</t>
  </si>
  <si>
    <t>CK9</t>
  </si>
  <si>
    <t>Total Corn P/L</t>
  </si>
  <si>
    <t>Total DMark P/L</t>
  </si>
  <si>
    <t>Average</t>
  </si>
  <si>
    <t>SK9</t>
  </si>
  <si>
    <t>Break</t>
  </si>
  <si>
    <t>Rally</t>
  </si>
  <si>
    <t>diff.</t>
  </si>
  <si>
    <t>SN9</t>
  </si>
  <si>
    <t>CN9</t>
  </si>
  <si>
    <t>NGM9</t>
  </si>
  <si>
    <t>NGN9</t>
  </si>
  <si>
    <t>sold 4 Jul 210 puts</t>
  </si>
  <si>
    <t>Corn Options</t>
  </si>
  <si>
    <t>Total Corn Options P/L</t>
  </si>
  <si>
    <t>bot 8 Jul 230 calls</t>
  </si>
  <si>
    <t>NGQ9</t>
  </si>
  <si>
    <t>bot 4 Jul 210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</si>
</sst>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(* #,##0.00_);_(* \(#,##0.00\);_(* &quot;-&quot;??_);_(@_)"/>
    <numFmt numFmtId="164" formatCode="mm/dd/yy"/>
    <numFmt numFmtId="165" formatCode="0.00_);[Red]\(0.00\)"/>
    <numFmt numFmtId="166" formatCode="#\ ?/32"/>
    <numFmt numFmtId="169" formatCode="#\ ?/32;[Red]\(#?/32\)"/>
    <numFmt numFmtId="170" formatCode="#,##0.0000_);[Red]\(#,##0.0000\)"/>
    <numFmt numFmtId="174" formatCode="#,##0.000_);[Red]\(#,##0.000\)"/>
    <numFmt numFmtId="175" formatCode="0.000_);[Red]\(0.000\)"/>
    <numFmt numFmtId="179" formatCode="0.0000_);[Red]\(0.0000\)"/>
    <numFmt numFmtId="180" formatCode="0.000"/>
    <numFmt numFmtId="181" formatCode="0.0%"/>
    <numFmt numFmtId="182" formatCode="#\ ?/32;[Red]\(#\ ?/32\)"/>
  </numFmts>
  <fonts count="14">
    <font>
      <sz val="10"/>
      <name val="Arial"/>
    </font>
    <font>
      <sz val="10"/>
      <name val="Arial"/>
    </font>
    <font>
      <b/>
      <sz val="10"/>
      <name val="Arial"/>
    </font>
    <font>
      <sz val="10"/>
      <color indexed="48"/>
      <name val="Arial"/>
    </font>
    <font>
      <b/>
      <sz val="10"/>
      <color indexed="17"/>
      <name val="Arial"/>
    </font>
    <font>
      <b/>
      <sz val="10"/>
      <color indexed="48"/>
      <name val="Arial"/>
    </font>
    <font>
      <b/>
      <sz val="10"/>
      <name val="Times New Roman"/>
      <family val="1"/>
    </font>
    <font>
      <sz val="10"/>
      <name val="CG Times"/>
      <family val="1"/>
    </font>
    <font>
      <b/>
      <sz val="10"/>
      <name val="CG Times"/>
      <family val="1"/>
    </font>
    <font>
      <b/>
      <sz val="10"/>
      <color indexed="12"/>
      <name val="CG Times"/>
      <family val="1"/>
    </font>
    <font>
      <b/>
      <sz val="10"/>
      <color indexed="10"/>
      <name val="CG Times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2" borderId="1" xfId="0" applyFont="1" applyFill="1" applyBorder="1" applyAlignment="1">
      <alignment horizontal="center"/>
    </xf>
    <xf numFmtId="164" fontId="4" fillId="3" borderId="0" xfId="0" applyNumberFormat="1" applyFont="1" applyFill="1"/>
    <xf numFmtId="0" fontId="4" fillId="3" borderId="0" xfId="0" applyFont="1" applyFill="1"/>
    <xf numFmtId="38" fontId="4" fillId="3" borderId="0" xfId="0" applyNumberFormat="1" applyFont="1" applyFill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38" fontId="4" fillId="3" borderId="0" xfId="0" applyNumberFormat="1" applyFont="1" applyFill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38" fontId="4" fillId="3" borderId="2" xfId="0" applyNumberFormat="1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164" fontId="3" fillId="3" borderId="0" xfId="0" applyNumberFormat="1" applyFont="1" applyFill="1"/>
    <xf numFmtId="38" fontId="3" fillId="3" borderId="0" xfId="0" applyNumberFormat="1" applyFont="1" applyFill="1"/>
    <xf numFmtId="40" fontId="3" fillId="3" borderId="0" xfId="0" applyNumberFormat="1" applyFont="1" applyFill="1"/>
    <xf numFmtId="165" fontId="3" fillId="3" borderId="0" xfId="0" applyNumberFormat="1" applyFont="1" applyFill="1"/>
    <xf numFmtId="0" fontId="3" fillId="3" borderId="0" xfId="0" applyFont="1" applyFill="1"/>
    <xf numFmtId="164" fontId="0" fillId="3" borderId="0" xfId="0" applyNumberFormat="1" applyFill="1"/>
    <xf numFmtId="0" fontId="0" fillId="3" borderId="0" xfId="0" applyFill="1"/>
    <xf numFmtId="38" fontId="0" fillId="3" borderId="0" xfId="0" applyNumberFormat="1" applyFill="1"/>
    <xf numFmtId="40" fontId="4" fillId="3" borderId="0" xfId="0" applyNumberFormat="1" applyFont="1" applyFill="1" applyAlignment="1">
      <alignment horizontal="center"/>
    </xf>
    <xf numFmtId="40" fontId="4" fillId="3" borderId="2" xfId="0" applyNumberFormat="1" applyFont="1" applyFill="1" applyBorder="1" applyAlignment="1">
      <alignment horizontal="center"/>
    </xf>
    <xf numFmtId="40" fontId="2" fillId="3" borderId="0" xfId="0" applyNumberFormat="1" applyFont="1" applyFill="1" applyAlignment="1">
      <alignment horizontal="center"/>
    </xf>
    <xf numFmtId="40" fontId="0" fillId="3" borderId="0" xfId="0" applyNumberFormat="1" applyFill="1"/>
    <xf numFmtId="166" fontId="3" fillId="3" borderId="0" xfId="0" applyNumberFormat="1" applyFont="1" applyFill="1"/>
    <xf numFmtId="169" fontId="3" fillId="3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40" fontId="5" fillId="4" borderId="1" xfId="0" applyNumberFormat="1" applyFont="1" applyFill="1" applyBorder="1"/>
    <xf numFmtId="40" fontId="2" fillId="2" borderId="1" xfId="0" applyNumberFormat="1" applyFont="1" applyFill="1" applyBorder="1" applyAlignment="1">
      <alignment horizontal="right"/>
    </xf>
    <xf numFmtId="39" fontId="3" fillId="3" borderId="0" xfId="0" applyNumberFormat="1" applyFont="1" applyFill="1"/>
    <xf numFmtId="38" fontId="6" fillId="0" borderId="0" xfId="0" applyNumberFormat="1" applyFont="1" applyFill="1"/>
    <xf numFmtId="170" fontId="6" fillId="0" borderId="0" xfId="0" applyNumberFormat="1" applyFont="1" applyFill="1"/>
    <xf numFmtId="0" fontId="0" fillId="0" borderId="0" xfId="0" applyFill="1"/>
    <xf numFmtId="0" fontId="6" fillId="0" borderId="0" xfId="0" applyFont="1" applyFill="1"/>
    <xf numFmtId="38" fontId="5" fillId="4" borderId="1" xfId="0" applyNumberFormat="1" applyFont="1" applyFill="1" applyBorder="1"/>
    <xf numFmtId="38" fontId="5" fillId="3" borderId="0" xfId="0" applyNumberFormat="1" applyFont="1" applyFill="1" applyBorder="1"/>
    <xf numFmtId="40" fontId="9" fillId="4" borderId="3" xfId="0" applyNumberFormat="1" applyFont="1" applyFill="1" applyBorder="1"/>
    <xf numFmtId="166" fontId="9" fillId="4" borderId="1" xfId="0" applyNumberFormat="1" applyFont="1" applyFill="1" applyBorder="1"/>
    <xf numFmtId="0" fontId="7" fillId="3" borderId="0" xfId="0" applyFont="1" applyFill="1"/>
    <xf numFmtId="38" fontId="8" fillId="3" borderId="0" xfId="0" applyNumberFormat="1" applyFont="1" applyFill="1"/>
    <xf numFmtId="0" fontId="8" fillId="3" borderId="0" xfId="0" applyFont="1" applyFill="1"/>
    <xf numFmtId="166" fontId="9" fillId="3" borderId="0" xfId="0" applyNumberFormat="1" applyFont="1" applyFill="1"/>
    <xf numFmtId="40" fontId="9" fillId="3" borderId="0" xfId="0" applyNumberFormat="1" applyFont="1" applyFill="1"/>
    <xf numFmtId="166" fontId="9" fillId="3" borderId="0" xfId="0" applyNumberFormat="1" applyFont="1" applyFill="1" applyAlignment="1"/>
    <xf numFmtId="40" fontId="9" fillId="3" borderId="0" xfId="0" applyNumberFormat="1" applyFont="1" applyFill="1" applyBorder="1"/>
    <xf numFmtId="40" fontId="8" fillId="3" borderId="0" xfId="0" applyNumberFormat="1" applyFont="1" applyFill="1"/>
    <xf numFmtId="40" fontId="7" fillId="3" borderId="0" xfId="0" applyNumberFormat="1" applyFont="1" applyFill="1"/>
    <xf numFmtId="0" fontId="8" fillId="5" borderId="1" xfId="0" applyFont="1" applyFill="1" applyBorder="1" applyAlignment="1">
      <alignment horizontal="center"/>
    </xf>
    <xf numFmtId="38" fontId="7" fillId="3" borderId="0" xfId="0" applyNumberFormat="1" applyFont="1" applyFill="1"/>
    <xf numFmtId="2" fontId="9" fillId="3" borderId="0" xfId="0" applyNumberFormat="1" applyFont="1" applyFill="1"/>
    <xf numFmtId="2" fontId="9" fillId="3" borderId="0" xfId="0" applyNumberFormat="1" applyFont="1" applyFill="1" applyAlignment="1"/>
    <xf numFmtId="2" fontId="9" fillId="4" borderId="1" xfId="0" applyNumberFormat="1" applyFont="1" applyFill="1" applyBorder="1"/>
    <xf numFmtId="165" fontId="9" fillId="3" borderId="0" xfId="0" applyNumberFormat="1" applyFont="1" applyFill="1"/>
    <xf numFmtId="174" fontId="9" fillId="3" borderId="0" xfId="0" applyNumberFormat="1" applyFont="1" applyFill="1"/>
    <xf numFmtId="174" fontId="9" fillId="4" borderId="3" xfId="0" applyNumberFormat="1" applyFont="1" applyFill="1" applyBorder="1"/>
    <xf numFmtId="38" fontId="5" fillId="0" borderId="0" xfId="0" applyNumberFormat="1" applyFont="1" applyFill="1" applyBorder="1"/>
    <xf numFmtId="174" fontId="3" fillId="3" borderId="0" xfId="0" applyNumberFormat="1" applyFont="1" applyFill="1"/>
    <xf numFmtId="175" fontId="3" fillId="3" borderId="0" xfId="0" applyNumberFormat="1" applyFont="1" applyFill="1"/>
    <xf numFmtId="0" fontId="7" fillId="3" borderId="0" xfId="0" applyFont="1" applyFill="1" applyAlignment="1">
      <alignment horizontal="center"/>
    </xf>
    <xf numFmtId="2" fontId="8" fillId="3" borderId="0" xfId="0" applyNumberFormat="1" applyFont="1" applyFill="1"/>
    <xf numFmtId="38" fontId="8" fillId="3" borderId="0" xfId="1" applyNumberFormat="1" applyFont="1" applyFill="1" applyAlignment="1">
      <alignment horizontal="right"/>
    </xf>
    <xf numFmtId="38" fontId="8" fillId="3" borderId="0" xfId="0" applyNumberFormat="1" applyFont="1" applyFill="1" applyAlignment="1">
      <alignment horizontal="right"/>
    </xf>
    <xf numFmtId="0" fontId="10" fillId="3" borderId="0" xfId="0" applyFont="1" applyFill="1" applyAlignment="1">
      <alignment horizontal="center"/>
    </xf>
    <xf numFmtId="174" fontId="9" fillId="4" borderId="1" xfId="0" applyNumberFormat="1" applyFont="1" applyFill="1" applyBorder="1"/>
    <xf numFmtId="170" fontId="9" fillId="3" borderId="0" xfId="0" applyNumberFormat="1" applyFont="1" applyFill="1"/>
    <xf numFmtId="170" fontId="9" fillId="4" borderId="1" xfId="0" applyNumberFormat="1" applyFont="1" applyFill="1" applyBorder="1"/>
    <xf numFmtId="170" fontId="7" fillId="3" borderId="0" xfId="0" applyNumberFormat="1" applyFont="1" applyFill="1"/>
    <xf numFmtId="2" fontId="9" fillId="3" borderId="0" xfId="0" applyNumberFormat="1" applyFont="1" applyFill="1" applyBorder="1"/>
    <xf numFmtId="179" fontId="3" fillId="3" borderId="0" xfId="0" applyNumberFormat="1" applyFont="1" applyFill="1"/>
    <xf numFmtId="170" fontId="3" fillId="3" borderId="0" xfId="0" applyNumberFormat="1" applyFont="1" applyFill="1"/>
    <xf numFmtId="0" fontId="11" fillId="6" borderId="4" xfId="0" applyFont="1" applyFill="1" applyBorder="1"/>
    <xf numFmtId="180" fontId="11" fillId="6" borderId="5" xfId="0" applyNumberFormat="1" applyFont="1" applyFill="1" applyBorder="1"/>
    <xf numFmtId="181" fontId="11" fillId="6" borderId="4" xfId="2" applyNumberFormat="1" applyFont="1" applyFill="1" applyBorder="1"/>
    <xf numFmtId="181" fontId="11" fillId="6" borderId="6" xfId="2" applyNumberFormat="1" applyFont="1" applyFill="1" applyBorder="1"/>
    <xf numFmtId="180" fontId="11" fillId="6" borderId="7" xfId="0" applyNumberFormat="1" applyFont="1" applyFill="1" applyBorder="1"/>
    <xf numFmtId="0" fontId="11" fillId="6" borderId="8" xfId="0" applyFont="1" applyFill="1" applyBorder="1"/>
    <xf numFmtId="180" fontId="12" fillId="6" borderId="9" xfId="0" applyNumberFormat="1" applyFont="1" applyFill="1" applyBorder="1" applyAlignment="1">
      <alignment horizontal="center"/>
    </xf>
    <xf numFmtId="0" fontId="11" fillId="3" borderId="0" xfId="0" applyFont="1" applyFill="1" applyBorder="1"/>
    <xf numFmtId="180" fontId="11" fillId="3" borderId="0" xfId="0" applyNumberFormat="1" applyFont="1" applyFill="1" applyBorder="1"/>
    <xf numFmtId="180" fontId="13" fillId="6" borderId="9" xfId="0" applyNumberFormat="1" applyFont="1" applyFill="1" applyBorder="1" applyAlignment="1">
      <alignment horizontal="center"/>
    </xf>
    <xf numFmtId="174" fontId="9" fillId="3" borderId="0" xfId="0" applyNumberFormat="1" applyFont="1" applyFill="1" applyBorder="1"/>
    <xf numFmtId="0" fontId="2" fillId="4" borderId="1" xfId="0" applyFont="1" applyFill="1" applyBorder="1" applyAlignment="1">
      <alignment horizontal="center"/>
    </xf>
    <xf numFmtId="38" fontId="9" fillId="3" borderId="0" xfId="0" applyNumberFormat="1" applyFont="1" applyFill="1" applyBorder="1"/>
    <xf numFmtId="0" fontId="7" fillId="3" borderId="0" xfId="0" applyFont="1" applyFill="1" applyBorder="1"/>
    <xf numFmtId="165" fontId="8" fillId="3" borderId="0" xfId="0" applyNumberFormat="1" applyFont="1" applyFill="1" applyBorder="1"/>
    <xf numFmtId="165" fontId="9" fillId="3" borderId="0" xfId="0" applyNumberFormat="1" applyFont="1" applyFill="1" applyBorder="1"/>
    <xf numFmtId="38" fontId="3" fillId="3" borderId="0" xfId="0" quotePrefix="1" applyNumberFormat="1" applyFont="1" applyFill="1"/>
    <xf numFmtId="0" fontId="2" fillId="3" borderId="0" xfId="0" applyFont="1" applyFill="1" applyBorder="1" applyAlignment="1">
      <alignment horizontal="left"/>
    </xf>
    <xf numFmtId="40" fontId="9" fillId="4" borderId="1" xfId="0" applyNumberFormat="1" applyFont="1" applyFill="1" applyBorder="1"/>
    <xf numFmtId="182" fontId="9" fillId="3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TelerateItems">
    <ddeItems>
      <ddeItem name="C.2.CB CLOSE" advise="1">
        <values>
          <value>
            <val>221.75</val>
          </value>
        </values>
      </ddeItem>
      <ddeItem name="C.2.CB HIGH" advise="1">
        <values>
          <value>
            <val>225</val>
          </value>
        </values>
      </ddeItem>
      <ddeItem name="C.2.CB LAST" advise="1">
        <values>
          <value>
            <val>223.75</val>
          </value>
        </values>
      </ddeItem>
      <ddeItem name="C.2.CB LOW" advise="1">
        <values>
          <value>
            <val>222</val>
          </value>
        </values>
      </ddeItem>
      <ddeItem name="C.2.CB NET_CHNG" advise="1">
        <values>
          <value>
            <val>2</val>
          </value>
        </values>
      </ddeItem>
      <ddeItem name="C.2.CB OPEN" advise="1">
        <values>
          <value>
            <val>222</val>
          </value>
        </values>
      </ddeItem>
      <ddeItem name="CTK9.NC CLOSE" advise="1">
        <values>
          <value t="str">
            <val>+NA+</val>
          </value>
        </values>
      </ddeItem>
      <ddeItem name="CTK9.NC HIGH" advise="1">
        <values>
          <value t="str">
            <val>+NA+</val>
          </value>
        </values>
      </ddeItem>
      <ddeItem name="CTK9.NC LOW" advise="1">
        <values>
          <value t="str">
            <val>+NA+</val>
          </value>
        </values>
      </ddeItem>
      <ddeItem name="CTK9.NC NET_CHNG" advise="1">
        <values>
          <value t="str">
            <val>+NA+</val>
          </value>
        </values>
      </ddeItem>
      <ddeItem name="CTK9.NC OPEN" advise="1">
        <values>
          <value t="str">
            <val>+NA+</val>
          </value>
        </values>
      </ddeItem>
      <ddeItem name="DMM9.IM CLOSE" advise="1">
        <values>
          <value>
            <val>0.54649999999999999</val>
          </value>
        </values>
      </ddeItem>
      <ddeItem name="DMM9.IM HIGH" advise="1">
        <values>
          <value>
            <val>0.54659999999999997</val>
          </value>
        </values>
      </ddeItem>
      <ddeItem name="DMM9.IM LAST" advise="1">
        <values>
          <value>
            <val>0.54649999999999999</val>
          </value>
        </values>
      </ddeItem>
      <ddeItem name="DMM9.IM LOW" advise="1">
        <values>
          <value>
            <val>0.5464</val>
          </value>
        </values>
      </ddeItem>
      <ddeItem name="DMM9.IM NET_CHNG" advise="1">
        <values>
          <value>
            <val>0</val>
          </value>
        </values>
      </ddeItem>
      <ddeItem name="DMM9.IM OPEN" advise="1">
        <values>
          <value>
            <val>0.5464</val>
          </value>
        </values>
      </ddeItem>
      <ddeItem name="ES.1.IM CLOSE" advise="1">
        <values>
          <value>
            <val>1341</val>
          </value>
        </values>
      </ddeItem>
      <ddeItem name="ES.1.IM HIGH" advise="1">
        <values>
          <value>
            <val>1341.25</val>
          </value>
        </values>
      </ddeItem>
      <ddeItem name="ES.1.IM LAST" advise="1">
        <values>
          <value>
            <val>1340.25</val>
          </value>
        </values>
      </ddeItem>
      <ddeItem name="ES.1.IM LOW" advise="1">
        <values>
          <value>
            <val>1339</val>
          </value>
        </values>
      </ddeItem>
      <ddeItem name="ES.1.IM NET_CHNG" advise="1">
        <values>
          <value>
            <val>-0.75</val>
          </value>
        </values>
      </ddeItem>
      <ddeItem name="ES.1.IM OPEN" advise="1">
        <values>
          <value>
            <val>1341.25</val>
          </value>
        </values>
      </ddeItem>
      <ddeItem name="FCK9.CM CLOSE" advise="1">
        <values>
          <value>
            <val>70.775000000000006</val>
          </value>
        </values>
      </ddeItem>
      <ddeItem name="FCK9.CM HIGH" advise="1">
        <values>
          <value>
            <val>71.099999999999994</val>
          </value>
        </values>
      </ddeItem>
      <ddeItem name="FCK9.CM LOW" advise="1">
        <values>
          <value>
            <val>70.5</val>
          </value>
        </values>
      </ddeItem>
      <ddeItem name="FCK9.CM NET_CHNG" advise="1">
        <values>
          <value>
            <val>0.15</val>
          </value>
        </values>
      </ddeItem>
      <ddeItem name="FCK9.CM OPEN" advise="1">
        <values>
          <value>
            <val>70.974999999999994</val>
          </value>
        </values>
      </ddeItem>
      <ddeItem name="LC.1.CM CLOSE" advise="1">
        <values>
          <value>
            <val>61.9</val>
          </value>
        </values>
      </ddeItem>
      <ddeItem name="LC.1.CM HIGH" advise="1">
        <values>
          <value>
            <val>62.3</val>
          </value>
        </values>
      </ddeItem>
      <ddeItem name="LC.1.CM LAST" advise="1">
        <values>
          <value>
            <val>62.15</val>
          </value>
        </values>
      </ddeItem>
      <ddeItem name="LC.1.CM LOW" advise="1">
        <values>
          <value>
            <val>61.825000000000003</val>
          </value>
        </values>
      </ddeItem>
      <ddeItem name="LC.1.CM NET_CHNG" advise="1">
        <values>
          <value>
            <val>0.25</val>
          </value>
        </values>
      </ddeItem>
      <ddeItem name="LC.1.CM OPEN" advise="1">
        <values>
          <value>
            <val>62.125</val>
          </value>
        </values>
      </ddeItem>
      <ddeItem name="NGM9.NY CLOSE" advise="1">
        <values>
          <value>
            <val>2.343</val>
          </value>
        </values>
      </ddeItem>
      <ddeItem name="NGM9.NY HIGH" advise="1">
        <values>
          <value>
            <val>2.34</val>
          </value>
        </values>
      </ddeItem>
      <ddeItem name="NGM9.NY LAST" advise="1">
        <values>
          <value>
            <val>2.33</val>
          </value>
        </values>
      </ddeItem>
      <ddeItem name="NGM9.NY LOW" advise="1">
        <values>
          <value>
            <val>2.3149999999999999</val>
          </value>
        </values>
      </ddeItem>
      <ddeItem name="NGM9.NY NET_CHNG" advise="1">
        <values>
          <value>
            <val>-1.2999999999999999E-2</val>
          </value>
        </values>
      </ddeItem>
      <ddeItem name="NGM9.NY OPEN" advise="1">
        <values>
          <value>
            <val>2.34</val>
          </value>
        </values>
      </ddeItem>
      <ddeItem name="NGN9.NY CLOSE" advise="1">
        <values>
          <value>
            <val>2.3719999999999999</val>
          </value>
        </values>
      </ddeItem>
      <ddeItem name="NGN9.NY HIGH" advise="1">
        <values>
          <value>
            <val>2.3639999999999999</val>
          </value>
        </values>
      </ddeItem>
      <ddeItem name="NGN9.NY LAST" advise="1">
        <values>
          <value>
            <val>2.3570000000000002</val>
          </value>
        </values>
      </ddeItem>
      <ddeItem name="NGN9.NY LOW" advise="1">
        <values>
          <value>
            <val>2.3410000000000002</val>
          </value>
        </values>
      </ddeItem>
      <ddeItem name="NGN9.NY NET_CHNG" advise="1">
        <values>
          <value>
            <val>-1.4999999999999999E-2</val>
          </value>
        </values>
      </ddeItem>
      <ddeItem name="NGN9.NY OPEN" advise="1">
        <values>
          <value>
            <val>2.36</val>
          </value>
        </values>
      </ddeItem>
      <ddeItem name="NGQ9.NY CLOSE" advise="1">
        <values>
          <value>
            <val>2.39</val>
          </value>
        </values>
      </ddeItem>
      <ddeItem name="NGQ9.NY HIGH" advise="1">
        <values>
          <value>
            <val>2.3820000000000001</val>
          </value>
        </values>
      </ddeItem>
      <ddeItem name="NGQ9.NY LAST" advise="1">
        <values>
          <value>
            <val>2.375</val>
          </value>
        </values>
      </ddeItem>
      <ddeItem name="NGQ9.NY LOW" advise="1">
        <values>
          <value>
            <val>2.375</val>
          </value>
        </values>
      </ddeItem>
      <ddeItem name="NGQ9.NY NET_CHNG" advise="1">
        <values>
          <value>
            <val>-1.4999999999999999E-2</val>
          </value>
        </values>
      </ddeItem>
      <ddeItem name="NGQ9.NY OPEN" advise="1">
        <values>
          <value>
            <val>2.38</val>
          </value>
        </values>
      </ddeItem>
      <ddeItem name="SB11.1.CS CLOSE" advise="1">
        <values>
          <value>
            <val>4.9000000000000004</val>
          </value>
        </values>
      </ddeItem>
      <ddeItem name="SB11.1.CS HIGH" advise="1">
        <values>
          <value>
            <val>5.05</val>
          </value>
        </values>
      </ddeItem>
      <ddeItem name="SB11.1.CS LOW" advise="1">
        <values>
          <value>
            <val>4.6100000000000003</val>
          </value>
        </values>
      </ddeItem>
      <ddeItem name="SB11.1.CS NET_CHNG" advise="1">
        <values>
          <value>
            <val>-0.27</val>
          </value>
        </values>
      </ddeItem>
      <ddeItem name="SB11.1.CS OPEN" advise="1">
        <values>
          <value>
            <val>4.91</val>
          </value>
        </values>
      </ddeItem>
      <ddeItem name="SF.1.IM CLOSE" advise="1">
        <values>
          <value>
            <val>0.6673</val>
          </value>
        </values>
      </ddeItem>
      <ddeItem name="SF.1.IM HIGH" advise="1">
        <values>
          <value>
            <val>0.66749999999999998</val>
          </value>
        </values>
      </ddeItem>
      <ddeItem name="SF.1.IM LOW" advise="1">
        <values>
          <value>
            <val>0.6673</val>
          </value>
        </values>
      </ddeItem>
      <ddeItem name="SF.1.IM NET_CHNG" advise="1">
        <values>
          <value>
            <val>1E-4</val>
          </value>
        </values>
      </ddeItem>
      <ddeItem name="SF.1.IM OPEN" advise="1">
        <values>
          <value>
            <val>0.66749999999999998</val>
          </value>
        </values>
      </ddeItem>
      <ddeItem name="SI.1.CO CLOSE" advise="1">
        <values>
          <value>
            <val>5.3639999999999999</val>
          </value>
        </values>
      </ddeItem>
      <ddeItem name="SI.1.CO HIGH" advise="1">
        <values>
          <value>
            <val>0</val>
          </value>
        </values>
      </ddeItem>
      <ddeItem name="SI.1.CO LOW" advise="1">
        <values>
          <value>
            <val>0</val>
          </value>
        </values>
      </ddeItem>
      <ddeItem name="SI.1.CO NET_CHNG" advise="1">
        <values>
          <value>
            <val>0</val>
          </value>
        </values>
      </ddeItem>
      <ddeItem name="SI.1.CO OPEN" advise="1">
        <values>
          <value>
            <val>0</val>
          </value>
        </values>
      </ddeItem>
      <ddeItem name="SN9.CB CLOSE" advise="1">
        <values>
          <value>
            <val>469.25</val>
          </value>
        </values>
      </ddeItem>
      <ddeItem name="SN9.CB HIGH" advise="1">
        <values>
          <value>
            <val>473</val>
          </value>
        </values>
      </ddeItem>
      <ddeItem name="SN9.CB LAST" advise="1">
        <values>
          <value>
            <val>470.75</val>
          </value>
        </values>
      </ddeItem>
      <ddeItem name="SN9.CB LOW" advise="1">
        <values>
          <value>
            <val>469</val>
          </value>
        </values>
      </ddeItem>
      <ddeItem name="SN9.CB NET_CHNG" advise="1">
        <values>
          <value>
            <val>1.5</val>
          </value>
        </values>
      </ddeItem>
      <ddeItem name="SN9.CB OPEN" advise="1">
        <values>
          <value>
            <val>471</val>
          </value>
        </values>
      </ddeItem>
      <ddeItem name="StdDocumentName" ole="1" advise="1"/>
      <ddeItem name="USM9.CB CLOSE" advise="1">
        <values>
          <value>
            <val>117.46875</val>
          </value>
        </values>
      </ddeItem>
      <ddeItem name="USM9.CB HIGH" advise="1">
        <values>
          <value>
            <val>117.71875</val>
          </value>
        </values>
      </ddeItem>
      <ddeItem name="USM9.CB LAST" advise="1">
        <values>
          <value>
            <val>117.53125</val>
          </value>
        </values>
      </ddeItem>
      <ddeItem name="USM9.CB LOW" advise="1">
        <values>
          <value>
            <val>117.21875</val>
          </value>
        </values>
      </ddeItem>
      <ddeItem name="USM9.CB NET_CHNG" advise="1">
        <values>
          <value>
            <val>6.25E-2</val>
          </value>
        </values>
      </ddeItem>
      <ddeItem name="USM9.CB OPEN" advise="1">
        <values>
          <value>
            <val>117.25</val>
          </value>
        </values>
      </ddeItem>
      <ddeItem name="W.1.CB CLOSE" advise="1">
        <values>
          <value>
            <val>253</val>
          </value>
        </values>
      </ddeItem>
      <ddeItem name="WK9.CB HIGH" advise="1">
        <values>
          <value>
            <val>256.5</val>
          </value>
        </values>
      </ddeItem>
      <ddeItem name="WK9.CB LOW" advise="1">
        <values>
          <value>
            <val>253</val>
          </value>
        </values>
      </ddeItem>
      <ddeItem name="WK9.CB NET_CHNG" advise="1">
        <values>
          <value>
            <val>2.25</val>
          </value>
        </values>
      </ddeItem>
      <ddeItem name="WK9.CB OPEN" advise="1">
        <values>
          <value>
            <val>253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Telerate">
    <ddeItems>
      <ddeItem name="9220 11 13 6 1" advise="1">
        <values>
          <value t="str">
            <val>+NA+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Z408"/>
  <sheetViews>
    <sheetView topLeftCell="A59" workbookViewId="0">
      <selection activeCell="D67" sqref="D67"/>
    </sheetView>
  </sheetViews>
  <sheetFormatPr defaultRowHeight="12.75"/>
  <cols>
    <col min="1" max="1" width="9.140625" style="20"/>
    <col min="2" max="2" width="9.140625" style="21"/>
    <col min="3" max="3" width="9.42578125" style="22" bestFit="1" customWidth="1"/>
    <col min="4" max="4" width="10" style="21" bestFit="1" customWidth="1"/>
    <col min="5" max="7" width="9.140625" style="21"/>
    <col min="8" max="8" width="11.7109375" style="26" customWidth="1"/>
    <col min="9" max="9" width="9.140625" style="21"/>
    <col min="10" max="10" width="11.7109375" style="21" customWidth="1"/>
    <col min="11" max="16384" width="9.140625" style="21"/>
  </cols>
  <sheetData>
    <row r="3" spans="1:15" s="3" customFormat="1">
      <c r="A3" s="2"/>
      <c r="C3" s="4"/>
      <c r="G3" s="5" t="s">
        <v>14</v>
      </c>
      <c r="H3" s="23" t="s">
        <v>15</v>
      </c>
    </row>
    <row r="4" spans="1:15" s="5" customFormat="1">
      <c r="A4" s="6" t="s">
        <v>6</v>
      </c>
      <c r="B4" s="7" t="s">
        <v>8</v>
      </c>
      <c r="C4" s="8" t="s">
        <v>8</v>
      </c>
      <c r="E4" s="5" t="s">
        <v>18</v>
      </c>
      <c r="F4" s="5" t="s">
        <v>11</v>
      </c>
      <c r="G4" s="5" t="s">
        <v>12</v>
      </c>
      <c r="H4" s="23" t="s">
        <v>12</v>
      </c>
    </row>
    <row r="5" spans="1:15" s="5" customFormat="1" ht="13.5" thickBot="1">
      <c r="A5" s="9" t="s">
        <v>7</v>
      </c>
      <c r="B5" s="10" t="s">
        <v>9</v>
      </c>
      <c r="C5" s="11" t="s">
        <v>16</v>
      </c>
      <c r="D5" s="10" t="s">
        <v>10</v>
      </c>
      <c r="E5" s="10" t="s">
        <v>19</v>
      </c>
      <c r="F5" s="10" t="s">
        <v>10</v>
      </c>
      <c r="G5" s="10" t="s">
        <v>13</v>
      </c>
      <c r="H5" s="24" t="s">
        <v>13</v>
      </c>
      <c r="I5" s="10"/>
      <c r="J5" s="10"/>
      <c r="K5" s="10"/>
      <c r="L5" s="10"/>
      <c r="M5" s="10"/>
      <c r="N5" s="10"/>
      <c r="O5" s="10"/>
    </row>
    <row r="6" spans="1:15" s="13" customFormat="1">
      <c r="A6" s="12"/>
      <c r="C6" s="14"/>
      <c r="H6" s="25"/>
    </row>
    <row r="7" spans="1:15" s="19" customFormat="1">
      <c r="A7" s="1" t="s">
        <v>67</v>
      </c>
      <c r="B7" s="15">
        <v>36164</v>
      </c>
      <c r="C7" s="16">
        <v>10000</v>
      </c>
      <c r="D7" s="17">
        <v>547.5</v>
      </c>
      <c r="E7" s="18">
        <f>IF(C7&gt;0,-C7/5000*12.5,C7/5000*12.5)</f>
        <v>-25</v>
      </c>
      <c r="F7" s="18">
        <f>+Sheet2!$B$9</f>
        <v>470.75</v>
      </c>
      <c r="G7" s="17">
        <f t="shared" ref="G7:G12" si="0">IF(C7&gt;0,F7-D7,D7-F7)</f>
        <v>-76.75</v>
      </c>
      <c r="H7" s="17">
        <f>IF(C7&gt;0,C7*G7/100,G7*C7/100)</f>
        <v>-7675</v>
      </c>
    </row>
    <row r="8" spans="1:15" s="19" customFormat="1">
      <c r="A8" s="1" t="s">
        <v>67</v>
      </c>
      <c r="B8" s="15">
        <v>36165</v>
      </c>
      <c r="C8" s="16">
        <v>-10000</v>
      </c>
      <c r="D8" s="17">
        <v>546</v>
      </c>
      <c r="E8" s="18">
        <f t="shared" ref="E8:E17" si="1">IF(C8&gt;0,-C8/5000*12.5,C8/5000*12.5)</f>
        <v>-25</v>
      </c>
      <c r="F8" s="18">
        <f>+Sheet2!$B$9</f>
        <v>470.75</v>
      </c>
      <c r="G8" s="17">
        <f t="shared" si="0"/>
        <v>75.25</v>
      </c>
      <c r="H8" s="17">
        <f>IF(C8&gt;0,C8*G8/100,-G8*C8/100)</f>
        <v>7525</v>
      </c>
    </row>
    <row r="9" spans="1:15" s="19" customFormat="1">
      <c r="A9" s="1" t="s">
        <v>67</v>
      </c>
      <c r="B9" s="15">
        <v>36167</v>
      </c>
      <c r="C9" s="16">
        <v>10000</v>
      </c>
      <c r="D9" s="17">
        <v>549.75</v>
      </c>
      <c r="E9" s="18">
        <f t="shared" si="1"/>
        <v>-25</v>
      </c>
      <c r="F9" s="18">
        <f>+Sheet2!$B$9</f>
        <v>470.75</v>
      </c>
      <c r="G9" s="17">
        <f t="shared" si="0"/>
        <v>-79</v>
      </c>
      <c r="H9" s="17">
        <f>IF(C9&gt;0,C9*G9/100,-G9*C9/100)</f>
        <v>-7900</v>
      </c>
    </row>
    <row r="10" spans="1:15" s="19" customFormat="1">
      <c r="A10" s="1" t="s">
        <v>67</v>
      </c>
      <c r="B10" s="15">
        <v>36168</v>
      </c>
      <c r="C10" s="16">
        <v>10000</v>
      </c>
      <c r="D10" s="17">
        <v>555.25</v>
      </c>
      <c r="E10" s="18">
        <f t="shared" si="1"/>
        <v>-25</v>
      </c>
      <c r="F10" s="18">
        <f>+Sheet2!$B$9</f>
        <v>470.75</v>
      </c>
      <c r="G10" s="17">
        <f t="shared" si="0"/>
        <v>-84.5</v>
      </c>
      <c r="H10" s="17">
        <f t="shared" ref="H10:H17" si="2">IF(C10&gt;0,C10*G10/100,-G10*C10/100)</f>
        <v>-8450</v>
      </c>
    </row>
    <row r="11" spans="1:15" s="19" customFormat="1">
      <c r="A11" s="1" t="s">
        <v>67</v>
      </c>
      <c r="B11" s="15">
        <v>36171</v>
      </c>
      <c r="C11" s="16">
        <v>-20000</v>
      </c>
      <c r="D11" s="17">
        <v>550</v>
      </c>
      <c r="E11" s="18">
        <f t="shared" si="1"/>
        <v>-50</v>
      </c>
      <c r="F11" s="18">
        <f>+Sheet2!$B$9</f>
        <v>470.75</v>
      </c>
      <c r="G11" s="17">
        <f t="shared" si="0"/>
        <v>79.25</v>
      </c>
      <c r="H11" s="17">
        <f t="shared" si="2"/>
        <v>15850</v>
      </c>
    </row>
    <row r="12" spans="1:15" s="19" customFormat="1">
      <c r="A12" s="1" t="s">
        <v>67</v>
      </c>
      <c r="B12" s="15">
        <v>36259</v>
      </c>
      <c r="C12" s="16">
        <v>10000</v>
      </c>
      <c r="D12" s="17">
        <v>478.5</v>
      </c>
      <c r="E12" s="18">
        <f t="shared" si="1"/>
        <v>-25</v>
      </c>
      <c r="F12" s="18">
        <f>+Sheet2!$B$9</f>
        <v>470.75</v>
      </c>
      <c r="G12" s="17">
        <f t="shared" si="0"/>
        <v>-7.75</v>
      </c>
      <c r="H12" s="17">
        <f t="shared" si="2"/>
        <v>-775</v>
      </c>
    </row>
    <row r="13" spans="1:15" s="19" customFormat="1">
      <c r="A13" s="1" t="s">
        <v>67</v>
      </c>
      <c r="B13" s="15">
        <v>36262</v>
      </c>
      <c r="C13" s="16">
        <v>10000</v>
      </c>
      <c r="D13" s="17">
        <v>482.25</v>
      </c>
      <c r="E13" s="18">
        <f t="shared" si="1"/>
        <v>-25</v>
      </c>
      <c r="F13" s="18">
        <f>+Sheet2!$B$9</f>
        <v>470.75</v>
      </c>
      <c r="G13" s="17">
        <f t="shared" ref="G13:G18" si="3">IF(C13&gt;0,F13-D13,D13-F13)</f>
        <v>-11.5</v>
      </c>
      <c r="H13" s="17">
        <f t="shared" si="2"/>
        <v>-1150</v>
      </c>
    </row>
    <row r="14" spans="1:15" s="19" customFormat="1">
      <c r="A14" s="1" t="s">
        <v>67</v>
      </c>
      <c r="B14" s="15">
        <v>36262</v>
      </c>
      <c r="C14" s="16">
        <v>-10000</v>
      </c>
      <c r="D14" s="17">
        <v>478.5</v>
      </c>
      <c r="E14" s="18">
        <f t="shared" si="1"/>
        <v>-25</v>
      </c>
      <c r="F14" s="18">
        <f>+Sheet2!$B$9</f>
        <v>470.75</v>
      </c>
      <c r="G14" s="17">
        <f t="shared" si="3"/>
        <v>7.75</v>
      </c>
      <c r="H14" s="17">
        <f t="shared" si="2"/>
        <v>775</v>
      </c>
    </row>
    <row r="15" spans="1:15" s="19" customFormat="1">
      <c r="A15" s="1" t="s">
        <v>67</v>
      </c>
      <c r="B15" s="15">
        <v>36265</v>
      </c>
      <c r="C15" s="16">
        <v>-5000</v>
      </c>
      <c r="D15" s="17">
        <v>489</v>
      </c>
      <c r="E15" s="18">
        <f t="shared" si="1"/>
        <v>-12.5</v>
      </c>
      <c r="F15" s="18">
        <f>+Sheet2!$B$9</f>
        <v>470.75</v>
      </c>
      <c r="G15" s="17">
        <f t="shared" si="3"/>
        <v>18.25</v>
      </c>
      <c r="H15" s="17">
        <f t="shared" si="2"/>
        <v>912.5</v>
      </c>
    </row>
    <row r="16" spans="1:15" s="19" customFormat="1">
      <c r="A16" s="1" t="s">
        <v>67</v>
      </c>
      <c r="B16" s="15">
        <v>36265</v>
      </c>
      <c r="C16" s="16">
        <v>-5000</v>
      </c>
      <c r="D16" s="17">
        <v>491</v>
      </c>
      <c r="E16" s="18">
        <f t="shared" si="1"/>
        <v>-12.5</v>
      </c>
      <c r="F16" s="18">
        <f>+Sheet2!$B$9</f>
        <v>470.75</v>
      </c>
      <c r="G16" s="17">
        <f t="shared" si="3"/>
        <v>20.25</v>
      </c>
      <c r="H16" s="17">
        <f t="shared" si="2"/>
        <v>1012.5</v>
      </c>
    </row>
    <row r="17" spans="1:13" s="19" customFormat="1">
      <c r="A17" s="1" t="s">
        <v>67</v>
      </c>
      <c r="B17" s="15">
        <v>36266</v>
      </c>
      <c r="C17" s="16">
        <v>10000</v>
      </c>
      <c r="D17" s="17">
        <v>490</v>
      </c>
      <c r="E17" s="18">
        <f t="shared" si="1"/>
        <v>-25</v>
      </c>
      <c r="F17" s="18">
        <f>+Sheet2!$B$9</f>
        <v>470.75</v>
      </c>
      <c r="G17" s="17">
        <f t="shared" si="3"/>
        <v>-19.25</v>
      </c>
      <c r="H17" s="17">
        <f t="shared" si="2"/>
        <v>-1925</v>
      </c>
    </row>
    <row r="18" spans="1:13" s="19" customFormat="1">
      <c r="A18" s="1" t="s">
        <v>67</v>
      </c>
      <c r="B18" s="15">
        <v>36269</v>
      </c>
      <c r="C18" s="16">
        <v>10000</v>
      </c>
      <c r="D18" s="17">
        <v>486.5</v>
      </c>
      <c r="E18" s="18">
        <f t="shared" ref="E18:E26" si="4">IF(C18&gt;0,-C18/5000*12.5,C18/5000*12.5)</f>
        <v>-25</v>
      </c>
      <c r="F18" s="18">
        <f>+Sheet2!$B$9</f>
        <v>470.75</v>
      </c>
      <c r="G18" s="17">
        <f t="shared" si="3"/>
        <v>-15.75</v>
      </c>
      <c r="H18" s="17">
        <f t="shared" ref="H18:H26" si="5">IF(C18&gt;0,C18*G18/100,-G18*C18/100)</f>
        <v>-1575</v>
      </c>
    </row>
    <row r="19" spans="1:13" s="19" customFormat="1">
      <c r="A19" s="1" t="s">
        <v>67</v>
      </c>
      <c r="B19" s="15">
        <v>36271</v>
      </c>
      <c r="C19" s="16">
        <v>-10000</v>
      </c>
      <c r="D19" s="17">
        <v>493.5</v>
      </c>
      <c r="E19" s="18">
        <f t="shared" si="4"/>
        <v>-25</v>
      </c>
      <c r="F19" s="18">
        <f>+Sheet2!$B$9</f>
        <v>470.75</v>
      </c>
      <c r="G19" s="17">
        <f t="shared" ref="G19:G26" si="6">IF(C19&gt;0,F19-D19,D19-F19)</f>
        <v>22.75</v>
      </c>
      <c r="H19" s="17">
        <f t="shared" si="5"/>
        <v>2275</v>
      </c>
      <c r="M19" s="19">
        <f t="shared" ref="M19:M25" si="7">IF(A19="SN9",C19/5000,0)</f>
        <v>0</v>
      </c>
    </row>
    <row r="20" spans="1:13" s="19" customFormat="1">
      <c r="A20" s="87" t="s">
        <v>71</v>
      </c>
      <c r="B20" s="15">
        <v>36271</v>
      </c>
      <c r="C20" s="16">
        <v>10000</v>
      </c>
      <c r="D20" s="17">
        <v>503</v>
      </c>
      <c r="E20" s="18">
        <f t="shared" si="4"/>
        <v>-25</v>
      </c>
      <c r="F20" s="18">
        <f>+Sheet2!$B$9</f>
        <v>470.75</v>
      </c>
      <c r="G20" s="17">
        <f t="shared" si="6"/>
        <v>-32.25</v>
      </c>
      <c r="H20" s="17">
        <f t="shared" si="5"/>
        <v>-3225</v>
      </c>
      <c r="M20" s="19">
        <f t="shared" si="7"/>
        <v>2</v>
      </c>
    </row>
    <row r="21" spans="1:13" s="19" customFormat="1">
      <c r="A21" s="1" t="s">
        <v>67</v>
      </c>
      <c r="B21" s="15">
        <v>36272</v>
      </c>
      <c r="C21" s="16">
        <v>-10000</v>
      </c>
      <c r="D21" s="17">
        <v>495</v>
      </c>
      <c r="E21" s="18">
        <f t="shared" si="4"/>
        <v>-25</v>
      </c>
      <c r="F21" s="18">
        <f>+Sheet2!$B$9</f>
        <v>470.75</v>
      </c>
      <c r="G21" s="17">
        <f t="shared" si="6"/>
        <v>24.25</v>
      </c>
      <c r="H21" s="17">
        <f t="shared" si="5"/>
        <v>2425</v>
      </c>
      <c r="M21" s="19">
        <f t="shared" si="7"/>
        <v>0</v>
      </c>
    </row>
    <row r="22" spans="1:13" s="19" customFormat="1">
      <c r="A22" s="87" t="s">
        <v>71</v>
      </c>
      <c r="B22" s="15">
        <v>36272</v>
      </c>
      <c r="C22" s="16">
        <v>10000</v>
      </c>
      <c r="D22" s="17">
        <v>504.5</v>
      </c>
      <c r="E22" s="18">
        <f t="shared" si="4"/>
        <v>-25</v>
      </c>
      <c r="F22" s="18">
        <f>+Sheet2!$B$9</f>
        <v>470.75</v>
      </c>
      <c r="G22" s="17">
        <f t="shared" si="6"/>
        <v>-33.75</v>
      </c>
      <c r="H22" s="17">
        <f t="shared" si="5"/>
        <v>-3375</v>
      </c>
      <c r="M22" s="19">
        <f t="shared" si="7"/>
        <v>2</v>
      </c>
    </row>
    <row r="23" spans="1:13" s="19" customFormat="1">
      <c r="A23" s="1" t="s">
        <v>67</v>
      </c>
      <c r="B23" s="15">
        <v>36272</v>
      </c>
      <c r="C23" s="16">
        <v>-10000</v>
      </c>
      <c r="D23" s="17">
        <v>487.5</v>
      </c>
      <c r="E23" s="18">
        <f t="shared" si="4"/>
        <v>-25</v>
      </c>
      <c r="F23" s="18">
        <f>+Sheet2!$B$9</f>
        <v>470.75</v>
      </c>
      <c r="G23" s="17">
        <f t="shared" si="6"/>
        <v>16.75</v>
      </c>
      <c r="H23" s="17">
        <f t="shared" si="5"/>
        <v>1675</v>
      </c>
      <c r="M23" s="19">
        <f t="shared" si="7"/>
        <v>0</v>
      </c>
    </row>
    <row r="24" spans="1:13" s="19" customFormat="1">
      <c r="A24" s="87" t="s">
        <v>71</v>
      </c>
      <c r="B24" s="15">
        <v>36272</v>
      </c>
      <c r="C24" s="16">
        <v>-10000</v>
      </c>
      <c r="D24" s="17">
        <v>493</v>
      </c>
      <c r="E24" s="18">
        <f t="shared" si="4"/>
        <v>-25</v>
      </c>
      <c r="F24" s="18">
        <f>+Sheet2!$B$9</f>
        <v>470.75</v>
      </c>
      <c r="G24" s="17">
        <f t="shared" si="6"/>
        <v>22.25</v>
      </c>
      <c r="H24" s="17">
        <f t="shared" si="5"/>
        <v>2225</v>
      </c>
      <c r="M24" s="19">
        <f t="shared" si="7"/>
        <v>-2</v>
      </c>
    </row>
    <row r="25" spans="1:13" s="19" customFormat="1">
      <c r="A25" s="87" t="s">
        <v>71</v>
      </c>
      <c r="B25" s="15">
        <v>36273</v>
      </c>
      <c r="C25" s="16">
        <v>-10000</v>
      </c>
      <c r="D25" s="17">
        <v>493.5</v>
      </c>
      <c r="E25" s="18">
        <f t="shared" si="4"/>
        <v>-25</v>
      </c>
      <c r="F25" s="18">
        <f>+Sheet2!$B$9</f>
        <v>470.75</v>
      </c>
      <c r="G25" s="17">
        <f t="shared" si="6"/>
        <v>22.75</v>
      </c>
      <c r="H25" s="17">
        <f t="shared" si="5"/>
        <v>2275</v>
      </c>
      <c r="M25" s="19">
        <f t="shared" si="7"/>
        <v>-2</v>
      </c>
    </row>
    <row r="26" spans="1:13" s="19" customFormat="1">
      <c r="A26" s="1" t="s">
        <v>67</v>
      </c>
      <c r="B26" s="15">
        <v>36273</v>
      </c>
      <c r="C26" s="16">
        <v>10000</v>
      </c>
      <c r="D26" s="17">
        <v>485</v>
      </c>
      <c r="E26" s="18">
        <f t="shared" si="4"/>
        <v>-25</v>
      </c>
      <c r="F26" s="18">
        <f>+Sheet2!$B$9</f>
        <v>470.75</v>
      </c>
      <c r="G26" s="17">
        <f t="shared" si="6"/>
        <v>-14.25</v>
      </c>
      <c r="H26" s="17">
        <f t="shared" si="5"/>
        <v>-1425</v>
      </c>
    </row>
    <row r="27" spans="1:13" s="19" customFormat="1">
      <c r="A27" s="30"/>
      <c r="B27" s="15"/>
      <c r="C27" s="16"/>
      <c r="D27" s="17"/>
      <c r="E27" s="18"/>
      <c r="F27" s="18"/>
      <c r="G27" s="17"/>
      <c r="H27" s="17"/>
      <c r="J27" s="33">
        <f>SUM(H7:H27)</f>
        <v>-525</v>
      </c>
      <c r="K27" s="32" t="s">
        <v>21</v>
      </c>
    </row>
    <row r="28" spans="1:13" s="19" customFormat="1">
      <c r="A28" s="30"/>
      <c r="B28" s="15"/>
      <c r="C28" s="16"/>
      <c r="D28" s="17"/>
      <c r="E28" s="18"/>
      <c r="F28" s="18"/>
      <c r="G28" s="17"/>
      <c r="H28" s="17"/>
      <c r="J28" s="40">
        <f>SUM(C7:C27)/5000</f>
        <v>0</v>
      </c>
      <c r="K28" s="32" t="s">
        <v>45</v>
      </c>
      <c r="M28" s="19">
        <f>SUM(M19:M27)</f>
        <v>0</v>
      </c>
    </row>
    <row r="29" spans="1:13" s="19" customFormat="1">
      <c r="A29" s="30"/>
      <c r="B29" s="15"/>
      <c r="C29" s="16"/>
      <c r="D29" s="17"/>
      <c r="E29" s="18"/>
      <c r="F29" s="18"/>
      <c r="G29" s="17"/>
      <c r="H29" s="17"/>
      <c r="J29" s="41"/>
      <c r="K29" s="32"/>
    </row>
    <row r="30" spans="1:13" s="19" customFormat="1">
      <c r="A30" s="1" t="s">
        <v>52</v>
      </c>
      <c r="B30" s="15">
        <v>36256</v>
      </c>
      <c r="C30" s="16">
        <v>-5000</v>
      </c>
      <c r="D30" s="17">
        <v>273.5</v>
      </c>
      <c r="E30" s="18">
        <f>IF(C30&gt;0,-C30/5000*12.5,C30/5000*12.5)</f>
        <v>-12.5</v>
      </c>
      <c r="F30" s="18">
        <f>+Sheet2!$H$9</f>
        <v>265</v>
      </c>
      <c r="G30" s="17">
        <f>IF(C30&gt;0,F30-D30,D30-F30)</f>
        <v>8.5</v>
      </c>
      <c r="H30" s="17">
        <f>+G30*-C30*0.01+E30</f>
        <v>412.5</v>
      </c>
    </row>
    <row r="31" spans="1:13" s="19" customFormat="1">
      <c r="A31" s="1" t="s">
        <v>52</v>
      </c>
      <c r="B31" s="15">
        <v>36257</v>
      </c>
      <c r="C31" s="16">
        <v>5000</v>
      </c>
      <c r="D31" s="17">
        <v>275.5</v>
      </c>
      <c r="E31" s="18">
        <f>IF(C31&gt;0,-C31/5000*12.5,C31/5000*12.5)</f>
        <v>-12.5</v>
      </c>
      <c r="F31" s="18">
        <f>+Sheet2!$H$9</f>
        <v>265</v>
      </c>
      <c r="G31" s="17">
        <f>IF(C31&gt;0,F31-D31,D31-F31)</f>
        <v>-10.5</v>
      </c>
      <c r="H31" s="17">
        <f>+G31*C31*0.01+E31</f>
        <v>-537.5</v>
      </c>
    </row>
    <row r="32" spans="1:13" s="19" customFormat="1">
      <c r="A32" s="30"/>
      <c r="B32" s="15"/>
      <c r="C32" s="16"/>
      <c r="D32" s="17"/>
      <c r="E32" s="18"/>
      <c r="F32" s="18"/>
      <c r="G32" s="17"/>
      <c r="H32" s="17"/>
      <c r="J32" s="33">
        <f>SUM(H30:H32)</f>
        <v>-125</v>
      </c>
      <c r="K32" s="32" t="s">
        <v>56</v>
      </c>
    </row>
    <row r="33" spans="1:11" s="19" customFormat="1">
      <c r="A33" s="30"/>
      <c r="B33" s="15"/>
      <c r="C33" s="16"/>
      <c r="D33" s="17"/>
      <c r="E33" s="18"/>
      <c r="F33" s="18"/>
      <c r="G33" s="17"/>
      <c r="H33" s="17"/>
      <c r="J33" s="40">
        <f>SUM(C30:C32)/5000</f>
        <v>0</v>
      </c>
      <c r="K33" s="32" t="s">
        <v>45</v>
      </c>
    </row>
    <row r="34" spans="1:11" s="19" customFormat="1">
      <c r="A34" s="30"/>
      <c r="B34" s="15"/>
      <c r="C34" s="16"/>
      <c r="D34" s="17"/>
      <c r="E34" s="18"/>
      <c r="F34" s="18"/>
      <c r="G34" s="17"/>
      <c r="H34" s="17"/>
      <c r="J34" s="41"/>
      <c r="K34" s="32"/>
    </row>
    <row r="35" spans="1:11" s="19" customFormat="1">
      <c r="A35" s="1" t="s">
        <v>63</v>
      </c>
      <c r="B35" s="15">
        <v>36256</v>
      </c>
      <c r="C35" s="16">
        <v>-10000</v>
      </c>
      <c r="D35" s="17">
        <v>218</v>
      </c>
      <c r="E35" s="18">
        <f t="shared" ref="E35:E41" si="8">IF(C35&gt;0,-C35/5000*12.5,C35/5000*12.5)</f>
        <v>-25</v>
      </c>
      <c r="F35" s="18">
        <f>+Sheet2!$G$9</f>
        <v>223.75</v>
      </c>
      <c r="G35" s="17">
        <f t="shared" ref="G35:G41" si="9">IF(C35&gt;0,F35-D35,D35-F35)</f>
        <v>-5.75</v>
      </c>
      <c r="H35" s="17">
        <f>+G35*-C35*0.01+E35</f>
        <v>-600</v>
      </c>
    </row>
    <row r="36" spans="1:11" s="19" customFormat="1">
      <c r="A36" s="1" t="s">
        <v>63</v>
      </c>
      <c r="B36" s="15">
        <v>36257</v>
      </c>
      <c r="C36" s="16">
        <v>5000</v>
      </c>
      <c r="D36" s="17">
        <v>216.75</v>
      </c>
      <c r="E36" s="18">
        <f t="shared" si="8"/>
        <v>-12.5</v>
      </c>
      <c r="F36" s="18">
        <f>+Sheet2!$G$9</f>
        <v>223.75</v>
      </c>
      <c r="G36" s="17">
        <f t="shared" si="9"/>
        <v>7</v>
      </c>
      <c r="H36" s="17">
        <f>+G36*C36*0.01+E36</f>
        <v>337.5</v>
      </c>
    </row>
    <row r="37" spans="1:11" s="19" customFormat="1">
      <c r="A37" s="1" t="s">
        <v>63</v>
      </c>
      <c r="B37" s="15">
        <v>36257</v>
      </c>
      <c r="C37" s="16">
        <v>5000</v>
      </c>
      <c r="D37" s="17">
        <v>217.75</v>
      </c>
      <c r="E37" s="18">
        <f t="shared" si="8"/>
        <v>-12.5</v>
      </c>
      <c r="F37" s="18">
        <f>+Sheet2!$G$9</f>
        <v>223.75</v>
      </c>
      <c r="G37" s="17">
        <f t="shared" si="9"/>
        <v>6</v>
      </c>
      <c r="H37" s="17">
        <f>+G37*C37*0.01+E37</f>
        <v>287.5</v>
      </c>
    </row>
    <row r="38" spans="1:11" s="19" customFormat="1">
      <c r="A38" s="1" t="s">
        <v>63</v>
      </c>
      <c r="B38" s="15">
        <v>36272</v>
      </c>
      <c r="C38" s="16">
        <v>-10000</v>
      </c>
      <c r="D38" s="17">
        <v>223.75</v>
      </c>
      <c r="E38" s="18">
        <f t="shared" si="8"/>
        <v>-25</v>
      </c>
      <c r="F38" s="18">
        <f>+Sheet2!$G$9</f>
        <v>223.75</v>
      </c>
      <c r="G38" s="17">
        <f t="shared" si="9"/>
        <v>0</v>
      </c>
      <c r="H38" s="17">
        <f>+G38*-C38*0.01+E38</f>
        <v>-25</v>
      </c>
    </row>
    <row r="39" spans="1:11" s="19" customFormat="1">
      <c r="A39" s="1" t="s">
        <v>63</v>
      </c>
      <c r="B39" s="15">
        <v>36272</v>
      </c>
      <c r="C39" s="16">
        <v>-20000</v>
      </c>
      <c r="D39" s="17">
        <v>221</v>
      </c>
      <c r="E39" s="18">
        <f t="shared" si="8"/>
        <v>-50</v>
      </c>
      <c r="F39" s="18">
        <f>+Sheet2!$G$9</f>
        <v>223.75</v>
      </c>
      <c r="G39" s="17">
        <f t="shared" si="9"/>
        <v>-2.75</v>
      </c>
      <c r="H39" s="17">
        <f>+G39*-C39*0.01+E39</f>
        <v>-600</v>
      </c>
    </row>
    <row r="40" spans="1:11" s="19" customFormat="1">
      <c r="A40" s="1" t="s">
        <v>63</v>
      </c>
      <c r="B40" s="15">
        <v>36276</v>
      </c>
      <c r="C40" s="16">
        <v>30000</v>
      </c>
      <c r="D40" s="17">
        <v>218</v>
      </c>
      <c r="E40" s="18">
        <f t="shared" si="8"/>
        <v>-75</v>
      </c>
      <c r="F40" s="18">
        <f>+Sheet2!$G$9</f>
        <v>223.75</v>
      </c>
      <c r="G40" s="17">
        <f t="shared" si="9"/>
        <v>5.75</v>
      </c>
      <c r="H40" s="17">
        <f>+G40*C40*0.01+E40</f>
        <v>1650</v>
      </c>
    </row>
    <row r="41" spans="1:11" s="19" customFormat="1">
      <c r="A41" s="87" t="s">
        <v>72</v>
      </c>
      <c r="B41" s="15">
        <v>36276</v>
      </c>
      <c r="C41" s="16">
        <v>-30000</v>
      </c>
      <c r="D41" s="17">
        <v>224</v>
      </c>
      <c r="E41" s="18">
        <f t="shared" si="8"/>
        <v>-75</v>
      </c>
      <c r="F41" s="18">
        <f>+Sheet2!$G$9</f>
        <v>223.75</v>
      </c>
      <c r="G41" s="17">
        <f t="shared" si="9"/>
        <v>0.25</v>
      </c>
      <c r="H41" s="17">
        <f>+G41*-C41*0.01+E41</f>
        <v>0</v>
      </c>
    </row>
    <row r="42" spans="1:11" s="19" customFormat="1">
      <c r="A42" s="87" t="s">
        <v>72</v>
      </c>
      <c r="B42" s="15">
        <v>36277</v>
      </c>
      <c r="C42" s="16">
        <v>-10000</v>
      </c>
      <c r="D42" s="17">
        <v>222.25</v>
      </c>
      <c r="E42" s="18">
        <f t="shared" ref="E42:E50" si="10">IF(C42&gt;0,-C42/5000*12.5,C42/5000*12.5)</f>
        <v>-25</v>
      </c>
      <c r="F42" s="18">
        <f>+Sheet2!$G$9</f>
        <v>223.75</v>
      </c>
      <c r="G42" s="17">
        <f t="shared" ref="G42:G50" si="11">IF(C42&gt;0,F42-D42,D42-F42)</f>
        <v>-1.5</v>
      </c>
      <c r="H42" s="17">
        <f>+G42*-C42*0.01+E42</f>
        <v>-175</v>
      </c>
    </row>
    <row r="43" spans="1:11" s="19" customFormat="1">
      <c r="A43" s="87" t="s">
        <v>72</v>
      </c>
      <c r="B43" s="15">
        <v>36278</v>
      </c>
      <c r="C43" s="16">
        <v>20000</v>
      </c>
      <c r="D43" s="17">
        <v>221.75</v>
      </c>
      <c r="E43" s="18">
        <f t="shared" si="10"/>
        <v>-50</v>
      </c>
      <c r="F43" s="18">
        <f>+Sheet2!$G$9</f>
        <v>223.75</v>
      </c>
      <c r="G43" s="17">
        <f t="shared" si="11"/>
        <v>2</v>
      </c>
      <c r="H43" s="17">
        <f>+G43*C43*0.01+E43</f>
        <v>350</v>
      </c>
    </row>
    <row r="44" spans="1:11" s="19" customFormat="1">
      <c r="A44" s="87" t="s">
        <v>72</v>
      </c>
      <c r="B44" s="15">
        <v>36278</v>
      </c>
      <c r="C44" s="16">
        <v>20000</v>
      </c>
      <c r="D44" s="17">
        <v>219.5</v>
      </c>
      <c r="E44" s="18">
        <f t="shared" si="10"/>
        <v>-50</v>
      </c>
      <c r="F44" s="18">
        <f>+Sheet2!$G$9</f>
        <v>223.75</v>
      </c>
      <c r="G44" s="17">
        <f t="shared" si="11"/>
        <v>4.25</v>
      </c>
      <c r="H44" s="17">
        <f>+G44*C44*0.01+E44</f>
        <v>800</v>
      </c>
    </row>
    <row r="45" spans="1:11" s="19" customFormat="1">
      <c r="A45" s="87" t="s">
        <v>72</v>
      </c>
      <c r="B45" s="15">
        <v>36283</v>
      </c>
      <c r="C45" s="16">
        <v>-10000</v>
      </c>
      <c r="D45" s="17">
        <v>218</v>
      </c>
      <c r="E45" s="18">
        <f t="shared" si="10"/>
        <v>-25</v>
      </c>
      <c r="F45" s="18">
        <f>+Sheet2!$G$9</f>
        <v>223.75</v>
      </c>
      <c r="G45" s="17">
        <f t="shared" si="11"/>
        <v>-5.75</v>
      </c>
      <c r="H45" s="17">
        <f>+G45*-C45*0.01+E45</f>
        <v>-600</v>
      </c>
    </row>
    <row r="46" spans="1:11" s="19" customFormat="1">
      <c r="A46" s="87" t="s">
        <v>72</v>
      </c>
      <c r="B46" s="15">
        <v>36283</v>
      </c>
      <c r="C46" s="16">
        <v>30000</v>
      </c>
      <c r="D46" s="17">
        <v>218.5</v>
      </c>
      <c r="E46" s="18">
        <f t="shared" si="10"/>
        <v>-75</v>
      </c>
      <c r="F46" s="18">
        <f>+Sheet2!$G$9</f>
        <v>223.75</v>
      </c>
      <c r="G46" s="17">
        <f t="shared" si="11"/>
        <v>5.25</v>
      </c>
      <c r="H46" s="17">
        <f>+G46*C46*0.01+E46</f>
        <v>1500</v>
      </c>
    </row>
    <row r="47" spans="1:11" s="19" customFormat="1">
      <c r="A47" s="87" t="s">
        <v>72</v>
      </c>
      <c r="B47" s="15">
        <v>36284</v>
      </c>
      <c r="C47" s="16">
        <v>10000</v>
      </c>
      <c r="D47" s="17">
        <v>220.25</v>
      </c>
      <c r="E47" s="18">
        <f t="shared" si="10"/>
        <v>-25</v>
      </c>
      <c r="F47" s="18">
        <f>+Sheet2!$G$9</f>
        <v>223.75</v>
      </c>
      <c r="G47" s="17">
        <f t="shared" si="11"/>
        <v>3.5</v>
      </c>
      <c r="H47" s="17">
        <f>+G47*C47*0.01+E47</f>
        <v>325</v>
      </c>
    </row>
    <row r="48" spans="1:11" s="19" customFormat="1">
      <c r="A48" s="87" t="s">
        <v>72</v>
      </c>
      <c r="B48" s="15">
        <v>36284</v>
      </c>
      <c r="C48" s="16">
        <v>10000</v>
      </c>
      <c r="D48" s="17">
        <v>223.75</v>
      </c>
      <c r="E48" s="18">
        <f t="shared" si="10"/>
        <v>-25</v>
      </c>
      <c r="F48" s="18">
        <f>+Sheet2!$G$9</f>
        <v>223.75</v>
      </c>
      <c r="G48" s="17">
        <f t="shared" si="11"/>
        <v>0</v>
      </c>
      <c r="H48" s="17">
        <f>+G48*C48*0.01+E48</f>
        <v>-25</v>
      </c>
    </row>
    <row r="49" spans="1:8" s="19" customFormat="1">
      <c r="A49" s="87" t="s">
        <v>72</v>
      </c>
      <c r="B49" s="15">
        <v>36284</v>
      </c>
      <c r="C49" s="16">
        <v>10000</v>
      </c>
      <c r="D49" s="17">
        <v>222.5</v>
      </c>
      <c r="E49" s="18">
        <f t="shared" si="10"/>
        <v>-25</v>
      </c>
      <c r="F49" s="18">
        <f>+Sheet2!$G$9</f>
        <v>223.75</v>
      </c>
      <c r="G49" s="17">
        <f t="shared" si="11"/>
        <v>1.25</v>
      </c>
      <c r="H49" s="17">
        <f>+G49*C49*0.01+E49</f>
        <v>100</v>
      </c>
    </row>
    <row r="50" spans="1:8" s="19" customFormat="1">
      <c r="A50" s="87" t="s">
        <v>72</v>
      </c>
      <c r="B50" s="15">
        <v>36284</v>
      </c>
      <c r="C50" s="16">
        <v>-20000</v>
      </c>
      <c r="D50" s="17">
        <v>223</v>
      </c>
      <c r="E50" s="18">
        <f t="shared" si="10"/>
        <v>-50</v>
      </c>
      <c r="F50" s="18">
        <f>+Sheet2!$G$9</f>
        <v>223.75</v>
      </c>
      <c r="G50" s="17">
        <f t="shared" si="11"/>
        <v>-0.75</v>
      </c>
      <c r="H50" s="17">
        <f>+G50*-C50*0.01+E50</f>
        <v>-200</v>
      </c>
    </row>
    <row r="51" spans="1:8" s="19" customFormat="1">
      <c r="A51" s="87" t="s">
        <v>72</v>
      </c>
      <c r="B51" s="15">
        <v>36286</v>
      </c>
      <c r="C51" s="16">
        <v>-20000</v>
      </c>
      <c r="D51" s="17">
        <v>219.5</v>
      </c>
      <c r="E51" s="18">
        <f t="shared" ref="E51:E56" si="12">IF(C51&gt;0,-C51/5000*12.5,C51/5000*12.5)</f>
        <v>-50</v>
      </c>
      <c r="F51" s="18">
        <f>+Sheet2!$G$9</f>
        <v>223.75</v>
      </c>
      <c r="G51" s="17">
        <f t="shared" ref="G51:G56" si="13">IF(C51&gt;0,F51-D51,D51-F51)</f>
        <v>-4.25</v>
      </c>
      <c r="H51" s="17">
        <f>+G51*-C51*0.01+E51</f>
        <v>-900</v>
      </c>
    </row>
    <row r="52" spans="1:8" s="19" customFormat="1">
      <c r="A52" s="87" t="s">
        <v>72</v>
      </c>
      <c r="B52" s="15">
        <v>36287</v>
      </c>
      <c r="C52" s="16">
        <v>-20000</v>
      </c>
      <c r="D52" s="17">
        <v>218.25</v>
      </c>
      <c r="E52" s="18">
        <f t="shared" si="12"/>
        <v>-50</v>
      </c>
      <c r="F52" s="18">
        <f>+Sheet2!$G$9</f>
        <v>223.75</v>
      </c>
      <c r="G52" s="17">
        <f t="shared" si="13"/>
        <v>-5.5</v>
      </c>
      <c r="H52" s="17">
        <f>+G52*-C52*0.01+E52</f>
        <v>-1150</v>
      </c>
    </row>
    <row r="53" spans="1:8" s="19" customFormat="1">
      <c r="A53" s="87" t="s">
        <v>72</v>
      </c>
      <c r="B53" s="15">
        <v>36287</v>
      </c>
      <c r="C53" s="16">
        <v>-10000</v>
      </c>
      <c r="D53" s="17">
        <v>218</v>
      </c>
      <c r="E53" s="18">
        <f t="shared" si="12"/>
        <v>-25</v>
      </c>
      <c r="F53" s="18">
        <f>+Sheet2!$G$9</f>
        <v>223.75</v>
      </c>
      <c r="G53" s="17">
        <f t="shared" si="13"/>
        <v>-5.75</v>
      </c>
      <c r="H53" s="17">
        <f>+G53*-C53*0.01+E53</f>
        <v>-600</v>
      </c>
    </row>
    <row r="54" spans="1:8" s="19" customFormat="1">
      <c r="A54" s="87" t="s">
        <v>72</v>
      </c>
      <c r="B54" s="15">
        <v>36287</v>
      </c>
      <c r="C54" s="16">
        <v>-20000</v>
      </c>
      <c r="D54" s="17">
        <v>218.25</v>
      </c>
      <c r="E54" s="18">
        <f t="shared" si="12"/>
        <v>-50</v>
      </c>
      <c r="F54" s="18">
        <f>+Sheet2!$G$9</f>
        <v>223.75</v>
      </c>
      <c r="G54" s="17">
        <f t="shared" si="13"/>
        <v>-5.5</v>
      </c>
      <c r="H54" s="17">
        <f>+G54*-C54*0.01+E54</f>
        <v>-1150</v>
      </c>
    </row>
    <row r="55" spans="1:8" s="19" customFormat="1">
      <c r="A55" s="87" t="s">
        <v>72</v>
      </c>
      <c r="B55" s="15">
        <v>36290</v>
      </c>
      <c r="C55" s="16">
        <v>20000</v>
      </c>
      <c r="D55" s="17">
        <v>220.25</v>
      </c>
      <c r="E55" s="18">
        <f t="shared" si="12"/>
        <v>-50</v>
      </c>
      <c r="F55" s="18">
        <f>+Sheet2!$G$9</f>
        <v>223.75</v>
      </c>
      <c r="G55" s="17">
        <f t="shared" si="13"/>
        <v>3.5</v>
      </c>
      <c r="H55" s="17">
        <f>+G55*C55*0.01+E55</f>
        <v>650</v>
      </c>
    </row>
    <row r="56" spans="1:8" s="19" customFormat="1">
      <c r="A56" s="87" t="s">
        <v>72</v>
      </c>
      <c r="B56" s="15">
        <v>36290</v>
      </c>
      <c r="C56" s="16">
        <v>20000</v>
      </c>
      <c r="D56" s="17">
        <v>221</v>
      </c>
      <c r="E56" s="18">
        <f t="shared" si="12"/>
        <v>-50</v>
      </c>
      <c r="F56" s="18">
        <f>+Sheet2!$G$9</f>
        <v>223.75</v>
      </c>
      <c r="G56" s="17">
        <f t="shared" si="13"/>
        <v>2.75</v>
      </c>
      <c r="H56" s="17">
        <f>+G56*C56*0.01+E56</f>
        <v>500</v>
      </c>
    </row>
    <row r="57" spans="1:8" s="19" customFormat="1">
      <c r="A57" s="87" t="s">
        <v>72</v>
      </c>
      <c r="B57" s="15">
        <v>36291</v>
      </c>
      <c r="C57" s="16">
        <v>10000</v>
      </c>
      <c r="D57" s="17">
        <v>221.5</v>
      </c>
      <c r="E57" s="18">
        <f t="shared" ref="E57:E62" si="14">IF(C57&gt;0,-C57/5000*12.5,C57/5000*12.5)</f>
        <v>-25</v>
      </c>
      <c r="F57" s="18">
        <f>+Sheet2!$G$9</f>
        <v>223.75</v>
      </c>
      <c r="G57" s="17">
        <f t="shared" ref="G57:G62" si="15">IF(C57&gt;0,F57-D57,D57-F57)</f>
        <v>2.25</v>
      </c>
      <c r="H57" s="17">
        <f>+G57*C57*0.01+E57</f>
        <v>200</v>
      </c>
    </row>
    <row r="58" spans="1:8" s="19" customFormat="1">
      <c r="A58" s="87" t="s">
        <v>72</v>
      </c>
      <c r="B58" s="15">
        <v>36291</v>
      </c>
      <c r="C58" s="16">
        <v>10000</v>
      </c>
      <c r="D58" s="17">
        <v>222.5</v>
      </c>
      <c r="E58" s="18">
        <f t="shared" si="14"/>
        <v>-25</v>
      </c>
      <c r="F58" s="18">
        <f>+Sheet2!$G$9</f>
        <v>223.75</v>
      </c>
      <c r="G58" s="17">
        <f t="shared" si="15"/>
        <v>1.25</v>
      </c>
      <c r="H58" s="17">
        <f>+G58*C58*0.01+E58</f>
        <v>100</v>
      </c>
    </row>
    <row r="59" spans="1:8" s="19" customFormat="1">
      <c r="A59" s="87" t="s">
        <v>72</v>
      </c>
      <c r="B59" s="15">
        <v>36292</v>
      </c>
      <c r="C59" s="16">
        <v>10000</v>
      </c>
      <c r="D59" s="17">
        <v>224.25</v>
      </c>
      <c r="E59" s="18">
        <f t="shared" si="14"/>
        <v>-25</v>
      </c>
      <c r="F59" s="18">
        <f>+Sheet2!$G$9</f>
        <v>223.75</v>
      </c>
      <c r="G59" s="17">
        <f t="shared" si="15"/>
        <v>-0.5</v>
      </c>
      <c r="H59" s="17">
        <f>+G59*C59*0.01+E59</f>
        <v>-75</v>
      </c>
    </row>
    <row r="60" spans="1:8" s="19" customFormat="1">
      <c r="A60" s="87" t="s">
        <v>72</v>
      </c>
      <c r="B60" s="15">
        <v>36287</v>
      </c>
      <c r="C60" s="16">
        <v>-20000</v>
      </c>
      <c r="D60" s="17">
        <v>223.25</v>
      </c>
      <c r="E60" s="18">
        <f t="shared" si="14"/>
        <v>-50</v>
      </c>
      <c r="F60" s="18">
        <f>+Sheet2!$G$9</f>
        <v>223.75</v>
      </c>
      <c r="G60" s="17">
        <f t="shared" si="15"/>
        <v>-0.5</v>
      </c>
      <c r="H60" s="17">
        <f>+G60*-C60*0.01+E60</f>
        <v>-150</v>
      </c>
    </row>
    <row r="61" spans="1:8" s="19" customFormat="1">
      <c r="A61" s="87" t="s">
        <v>72</v>
      </c>
      <c r="B61" s="15">
        <v>36293</v>
      </c>
      <c r="C61" s="16">
        <v>-10000</v>
      </c>
      <c r="D61" s="17">
        <v>224.25</v>
      </c>
      <c r="E61" s="18">
        <f t="shared" si="14"/>
        <v>-25</v>
      </c>
      <c r="F61" s="18">
        <f>+Sheet2!$G$9</f>
        <v>223.75</v>
      </c>
      <c r="G61" s="17">
        <f t="shared" si="15"/>
        <v>0.5</v>
      </c>
      <c r="H61" s="17">
        <f>+G61*-C61*0.01+E61</f>
        <v>25</v>
      </c>
    </row>
    <row r="62" spans="1:8" s="19" customFormat="1">
      <c r="A62" s="87" t="s">
        <v>72</v>
      </c>
      <c r="B62" s="15">
        <v>36293</v>
      </c>
      <c r="C62" s="16">
        <v>-20000</v>
      </c>
      <c r="D62" s="17">
        <v>223.5</v>
      </c>
      <c r="E62" s="18">
        <f t="shared" si="14"/>
        <v>-50</v>
      </c>
      <c r="F62" s="18">
        <f>+Sheet2!$G$9</f>
        <v>223.75</v>
      </c>
      <c r="G62" s="17">
        <f t="shared" si="15"/>
        <v>-0.25</v>
      </c>
      <c r="H62" s="17">
        <f>+G62*-C62*0.01+E62</f>
        <v>-100</v>
      </c>
    </row>
    <row r="63" spans="1:8" s="19" customFormat="1">
      <c r="A63" s="87" t="s">
        <v>72</v>
      </c>
      <c r="B63" s="15">
        <v>36294</v>
      </c>
      <c r="C63" s="16">
        <f>5000*6</f>
        <v>30000</v>
      </c>
      <c r="D63" s="17">
        <v>225.25</v>
      </c>
      <c r="E63" s="18">
        <f>IF(C63&gt;0,-C63/5000*12.5,C63/5000*12.5)</f>
        <v>-75</v>
      </c>
      <c r="F63" s="18">
        <f>+Sheet2!$G$9</f>
        <v>223.75</v>
      </c>
      <c r="G63" s="17">
        <f>IF(C63&gt;0,F63-D63,D63-F63)</f>
        <v>-1.5</v>
      </c>
      <c r="H63" s="17">
        <f>+G63*C63*0.01+E63</f>
        <v>-525</v>
      </c>
    </row>
    <row r="64" spans="1:8" s="19" customFormat="1">
      <c r="A64" s="87" t="s">
        <v>72</v>
      </c>
      <c r="B64" s="15">
        <v>36294</v>
      </c>
      <c r="C64" s="16">
        <v>-20000</v>
      </c>
      <c r="D64" s="17">
        <v>222.75</v>
      </c>
      <c r="E64" s="18">
        <f>IF(C64&gt;0,-C64/5000*12.5,C64/5000*12.5)</f>
        <v>-50</v>
      </c>
      <c r="F64" s="18">
        <f>+Sheet2!$G$9</f>
        <v>223.75</v>
      </c>
      <c r="G64" s="17">
        <f>IF(C64&gt;0,F64-D64,D64-F64)</f>
        <v>-1</v>
      </c>
      <c r="H64" s="17">
        <f>+G64*-C64*0.01+E64</f>
        <v>-250</v>
      </c>
    </row>
    <row r="65" spans="1:11" s="19" customFormat="1">
      <c r="A65" s="87" t="s">
        <v>72</v>
      </c>
      <c r="B65" s="15">
        <v>36294</v>
      </c>
      <c r="C65" s="16">
        <v>-10000</v>
      </c>
      <c r="D65" s="17">
        <v>221.5</v>
      </c>
      <c r="E65" s="18">
        <f>IF(C65&gt;0,-C65/5000*12.5,C65/5000*12.5)</f>
        <v>-25</v>
      </c>
      <c r="F65" s="18">
        <f>+Sheet2!$G$9</f>
        <v>223.75</v>
      </c>
      <c r="G65" s="17">
        <f>IF(C65&gt;0,F65-D65,D65-F65)</f>
        <v>-2.25</v>
      </c>
      <c r="H65" s="17">
        <f>+G65*-C65*0.01+E65</f>
        <v>-250</v>
      </c>
    </row>
    <row r="66" spans="1:11" s="19" customFormat="1">
      <c r="A66" s="87" t="s">
        <v>72</v>
      </c>
      <c r="B66" s="15">
        <v>36297</v>
      </c>
      <c r="C66" s="16">
        <v>20000</v>
      </c>
      <c r="D66" s="17">
        <v>224.75</v>
      </c>
      <c r="E66" s="18">
        <f>IF(C66&gt;0,-C66/5000*12.5,C66/5000*12.5)</f>
        <v>-50</v>
      </c>
      <c r="F66" s="18">
        <f>+Sheet2!$G$9</f>
        <v>223.75</v>
      </c>
      <c r="G66" s="17">
        <f>IF(C66&gt;0,F66-D66,D66-F66)</f>
        <v>-1</v>
      </c>
      <c r="H66" s="17">
        <f>+G66*C66*0.01+E66</f>
        <v>-250</v>
      </c>
    </row>
    <row r="67" spans="1:11" s="19" customFormat="1">
      <c r="A67" s="30"/>
      <c r="B67" s="15"/>
      <c r="C67" s="16"/>
      <c r="D67" s="17"/>
      <c r="E67" s="18"/>
      <c r="F67" s="18"/>
      <c r="G67" s="17"/>
      <c r="H67" s="17"/>
      <c r="J67" s="33">
        <f>SUM(H35:H67)</f>
        <v>-800</v>
      </c>
      <c r="K67" s="32" t="s">
        <v>64</v>
      </c>
    </row>
    <row r="68" spans="1:11" s="19" customFormat="1">
      <c r="A68" s="30"/>
      <c r="B68" s="15"/>
      <c r="C68" s="16"/>
      <c r="D68" s="17"/>
      <c r="E68" s="18"/>
      <c r="F68" s="18"/>
      <c r="G68" s="17"/>
      <c r="H68" s="17"/>
      <c r="J68" s="40">
        <f>SUM(C35:C67)/5000</f>
        <v>0</v>
      </c>
      <c r="K68" s="32" t="s">
        <v>45</v>
      </c>
    </row>
    <row r="69" spans="1:11" s="19" customFormat="1">
      <c r="A69" s="93" t="s">
        <v>76</v>
      </c>
      <c r="B69" s="15"/>
      <c r="C69" s="16"/>
      <c r="D69" s="17"/>
      <c r="E69" s="18"/>
      <c r="F69" s="18"/>
      <c r="G69" s="17"/>
      <c r="H69" s="17"/>
      <c r="J69" s="41"/>
      <c r="K69" s="32"/>
    </row>
    <row r="70" spans="1:11" s="19" customFormat="1">
      <c r="A70" s="87" t="s">
        <v>72</v>
      </c>
      <c r="B70" s="15">
        <v>36278</v>
      </c>
      <c r="C70" s="92">
        <v>-20000</v>
      </c>
      <c r="D70" s="62">
        <v>3</v>
      </c>
      <c r="E70" s="18">
        <f>IF(C70&gt;0,-C70/5000*12.5,C70/5000*12.5)</f>
        <v>-50</v>
      </c>
      <c r="F70" s="63">
        <v>2.625</v>
      </c>
      <c r="G70" s="62">
        <f>IF(C70&gt;0,F70-D70,D70-F70)</f>
        <v>0.375</v>
      </c>
      <c r="H70" s="17">
        <f>-G70*C70*0.01+E70</f>
        <v>25</v>
      </c>
      <c r="I70" s="19" t="s">
        <v>75</v>
      </c>
    </row>
    <row r="71" spans="1:11" s="19" customFormat="1">
      <c r="A71" s="87" t="s">
        <v>72</v>
      </c>
      <c r="B71" s="15">
        <v>36278</v>
      </c>
      <c r="C71" s="92">
        <v>40000</v>
      </c>
      <c r="D71" s="62">
        <v>4.5</v>
      </c>
      <c r="E71" s="18">
        <f>IF(C71&gt;0,-C71/5000*12.5,C71/5000*12.5)</f>
        <v>-100</v>
      </c>
      <c r="F71" s="63">
        <v>4</v>
      </c>
      <c r="G71" s="62">
        <f>IF(C71&gt;0,F71-D71,D71-F71)</f>
        <v>-0.5</v>
      </c>
      <c r="H71" s="17">
        <f>+G71*C71*0.01+E71</f>
        <v>-300</v>
      </c>
      <c r="I71" s="19" t="s">
        <v>78</v>
      </c>
    </row>
    <row r="72" spans="1:11" s="19" customFormat="1">
      <c r="A72" s="87" t="s">
        <v>72</v>
      </c>
      <c r="B72" s="15">
        <v>36286</v>
      </c>
      <c r="C72" s="92">
        <v>-40000</v>
      </c>
      <c r="D72" s="62">
        <v>4</v>
      </c>
      <c r="E72" s="18">
        <f>IF(C72&gt;0,-C72/5000*12.5,C72/5000*12.5)</f>
        <v>-100</v>
      </c>
      <c r="F72" s="63">
        <v>4</v>
      </c>
      <c r="G72" s="62">
        <f>IF(C72&gt;0,F72-D72,D72-F72)</f>
        <v>0</v>
      </c>
      <c r="H72" s="17">
        <f>-G72*C72*0.01+E72</f>
        <v>-100</v>
      </c>
      <c r="I72" s="19" t="s">
        <v>75</v>
      </c>
    </row>
    <row r="73" spans="1:11" s="19" customFormat="1">
      <c r="A73" s="87" t="s">
        <v>72</v>
      </c>
      <c r="B73" s="15">
        <v>36292</v>
      </c>
      <c r="C73" s="92">
        <v>20000</v>
      </c>
      <c r="D73" s="62">
        <v>1.625</v>
      </c>
      <c r="E73" s="18">
        <f>IF(C73&gt;0,-C73/5000*12.5,C73/5000*12.5)</f>
        <v>-50</v>
      </c>
      <c r="F73" s="63">
        <v>2.625</v>
      </c>
      <c r="G73" s="62">
        <f>IF(C73&gt;0,F73-D73,D73-F73)</f>
        <v>1</v>
      </c>
      <c r="H73" s="17">
        <f>G73*C73*0.01+E73</f>
        <v>150</v>
      </c>
      <c r="I73" s="19" t="s">
        <v>80</v>
      </c>
    </row>
    <row r="74" spans="1:11" s="19" customFormat="1">
      <c r="A74" s="87" t="s">
        <v>72</v>
      </c>
      <c r="B74" s="15">
        <v>36292</v>
      </c>
      <c r="C74" s="92">
        <v>25000</v>
      </c>
      <c r="D74" s="62">
        <v>5.5</v>
      </c>
      <c r="E74" s="18">
        <f>IF(C74&gt;0,-C74/5000*12.5,C74/5000*12.5)</f>
        <v>-62.5</v>
      </c>
      <c r="F74" s="63">
        <v>5.5</v>
      </c>
      <c r="G74" s="62">
        <f>IF(C74&gt;0,F74-D74,D74-F74)</f>
        <v>0</v>
      </c>
      <c r="H74" s="17">
        <f>+G74*C74*0.01+E74</f>
        <v>-62.5</v>
      </c>
      <c r="I74" s="19" t="s">
        <v>78</v>
      </c>
    </row>
    <row r="75" spans="1:11" s="19" customFormat="1">
      <c r="A75" s="30"/>
      <c r="B75" s="15"/>
      <c r="C75" s="16"/>
      <c r="D75" s="17"/>
      <c r="E75" s="18"/>
      <c r="F75" s="18"/>
      <c r="G75" s="17"/>
      <c r="H75" s="17"/>
      <c r="J75" s="33">
        <f>SUM(H70:H75)</f>
        <v>-287.5</v>
      </c>
      <c r="K75" s="32" t="s">
        <v>77</v>
      </c>
    </row>
    <row r="76" spans="1:11" s="19" customFormat="1">
      <c r="A76" s="30"/>
      <c r="B76" s="15"/>
      <c r="C76" s="16"/>
      <c r="D76" s="17"/>
      <c r="E76" s="18"/>
      <c r="F76" s="18"/>
      <c r="G76" s="17"/>
      <c r="H76" s="17"/>
      <c r="J76" s="40"/>
      <c r="K76" s="32"/>
    </row>
    <row r="77" spans="1:11" s="19" customFormat="1">
      <c r="A77" s="30"/>
      <c r="B77" s="15"/>
      <c r="C77" s="16"/>
      <c r="D77" s="17"/>
      <c r="E77" s="18"/>
      <c r="F77" s="18"/>
      <c r="G77" s="17"/>
      <c r="H77" s="17"/>
      <c r="J77" s="41"/>
      <c r="K77" s="32"/>
    </row>
    <row r="78" spans="1:11" s="19" customFormat="1">
      <c r="A78" s="1" t="s">
        <v>55</v>
      </c>
      <c r="B78" s="15">
        <v>36250</v>
      </c>
      <c r="C78" s="16">
        <f>112000*2</f>
        <v>224000</v>
      </c>
      <c r="D78" s="17">
        <v>5.88</v>
      </c>
      <c r="E78" s="18">
        <f t="shared" ref="E78:E83" si="16">IF(C78&gt;0,-C78/112000*12.5,C78/112000*12.5)</f>
        <v>-25</v>
      </c>
      <c r="F78" s="18">
        <f>+Sheet2!$J$9</f>
        <v>25</v>
      </c>
      <c r="G78" s="17">
        <f t="shared" ref="G78:G83" si="17">IF(C78&gt;0,F78-D78,D78-F78)</f>
        <v>19.12</v>
      </c>
      <c r="H78" s="17">
        <f>+G78*C78/100+E78</f>
        <v>42803.8</v>
      </c>
    </row>
    <row r="79" spans="1:11" s="19" customFormat="1">
      <c r="A79" s="1" t="s">
        <v>55</v>
      </c>
      <c r="B79" s="15">
        <v>36256</v>
      </c>
      <c r="C79" s="16">
        <v>-224000</v>
      </c>
      <c r="D79" s="17">
        <v>5.49</v>
      </c>
      <c r="E79" s="18">
        <f t="shared" si="16"/>
        <v>-25</v>
      </c>
      <c r="F79" s="18">
        <f>+Sheet2!$J$9</f>
        <v>25</v>
      </c>
      <c r="G79" s="17">
        <f t="shared" si="17"/>
        <v>-19.509999999999998</v>
      </c>
      <c r="H79" s="17">
        <f>-G79*C79/100+E79</f>
        <v>-43727.4</v>
      </c>
    </row>
    <row r="80" spans="1:11" s="19" customFormat="1">
      <c r="A80" s="1" t="s">
        <v>55</v>
      </c>
      <c r="B80" s="15">
        <v>36256</v>
      </c>
      <c r="C80" s="16">
        <f>112000*2</f>
        <v>224000</v>
      </c>
      <c r="D80" s="17">
        <v>5.57</v>
      </c>
      <c r="E80" s="18">
        <f t="shared" si="16"/>
        <v>-25</v>
      </c>
      <c r="F80" s="18">
        <f>+Sheet2!$J$9</f>
        <v>25</v>
      </c>
      <c r="G80" s="17">
        <f t="shared" si="17"/>
        <v>19.43</v>
      </c>
      <c r="H80" s="17">
        <f>+G80*C80/100+E80</f>
        <v>43498.2</v>
      </c>
    </row>
    <row r="81" spans="1:11" s="19" customFormat="1">
      <c r="A81" s="1" t="s">
        <v>55</v>
      </c>
      <c r="B81" s="15">
        <v>36256</v>
      </c>
      <c r="C81" s="16">
        <f>224000*2</f>
        <v>448000</v>
      </c>
      <c r="D81" s="17">
        <v>5.63</v>
      </c>
      <c r="E81" s="18">
        <f t="shared" si="16"/>
        <v>-50</v>
      </c>
      <c r="F81" s="18">
        <f>+Sheet2!$J$9</f>
        <v>25</v>
      </c>
      <c r="G81" s="17">
        <f t="shared" si="17"/>
        <v>19.37</v>
      </c>
      <c r="H81" s="17">
        <f>+G81*C81/100+E81</f>
        <v>86727.6</v>
      </c>
    </row>
    <row r="82" spans="1:11" s="19" customFormat="1">
      <c r="A82" s="1" t="s">
        <v>55</v>
      </c>
      <c r="B82" s="15">
        <v>36257</v>
      </c>
      <c r="C82" s="16">
        <v>-224000</v>
      </c>
      <c r="D82" s="17">
        <v>5.5</v>
      </c>
      <c r="E82" s="18">
        <f t="shared" si="16"/>
        <v>-25</v>
      </c>
      <c r="F82" s="18">
        <f>+Sheet2!$J$9</f>
        <v>25</v>
      </c>
      <c r="G82" s="17">
        <f t="shared" si="17"/>
        <v>-19.5</v>
      </c>
      <c r="H82" s="17">
        <f>-G82*C82/100+E82</f>
        <v>-43705</v>
      </c>
    </row>
    <row r="83" spans="1:11" s="19" customFormat="1">
      <c r="A83" s="1" t="s">
        <v>55</v>
      </c>
      <c r="B83" s="15">
        <v>36258</v>
      </c>
      <c r="C83" s="16">
        <v>-448000</v>
      </c>
      <c r="D83" s="17">
        <v>5.4</v>
      </c>
      <c r="E83" s="18">
        <f t="shared" si="16"/>
        <v>-50</v>
      </c>
      <c r="F83" s="18">
        <f>+Sheet2!$J$9</f>
        <v>25</v>
      </c>
      <c r="G83" s="17">
        <f t="shared" si="17"/>
        <v>-19.600000000000001</v>
      </c>
      <c r="H83" s="17">
        <f>-G83*C83/100+E83</f>
        <v>-87858</v>
      </c>
    </row>
    <row r="84" spans="1:11" s="19" customFormat="1">
      <c r="A84" s="30"/>
      <c r="B84" s="15"/>
      <c r="C84" s="16"/>
      <c r="D84" s="17"/>
      <c r="E84" s="18"/>
      <c r="F84" s="18"/>
      <c r="G84" s="17"/>
      <c r="H84" s="17"/>
      <c r="J84" s="33">
        <f>SUM(H78:H84)</f>
        <v>-2260.7999999999884</v>
      </c>
      <c r="K84" s="32" t="s">
        <v>57</v>
      </c>
    </row>
    <row r="85" spans="1:11" s="19" customFormat="1">
      <c r="A85" s="30"/>
      <c r="B85" s="15"/>
      <c r="C85" s="16"/>
      <c r="D85" s="17"/>
      <c r="E85" s="18"/>
      <c r="F85" s="18"/>
      <c r="G85" s="17"/>
      <c r="H85" s="17"/>
      <c r="J85" s="40">
        <f>SUM(C78:C84)/112500</f>
        <v>0</v>
      </c>
      <c r="K85" s="32" t="s">
        <v>45</v>
      </c>
    </row>
    <row r="86" spans="1:11" s="19" customFormat="1">
      <c r="A86" s="29"/>
      <c r="B86" s="15"/>
      <c r="C86" s="16"/>
      <c r="D86" s="17"/>
      <c r="E86" s="18"/>
      <c r="F86" s="18"/>
      <c r="G86" s="17"/>
      <c r="H86" s="17"/>
      <c r="J86" s="41"/>
      <c r="K86" s="32"/>
    </row>
    <row r="87" spans="1:11" s="19" customFormat="1">
      <c r="A87" s="1" t="s">
        <v>47</v>
      </c>
      <c r="B87" s="15">
        <v>36230</v>
      </c>
      <c r="C87" s="16">
        <v>50000</v>
      </c>
      <c r="D87" s="17">
        <v>61.7</v>
      </c>
      <c r="E87" s="18">
        <f t="shared" ref="E87:E92" si="18">IF(C87&gt;0,-C87/50000*12.5,C87/50000*12.5)</f>
        <v>-12.5</v>
      </c>
      <c r="F87" s="18">
        <f>+Sheet2!E$9</f>
        <v>25</v>
      </c>
      <c r="G87" s="17">
        <f t="shared" ref="G87:G92" si="19">IF(C87&gt;0,F87-D87,D87-F87)</f>
        <v>-36.700000000000003</v>
      </c>
      <c r="H87" s="17">
        <f>(C87/10000)*G87*100+E87</f>
        <v>-18362.5</v>
      </c>
    </row>
    <row r="88" spans="1:11" s="19" customFormat="1">
      <c r="A88" s="1" t="s">
        <v>47</v>
      </c>
      <c r="B88" s="15">
        <v>36230</v>
      </c>
      <c r="C88" s="16">
        <v>50000</v>
      </c>
      <c r="D88" s="17">
        <v>62.5</v>
      </c>
      <c r="E88" s="18">
        <f t="shared" si="18"/>
        <v>-12.5</v>
      </c>
      <c r="F88" s="18">
        <f>+Sheet2!E$9</f>
        <v>25</v>
      </c>
      <c r="G88" s="17">
        <f t="shared" si="19"/>
        <v>-37.5</v>
      </c>
      <c r="H88" s="17">
        <f>(C88/10000)*G88*100+E88</f>
        <v>-18762.5</v>
      </c>
    </row>
    <row r="89" spans="1:11" s="19" customFormat="1">
      <c r="A89" s="1" t="s">
        <v>47</v>
      </c>
      <c r="B89" s="15">
        <v>36230</v>
      </c>
      <c r="C89" s="16">
        <v>-50000</v>
      </c>
      <c r="D89" s="17">
        <v>63.5</v>
      </c>
      <c r="E89" s="18">
        <f t="shared" si="18"/>
        <v>-12.5</v>
      </c>
      <c r="F89" s="18">
        <f>+Sheet2!E$9</f>
        <v>25</v>
      </c>
      <c r="G89" s="17">
        <f t="shared" si="19"/>
        <v>38.5</v>
      </c>
      <c r="H89" s="17">
        <f>(-C89/10000)*G89*100+E89</f>
        <v>19237.5</v>
      </c>
    </row>
    <row r="90" spans="1:11" s="19" customFormat="1">
      <c r="A90" s="1" t="s">
        <v>47</v>
      </c>
      <c r="B90" s="15">
        <v>36231</v>
      </c>
      <c r="C90" s="16">
        <v>50000</v>
      </c>
      <c r="D90" s="17">
        <v>61.55</v>
      </c>
      <c r="E90" s="18">
        <f t="shared" si="18"/>
        <v>-12.5</v>
      </c>
      <c r="F90" s="18">
        <f>+Sheet2!E$9</f>
        <v>25</v>
      </c>
      <c r="G90" s="17">
        <f t="shared" si="19"/>
        <v>-36.549999999999997</v>
      </c>
      <c r="H90" s="17">
        <f>(C90/10000)*G90*100+E90</f>
        <v>-18287.5</v>
      </c>
    </row>
    <row r="91" spans="1:11" s="19" customFormat="1">
      <c r="A91" s="1" t="s">
        <v>47</v>
      </c>
      <c r="B91" s="15">
        <v>36234</v>
      </c>
      <c r="C91" s="16">
        <v>-50000</v>
      </c>
      <c r="D91" s="17">
        <v>60.6</v>
      </c>
      <c r="E91" s="18">
        <f t="shared" si="18"/>
        <v>-12.5</v>
      </c>
      <c r="F91" s="18">
        <f>+Sheet2!E$9</f>
        <v>25</v>
      </c>
      <c r="G91" s="17">
        <f t="shared" si="19"/>
        <v>35.6</v>
      </c>
      <c r="H91" s="17">
        <f>(-C91/10000)*G91*100+E91</f>
        <v>17787.5</v>
      </c>
    </row>
    <row r="92" spans="1:11" s="19" customFormat="1">
      <c r="A92" s="1" t="s">
        <v>47</v>
      </c>
      <c r="B92" s="15">
        <v>36234</v>
      </c>
      <c r="C92" s="16">
        <v>-50000</v>
      </c>
      <c r="D92" s="17">
        <v>60.86</v>
      </c>
      <c r="E92" s="18">
        <f t="shared" si="18"/>
        <v>-12.5</v>
      </c>
      <c r="F92" s="18">
        <f>+Sheet2!E$9</f>
        <v>25</v>
      </c>
      <c r="G92" s="17">
        <f t="shared" si="19"/>
        <v>35.86</v>
      </c>
      <c r="H92" s="17">
        <f>(-C92/10000)*G92*100+E92</f>
        <v>17917.5</v>
      </c>
    </row>
    <row r="93" spans="1:11" s="19" customFormat="1">
      <c r="A93" s="1" t="s">
        <v>47</v>
      </c>
      <c r="B93" s="15">
        <v>36235</v>
      </c>
      <c r="C93" s="16">
        <v>50000</v>
      </c>
      <c r="D93" s="17">
        <v>61.2</v>
      </c>
      <c r="E93" s="18">
        <f t="shared" ref="E93:E100" si="20">IF(C93&gt;0,-C93/50000*12.5,C93/50000*12.5)</f>
        <v>-12.5</v>
      </c>
      <c r="F93" s="18">
        <f>+Sheet2!E$9</f>
        <v>25</v>
      </c>
      <c r="G93" s="17">
        <f t="shared" ref="G93:G100" si="21">IF(C93&gt;0,F93-D93,D93-F93)</f>
        <v>-36.200000000000003</v>
      </c>
      <c r="H93" s="17">
        <f>(C93/10000)*G93*100+E93</f>
        <v>-18112.5</v>
      </c>
    </row>
    <row r="94" spans="1:11" s="19" customFormat="1">
      <c r="A94" s="1" t="s">
        <v>47</v>
      </c>
      <c r="B94" s="15">
        <v>36244</v>
      </c>
      <c r="C94" s="16">
        <v>50000</v>
      </c>
      <c r="D94" s="17">
        <v>62.65</v>
      </c>
      <c r="E94" s="18">
        <f t="shared" si="20"/>
        <v>-12.5</v>
      </c>
      <c r="F94" s="18">
        <f>+Sheet2!E$9</f>
        <v>25</v>
      </c>
      <c r="G94" s="17">
        <f t="shared" si="21"/>
        <v>-37.65</v>
      </c>
      <c r="H94" s="17">
        <f>(C94/10000)*G94*100+E94</f>
        <v>-18837.5</v>
      </c>
    </row>
    <row r="95" spans="1:11" s="19" customFormat="1">
      <c r="A95" s="1" t="s">
        <v>47</v>
      </c>
      <c r="B95" s="15">
        <v>36245</v>
      </c>
      <c r="C95" s="16">
        <v>-50000</v>
      </c>
      <c r="D95" s="17">
        <v>62.1</v>
      </c>
      <c r="E95" s="18">
        <f t="shared" si="20"/>
        <v>-12.5</v>
      </c>
      <c r="F95" s="18">
        <f>+Sheet2!E$9</f>
        <v>25</v>
      </c>
      <c r="G95" s="17">
        <f t="shared" si="21"/>
        <v>37.1</v>
      </c>
      <c r="H95" s="17">
        <f>(-C95/10000)*G95*100+E95</f>
        <v>18537.5</v>
      </c>
    </row>
    <row r="96" spans="1:11" s="19" customFormat="1">
      <c r="A96" s="1" t="s">
        <v>47</v>
      </c>
      <c r="B96" s="15">
        <v>36245</v>
      </c>
      <c r="C96" s="16">
        <v>-50000</v>
      </c>
      <c r="D96" s="17">
        <v>61.3</v>
      </c>
      <c r="E96" s="18">
        <f t="shared" si="20"/>
        <v>-12.5</v>
      </c>
      <c r="F96" s="18">
        <f>+Sheet2!E$9</f>
        <v>25</v>
      </c>
      <c r="G96" s="17">
        <f t="shared" si="21"/>
        <v>36.299999999999997</v>
      </c>
      <c r="H96" s="17">
        <f>(-C96/10000)*G96*100+E96</f>
        <v>18137.5</v>
      </c>
    </row>
    <row r="97" spans="1:11" s="19" customFormat="1">
      <c r="A97" s="1" t="s">
        <v>47</v>
      </c>
      <c r="B97" s="15">
        <v>36257</v>
      </c>
      <c r="C97" s="16">
        <v>100000</v>
      </c>
      <c r="D97" s="17">
        <v>61.2</v>
      </c>
      <c r="E97" s="18">
        <f t="shared" si="20"/>
        <v>-25</v>
      </c>
      <c r="F97" s="18">
        <f>+Sheet2!E$9</f>
        <v>25</v>
      </c>
      <c r="G97" s="17">
        <f t="shared" si="21"/>
        <v>-36.200000000000003</v>
      </c>
      <c r="H97" s="17">
        <f>(C97/10000)*G97*100+E97</f>
        <v>-36225</v>
      </c>
    </row>
    <row r="98" spans="1:11" s="19" customFormat="1">
      <c r="A98" s="1" t="s">
        <v>47</v>
      </c>
      <c r="B98" s="15">
        <v>36258</v>
      </c>
      <c r="C98" s="16">
        <v>50000</v>
      </c>
      <c r="D98" s="17">
        <v>61.65</v>
      </c>
      <c r="E98" s="18">
        <f t="shared" si="20"/>
        <v>-12.5</v>
      </c>
      <c r="F98" s="18">
        <f>+Sheet2!E$9</f>
        <v>25</v>
      </c>
      <c r="G98" s="17">
        <f t="shared" si="21"/>
        <v>-36.65</v>
      </c>
      <c r="H98" s="17">
        <f>(C98/10000)*G98*100+E98</f>
        <v>-18337.5</v>
      </c>
    </row>
    <row r="99" spans="1:11" s="19" customFormat="1">
      <c r="A99" s="1" t="s">
        <v>47</v>
      </c>
      <c r="B99" s="15">
        <v>36258</v>
      </c>
      <c r="C99" s="16">
        <v>50000</v>
      </c>
      <c r="D99" s="17">
        <v>61.95</v>
      </c>
      <c r="E99" s="18">
        <f t="shared" si="20"/>
        <v>-12.5</v>
      </c>
      <c r="F99" s="18">
        <f>+Sheet2!E$9</f>
        <v>25</v>
      </c>
      <c r="G99" s="17">
        <f t="shared" si="21"/>
        <v>-36.950000000000003</v>
      </c>
      <c r="H99" s="17">
        <f>(C99/10000)*G99*100+E99</f>
        <v>-18487.5</v>
      </c>
    </row>
    <row r="100" spans="1:11" s="19" customFormat="1">
      <c r="A100" s="1" t="s">
        <v>47</v>
      </c>
      <c r="B100" s="15">
        <v>36258</v>
      </c>
      <c r="C100" s="16">
        <v>-100000</v>
      </c>
      <c r="D100" s="17">
        <v>61.45</v>
      </c>
      <c r="E100" s="18">
        <f t="shared" si="20"/>
        <v>-25</v>
      </c>
      <c r="F100" s="18">
        <f>+Sheet2!E$9</f>
        <v>25</v>
      </c>
      <c r="G100" s="17">
        <f t="shared" si="21"/>
        <v>36.450000000000003</v>
      </c>
      <c r="H100" s="17">
        <f>(-C100/10000)*G100*100+E100</f>
        <v>36425</v>
      </c>
      <c r="I100" s="19" t="s">
        <v>66</v>
      </c>
    </row>
    <row r="101" spans="1:11" s="19" customFormat="1">
      <c r="A101" s="1" t="s">
        <v>47</v>
      </c>
      <c r="B101" s="15">
        <v>36263</v>
      </c>
      <c r="C101" s="16">
        <v>-100000</v>
      </c>
      <c r="D101" s="17">
        <v>60.15</v>
      </c>
      <c r="E101" s="18">
        <f>IF(C101&gt;0,-C101/50000*12.5,C101/50000*12.5)</f>
        <v>-25</v>
      </c>
      <c r="F101" s="18">
        <f>+Sheet2!E$9</f>
        <v>25</v>
      </c>
      <c r="G101" s="17">
        <f>IF(C101&gt;0,F101-D101,D101-F101)</f>
        <v>35.15</v>
      </c>
      <c r="H101" s="17">
        <f>(-C101/10000)*G101*100+E101</f>
        <v>35125</v>
      </c>
    </row>
    <row r="102" spans="1:11" s="19" customFormat="1">
      <c r="A102" s="30"/>
      <c r="B102" s="15"/>
      <c r="C102" s="16"/>
      <c r="D102" s="17"/>
      <c r="E102" s="18"/>
      <c r="F102" s="18"/>
      <c r="G102" s="17"/>
      <c r="H102" s="17"/>
      <c r="J102" s="33">
        <f>SUM(H87:H102)</f>
        <v>-2245</v>
      </c>
      <c r="K102" s="32" t="s">
        <v>48</v>
      </c>
    </row>
    <row r="103" spans="1:11" s="19" customFormat="1">
      <c r="A103" s="29"/>
      <c r="B103" s="15"/>
      <c r="C103" s="16"/>
      <c r="D103" s="17"/>
      <c r="E103" s="18"/>
      <c r="F103" s="18"/>
      <c r="G103" s="17"/>
      <c r="H103" s="17"/>
      <c r="J103" s="40">
        <f>SUM(C87:C102)/50000</f>
        <v>0</v>
      </c>
      <c r="K103" s="32" t="s">
        <v>45</v>
      </c>
    </row>
    <row r="104" spans="1:11" s="19" customFormat="1">
      <c r="A104" s="30"/>
      <c r="B104" s="15"/>
      <c r="C104" s="16"/>
      <c r="D104" s="17"/>
      <c r="E104" s="18"/>
      <c r="F104" s="18"/>
      <c r="G104" s="17"/>
      <c r="H104" s="17"/>
      <c r="J104" s="41"/>
      <c r="K104" s="32"/>
    </row>
    <row r="105" spans="1:11" s="19" customFormat="1">
      <c r="A105" s="1" t="s">
        <v>50</v>
      </c>
      <c r="B105" s="15">
        <v>36244</v>
      </c>
      <c r="C105" s="16">
        <v>50000</v>
      </c>
      <c r="D105" s="17">
        <v>71.7</v>
      </c>
      <c r="E105" s="18">
        <f>IF(C105&gt;0,-C105/50000*12.5,C105/50000*12.5)</f>
        <v>-12.5</v>
      </c>
      <c r="F105" s="18">
        <f>+Sheet2!F$9</f>
        <v>25</v>
      </c>
      <c r="G105" s="17">
        <f>IF(C105&gt;0,F105-D105,D105-F105)</f>
        <v>-46.7</v>
      </c>
      <c r="H105" s="17">
        <f>(C105/10000)*G105*100+E105</f>
        <v>-23362.5</v>
      </c>
    </row>
    <row r="106" spans="1:11" s="19" customFormat="1">
      <c r="A106" s="1" t="s">
        <v>50</v>
      </c>
      <c r="B106" s="15">
        <v>36244</v>
      </c>
      <c r="C106" s="16">
        <v>-50000</v>
      </c>
      <c r="D106" s="17">
        <v>71.2</v>
      </c>
      <c r="E106" s="18">
        <f>IF(C106&gt;0,-C106/50000*12.5,C106/50000*12.5)</f>
        <v>-12.5</v>
      </c>
      <c r="F106" s="18">
        <f>+Sheet2!F$9</f>
        <v>25</v>
      </c>
      <c r="G106" s="17">
        <f>IF(C106&gt;0,F106-D106,D106-F106)</f>
        <v>46.2</v>
      </c>
      <c r="H106" s="17">
        <f>(-C106/10000)*G106*100+E106</f>
        <v>23087.5</v>
      </c>
    </row>
    <row r="107" spans="1:11" s="19" customFormat="1">
      <c r="A107" s="30"/>
      <c r="B107" s="15"/>
      <c r="C107" s="16"/>
      <c r="D107" s="17"/>
      <c r="E107" s="18"/>
      <c r="F107" s="18"/>
      <c r="G107" s="17"/>
      <c r="H107" s="17"/>
      <c r="J107" s="33">
        <f>SUM(H105:H107)</f>
        <v>-275</v>
      </c>
      <c r="K107" s="32" t="s">
        <v>51</v>
      </c>
    </row>
    <row r="108" spans="1:11" s="19" customFormat="1">
      <c r="A108" s="29"/>
      <c r="B108" s="15"/>
      <c r="C108" s="16"/>
      <c r="D108" s="17"/>
      <c r="E108" s="18"/>
      <c r="F108" s="18"/>
      <c r="G108" s="17"/>
      <c r="H108" s="17"/>
      <c r="J108" s="40">
        <f>SUM(C105:C107)/50000</f>
        <v>0</v>
      </c>
      <c r="K108" s="32" t="s">
        <v>45</v>
      </c>
    </row>
    <row r="109" spans="1:11" s="19" customFormat="1">
      <c r="A109" s="30"/>
      <c r="B109" s="15"/>
      <c r="C109" s="16"/>
      <c r="D109" s="17"/>
      <c r="E109" s="18"/>
      <c r="F109" s="18"/>
      <c r="G109" s="17"/>
      <c r="H109" s="17"/>
      <c r="J109" s="41"/>
      <c r="K109" s="32"/>
    </row>
    <row r="110" spans="1:11" s="19" customFormat="1">
      <c r="A110" s="1" t="s">
        <v>54</v>
      </c>
      <c r="B110" s="15">
        <v>36251</v>
      </c>
      <c r="C110" s="16">
        <v>80000</v>
      </c>
      <c r="D110" s="62">
        <v>64.5</v>
      </c>
      <c r="E110" s="18">
        <f t="shared" ref="E110:E117" si="22">IF(C110&gt;0,-C110/40000*12.5,C110/40000*12.5)</f>
        <v>-25</v>
      </c>
      <c r="F110" s="63">
        <f>+Sheet2!$I$9</f>
        <v>62.15</v>
      </c>
      <c r="G110" s="62">
        <f t="shared" ref="G110:G117" si="23">IF(C110&gt;0,F110-D110,D110-F110)</f>
        <v>-2.3500000000000014</v>
      </c>
      <c r="H110" s="17">
        <f>(C110/10000)*G110*100+E110</f>
        <v>-1905.0000000000011</v>
      </c>
    </row>
    <row r="111" spans="1:11" s="19" customFormat="1">
      <c r="A111" s="1" t="s">
        <v>54</v>
      </c>
      <c r="B111" s="15">
        <v>36251</v>
      </c>
      <c r="C111" s="16">
        <v>80000</v>
      </c>
      <c r="D111" s="62">
        <v>64.75</v>
      </c>
      <c r="E111" s="18">
        <f t="shared" si="22"/>
        <v>-25</v>
      </c>
      <c r="F111" s="63">
        <f>+Sheet2!$I$9</f>
        <v>62.15</v>
      </c>
      <c r="G111" s="62">
        <f t="shared" si="23"/>
        <v>-2.6000000000000014</v>
      </c>
      <c r="H111" s="17">
        <f>(C111/10000)*G111*100+E111</f>
        <v>-2105.0000000000009</v>
      </c>
    </row>
    <row r="112" spans="1:11" s="19" customFormat="1">
      <c r="A112" s="1" t="s">
        <v>54</v>
      </c>
      <c r="B112" s="15">
        <v>36257</v>
      </c>
      <c r="C112" s="16">
        <v>-80000</v>
      </c>
      <c r="D112" s="62">
        <v>64.875</v>
      </c>
      <c r="E112" s="18">
        <f>IF(C112&gt;0,-C112/40000*12.5,C112/40000*12.5)</f>
        <v>-25</v>
      </c>
      <c r="F112" s="63">
        <f>+Sheet2!$I$9</f>
        <v>62.15</v>
      </c>
      <c r="G112" s="62">
        <f>IF(C112&gt;0,F112-D112,D112-F112)</f>
        <v>2.7250000000000014</v>
      </c>
      <c r="H112" s="17">
        <f>(-C112/10000)*G112*100+E112</f>
        <v>2155.0000000000009</v>
      </c>
    </row>
    <row r="113" spans="1:8" s="19" customFormat="1">
      <c r="A113" s="1" t="s">
        <v>54</v>
      </c>
      <c r="B113" s="15">
        <v>36258</v>
      </c>
      <c r="C113" s="16">
        <v>-160000</v>
      </c>
      <c r="D113" s="62">
        <v>64.5</v>
      </c>
      <c r="E113" s="18">
        <f t="shared" si="22"/>
        <v>-50</v>
      </c>
      <c r="F113" s="63">
        <f>+Sheet2!$I$9</f>
        <v>62.15</v>
      </c>
      <c r="G113" s="62">
        <f t="shared" si="23"/>
        <v>2.3500000000000014</v>
      </c>
      <c r="H113" s="17">
        <f>(-C113/10000)*G113*100+E113</f>
        <v>3710.0000000000023</v>
      </c>
    </row>
    <row r="114" spans="1:8" s="19" customFormat="1">
      <c r="A114" s="1" t="s">
        <v>54</v>
      </c>
      <c r="B114" s="15">
        <v>36262</v>
      </c>
      <c r="C114" s="16">
        <v>-80000</v>
      </c>
      <c r="D114" s="62">
        <v>65.150000000000006</v>
      </c>
      <c r="E114" s="18">
        <f t="shared" si="22"/>
        <v>-25</v>
      </c>
      <c r="F114" s="63">
        <f>+Sheet2!$I$9</f>
        <v>62.15</v>
      </c>
      <c r="G114" s="62">
        <f t="shared" si="23"/>
        <v>3.0000000000000071</v>
      </c>
      <c r="H114" s="17">
        <f>(-C114/10000)*G114*100+E114</f>
        <v>2375.0000000000055</v>
      </c>
    </row>
    <row r="115" spans="1:8" s="19" customFormat="1">
      <c r="A115" s="1" t="s">
        <v>54</v>
      </c>
      <c r="B115" s="15">
        <v>36263</v>
      </c>
      <c r="C115" s="16">
        <v>-80000</v>
      </c>
      <c r="D115" s="62">
        <v>64.650000000000006</v>
      </c>
      <c r="E115" s="18">
        <f t="shared" si="22"/>
        <v>-25</v>
      </c>
      <c r="F115" s="63">
        <f>+Sheet2!$I$9</f>
        <v>62.15</v>
      </c>
      <c r="G115" s="62">
        <f t="shared" si="23"/>
        <v>2.5000000000000071</v>
      </c>
      <c r="H115" s="17">
        <f>(-C115/10000)*G115*100+E115</f>
        <v>1975.0000000000057</v>
      </c>
    </row>
    <row r="116" spans="1:8" s="19" customFormat="1">
      <c r="A116" s="1" t="s">
        <v>54</v>
      </c>
      <c r="B116" s="15">
        <v>36264</v>
      </c>
      <c r="C116" s="16">
        <v>40000</v>
      </c>
      <c r="D116" s="62">
        <v>63.6</v>
      </c>
      <c r="E116" s="18">
        <f t="shared" si="22"/>
        <v>-12.5</v>
      </c>
      <c r="F116" s="63">
        <f>+Sheet2!$I$9</f>
        <v>62.15</v>
      </c>
      <c r="G116" s="62">
        <f t="shared" si="23"/>
        <v>-1.4500000000000028</v>
      </c>
      <c r="H116" s="17">
        <f>(C116/10000)*G116*100+E116</f>
        <v>-592.50000000000114</v>
      </c>
    </row>
    <row r="117" spans="1:8" s="19" customFormat="1">
      <c r="A117" s="1" t="s">
        <v>54</v>
      </c>
      <c r="B117" s="15">
        <v>36265</v>
      </c>
      <c r="C117" s="16">
        <v>-40000</v>
      </c>
      <c r="D117" s="62">
        <v>63.75</v>
      </c>
      <c r="E117" s="18">
        <f t="shared" si="22"/>
        <v>-12.5</v>
      </c>
      <c r="F117" s="63">
        <f>+Sheet2!$I$9</f>
        <v>62.15</v>
      </c>
      <c r="G117" s="62">
        <f t="shared" si="23"/>
        <v>1.6000000000000014</v>
      </c>
      <c r="H117" s="17">
        <f>(-C117/10000)*G117*100+E117</f>
        <v>627.50000000000057</v>
      </c>
    </row>
    <row r="118" spans="1:8" s="19" customFormat="1">
      <c r="A118" s="1" t="s">
        <v>54</v>
      </c>
      <c r="B118" s="15">
        <v>36269</v>
      </c>
      <c r="C118" s="16">
        <v>80000</v>
      </c>
      <c r="D118" s="62">
        <v>63.125</v>
      </c>
      <c r="E118" s="18">
        <f t="shared" ref="E118:E127" si="24">IF(C118&gt;0,-C118/40000*12.5,C118/40000*12.5)</f>
        <v>-25</v>
      </c>
      <c r="F118" s="63">
        <f>+Sheet2!$I$9</f>
        <v>62.15</v>
      </c>
      <c r="G118" s="62">
        <f t="shared" ref="G118:G127" si="25">IF(C118&gt;0,F118-D118,D118-F118)</f>
        <v>-0.97500000000000142</v>
      </c>
      <c r="H118" s="17">
        <f>(C118/10000)*G118*100+E118</f>
        <v>-805.00000000000114</v>
      </c>
    </row>
    <row r="119" spans="1:8" s="19" customFormat="1">
      <c r="A119" s="1" t="s">
        <v>54</v>
      </c>
      <c r="B119" s="15">
        <v>36269</v>
      </c>
      <c r="C119" s="16">
        <v>80000</v>
      </c>
      <c r="D119" s="62">
        <v>63.45</v>
      </c>
      <c r="E119" s="18">
        <f t="shared" si="24"/>
        <v>-25</v>
      </c>
      <c r="F119" s="63">
        <f>+Sheet2!$I$9</f>
        <v>62.15</v>
      </c>
      <c r="G119" s="62">
        <f t="shared" si="25"/>
        <v>-1.3000000000000043</v>
      </c>
      <c r="H119" s="17">
        <f>(C119/10000)*G119*100+E119</f>
        <v>-1065.0000000000034</v>
      </c>
    </row>
    <row r="120" spans="1:8" s="19" customFormat="1">
      <c r="A120" s="1" t="s">
        <v>54</v>
      </c>
      <c r="B120" s="15">
        <v>36271</v>
      </c>
      <c r="C120" s="16">
        <v>-80000</v>
      </c>
      <c r="D120" s="62">
        <v>63.4</v>
      </c>
      <c r="E120" s="18">
        <f t="shared" si="24"/>
        <v>-25</v>
      </c>
      <c r="F120" s="63">
        <f>+Sheet2!$I$9</f>
        <v>62.15</v>
      </c>
      <c r="G120" s="62">
        <f t="shared" si="25"/>
        <v>1.25</v>
      </c>
      <c r="H120" s="17">
        <f>(-C120/10000)*G120*100+E120</f>
        <v>975</v>
      </c>
    </row>
    <row r="121" spans="1:8" s="19" customFormat="1">
      <c r="A121" s="1" t="s">
        <v>54</v>
      </c>
      <c r="B121" s="15">
        <v>36272</v>
      </c>
      <c r="C121" s="16">
        <v>80000</v>
      </c>
      <c r="D121" s="62">
        <v>63.174999999999997</v>
      </c>
      <c r="E121" s="18">
        <f t="shared" si="24"/>
        <v>-25</v>
      </c>
      <c r="F121" s="63">
        <f>+Sheet2!$I$9</f>
        <v>62.15</v>
      </c>
      <c r="G121" s="62">
        <f t="shared" si="25"/>
        <v>-1.0249999999999986</v>
      </c>
      <c r="H121" s="17">
        <f>(C121/10000)*G121*100+E121</f>
        <v>-844.99999999999886</v>
      </c>
    </row>
    <row r="122" spans="1:8" s="19" customFormat="1">
      <c r="A122" s="1" t="s">
        <v>54</v>
      </c>
      <c r="B122" s="15">
        <v>36272</v>
      </c>
      <c r="C122" s="16">
        <v>-160000</v>
      </c>
      <c r="D122" s="62">
        <v>63</v>
      </c>
      <c r="E122" s="18">
        <f t="shared" si="24"/>
        <v>-50</v>
      </c>
      <c r="F122" s="63">
        <f>+Sheet2!$I$9</f>
        <v>62.15</v>
      </c>
      <c r="G122" s="62">
        <f t="shared" si="25"/>
        <v>0.85000000000000142</v>
      </c>
      <c r="H122" s="17">
        <f>(-C122/10000)*G122*100+E122</f>
        <v>1310.0000000000023</v>
      </c>
    </row>
    <row r="123" spans="1:8" s="19" customFormat="1">
      <c r="A123" s="1" t="s">
        <v>54</v>
      </c>
      <c r="B123" s="15">
        <v>36273</v>
      </c>
      <c r="C123" s="16">
        <v>-80000</v>
      </c>
      <c r="D123" s="62">
        <v>62.7</v>
      </c>
      <c r="E123" s="18">
        <f t="shared" si="24"/>
        <v>-25</v>
      </c>
      <c r="F123" s="63">
        <f>+Sheet2!$I$9</f>
        <v>62.15</v>
      </c>
      <c r="G123" s="62">
        <f t="shared" si="25"/>
        <v>0.55000000000000426</v>
      </c>
      <c r="H123" s="17">
        <f>(-C123/10000)*G123*100+E123</f>
        <v>415.00000000000341</v>
      </c>
    </row>
    <row r="124" spans="1:8" s="19" customFormat="1">
      <c r="A124" s="1" t="s">
        <v>54</v>
      </c>
      <c r="B124" s="15">
        <v>36273</v>
      </c>
      <c r="C124" s="16">
        <v>160000</v>
      </c>
      <c r="D124" s="62">
        <v>62.825000000000003</v>
      </c>
      <c r="E124" s="18">
        <f t="shared" si="24"/>
        <v>-50</v>
      </c>
      <c r="F124" s="63">
        <f>+Sheet2!$I$9</f>
        <v>62.15</v>
      </c>
      <c r="G124" s="62">
        <f t="shared" si="25"/>
        <v>-0.67500000000000426</v>
      </c>
      <c r="H124" s="17">
        <f>(C124/10000)*G124*100+E124</f>
        <v>-1130.0000000000068</v>
      </c>
    </row>
    <row r="125" spans="1:8" s="19" customFormat="1">
      <c r="A125" s="1" t="s">
        <v>54</v>
      </c>
      <c r="B125" s="15">
        <v>36273</v>
      </c>
      <c r="C125" s="16">
        <v>-80000</v>
      </c>
      <c r="D125" s="62">
        <v>62.95</v>
      </c>
      <c r="E125" s="18">
        <f t="shared" si="24"/>
        <v>-25</v>
      </c>
      <c r="F125" s="63">
        <f>+Sheet2!$I$9</f>
        <v>62.15</v>
      </c>
      <c r="G125" s="62">
        <f t="shared" si="25"/>
        <v>0.80000000000000426</v>
      </c>
      <c r="H125" s="17">
        <f>(-C125/10000)*G125*100+E125</f>
        <v>615.00000000000341</v>
      </c>
    </row>
    <row r="126" spans="1:8" s="19" customFormat="1">
      <c r="A126" s="1" t="s">
        <v>54</v>
      </c>
      <c r="B126" s="15">
        <v>36276</v>
      </c>
      <c r="C126" s="16">
        <v>160000</v>
      </c>
      <c r="D126" s="62">
        <v>63.35</v>
      </c>
      <c r="E126" s="18">
        <f t="shared" si="24"/>
        <v>-50</v>
      </c>
      <c r="F126" s="63">
        <f>+Sheet2!$I$9</f>
        <v>62.15</v>
      </c>
      <c r="G126" s="62">
        <f t="shared" si="25"/>
        <v>-1.2000000000000028</v>
      </c>
      <c r="H126" s="17">
        <f>(C126/10000)*G126*100+E126</f>
        <v>-1970.0000000000045</v>
      </c>
    </row>
    <row r="127" spans="1:8" s="19" customFormat="1">
      <c r="A127" s="1" t="s">
        <v>54</v>
      </c>
      <c r="B127" s="15">
        <v>36276</v>
      </c>
      <c r="C127" s="16">
        <v>80000</v>
      </c>
      <c r="D127" s="62">
        <v>63.6</v>
      </c>
      <c r="E127" s="18">
        <f t="shared" si="24"/>
        <v>-25</v>
      </c>
      <c r="F127" s="63">
        <f>+Sheet2!$I$9</f>
        <v>62.15</v>
      </c>
      <c r="G127" s="62">
        <f t="shared" si="25"/>
        <v>-1.4500000000000028</v>
      </c>
      <c r="H127" s="17">
        <f>(C127/10000)*G127*100+E127</f>
        <v>-1185.0000000000023</v>
      </c>
    </row>
    <row r="128" spans="1:8" s="19" customFormat="1">
      <c r="A128" s="1" t="s">
        <v>54</v>
      </c>
      <c r="B128" s="15">
        <v>36278</v>
      </c>
      <c r="C128" s="16">
        <v>-160000</v>
      </c>
      <c r="D128" s="62">
        <v>63.475000000000001</v>
      </c>
      <c r="E128" s="18">
        <f t="shared" ref="E128:E135" si="26">IF(C128&gt;0,-C128/40000*12.5,C128/40000*12.5)</f>
        <v>-50</v>
      </c>
      <c r="F128" s="63">
        <f>+Sheet2!$I$9</f>
        <v>62.15</v>
      </c>
      <c r="G128" s="62">
        <f t="shared" ref="G128:G135" si="27">IF(C128&gt;0,F128-D128,D128-F128)</f>
        <v>1.3250000000000028</v>
      </c>
      <c r="H128" s="17">
        <f>(-C128/10000)*G128*100+E128</f>
        <v>2070.0000000000045</v>
      </c>
    </row>
    <row r="129" spans="1:8" s="19" customFormat="1">
      <c r="A129" s="1" t="s">
        <v>54</v>
      </c>
      <c r="B129" s="15">
        <v>36278</v>
      </c>
      <c r="C129" s="16">
        <v>-80000</v>
      </c>
      <c r="D129" s="62">
        <v>63.475000000000001</v>
      </c>
      <c r="E129" s="18">
        <f t="shared" si="26"/>
        <v>-25</v>
      </c>
      <c r="F129" s="63">
        <f>+Sheet2!$I$9</f>
        <v>62.15</v>
      </c>
      <c r="G129" s="62">
        <f t="shared" si="27"/>
        <v>1.3250000000000028</v>
      </c>
      <c r="H129" s="17">
        <f>(-C129/10000)*G129*100+E129</f>
        <v>1035.0000000000023</v>
      </c>
    </row>
    <row r="130" spans="1:8" s="19" customFormat="1">
      <c r="A130" s="1" t="s">
        <v>54</v>
      </c>
      <c r="B130" s="15">
        <v>36279</v>
      </c>
      <c r="C130" s="16">
        <v>-80000</v>
      </c>
      <c r="D130" s="62">
        <v>63.2</v>
      </c>
      <c r="E130" s="18">
        <f t="shared" si="26"/>
        <v>-25</v>
      </c>
      <c r="F130" s="63">
        <f>+Sheet2!$I$9</f>
        <v>62.15</v>
      </c>
      <c r="G130" s="62">
        <f t="shared" si="27"/>
        <v>1.0500000000000043</v>
      </c>
      <c r="H130" s="17">
        <f>(-C130/10000)*G130*100+E130</f>
        <v>815.00000000000341</v>
      </c>
    </row>
    <row r="131" spans="1:8" s="19" customFormat="1">
      <c r="A131" s="1" t="s">
        <v>54</v>
      </c>
      <c r="B131" s="15">
        <v>36279</v>
      </c>
      <c r="C131" s="16">
        <v>80000</v>
      </c>
      <c r="D131" s="62">
        <v>63.475000000000001</v>
      </c>
      <c r="E131" s="18">
        <f t="shared" si="26"/>
        <v>-25</v>
      </c>
      <c r="F131" s="63">
        <f>+Sheet2!$I$9</f>
        <v>62.15</v>
      </c>
      <c r="G131" s="62">
        <f t="shared" si="27"/>
        <v>-1.3250000000000028</v>
      </c>
      <c r="H131" s="17">
        <f>(C131/10000)*G131*100+E131</f>
        <v>-1085.0000000000023</v>
      </c>
    </row>
    <row r="132" spans="1:8" s="19" customFormat="1">
      <c r="A132" s="1" t="s">
        <v>54</v>
      </c>
      <c r="B132" s="15">
        <v>36279</v>
      </c>
      <c r="C132" s="16">
        <v>160000</v>
      </c>
      <c r="D132" s="62">
        <v>63.3</v>
      </c>
      <c r="E132" s="18">
        <f t="shared" si="26"/>
        <v>-50</v>
      </c>
      <c r="F132" s="63">
        <f>+Sheet2!$I$9</f>
        <v>62.15</v>
      </c>
      <c r="G132" s="62">
        <f t="shared" si="27"/>
        <v>-1.1499999999999986</v>
      </c>
      <c r="H132" s="17">
        <f>(C132/10000)*G132*100+E132</f>
        <v>-1889.9999999999977</v>
      </c>
    </row>
    <row r="133" spans="1:8" s="19" customFormat="1">
      <c r="A133" s="1" t="s">
        <v>54</v>
      </c>
      <c r="B133" s="15">
        <v>36283</v>
      </c>
      <c r="C133" s="16">
        <v>160000</v>
      </c>
      <c r="D133" s="62">
        <v>62.924999999999997</v>
      </c>
      <c r="E133" s="18">
        <f t="shared" si="26"/>
        <v>-50</v>
      </c>
      <c r="F133" s="63">
        <f>+Sheet2!$I$9</f>
        <v>62.15</v>
      </c>
      <c r="G133" s="62">
        <f t="shared" si="27"/>
        <v>-0.77499999999999858</v>
      </c>
      <c r="H133" s="17">
        <f>(C133/10000)*G133*100+E133</f>
        <v>-1289.9999999999977</v>
      </c>
    </row>
    <row r="134" spans="1:8" s="19" customFormat="1">
      <c r="A134" s="1" t="s">
        <v>54</v>
      </c>
      <c r="B134" s="15">
        <v>36283</v>
      </c>
      <c r="C134" s="16">
        <v>80000</v>
      </c>
      <c r="D134" s="62">
        <v>63.075000000000003</v>
      </c>
      <c r="E134" s="18">
        <f t="shared" si="26"/>
        <v>-25</v>
      </c>
      <c r="F134" s="63">
        <f>+Sheet2!$I$9</f>
        <v>62.15</v>
      </c>
      <c r="G134" s="62">
        <f t="shared" si="27"/>
        <v>-0.92500000000000426</v>
      </c>
      <c r="H134" s="17">
        <f>(C134/10000)*G134*100+E134</f>
        <v>-765.00000000000341</v>
      </c>
    </row>
    <row r="135" spans="1:8" s="19" customFormat="1">
      <c r="A135" s="1" t="s">
        <v>54</v>
      </c>
      <c r="B135" s="15">
        <v>36283</v>
      </c>
      <c r="C135" s="16">
        <v>-160000</v>
      </c>
      <c r="D135" s="62">
        <v>62.75</v>
      </c>
      <c r="E135" s="18">
        <f t="shared" si="26"/>
        <v>-50</v>
      </c>
      <c r="F135" s="63">
        <f>+Sheet2!$I$9</f>
        <v>62.15</v>
      </c>
      <c r="G135" s="62">
        <f t="shared" si="27"/>
        <v>0.60000000000000142</v>
      </c>
      <c r="H135" s="17">
        <f>(-C135/10000)*G135*100+E135</f>
        <v>910.00000000000227</v>
      </c>
    </row>
    <row r="136" spans="1:8" s="19" customFormat="1">
      <c r="A136" s="1" t="s">
        <v>54</v>
      </c>
      <c r="B136" s="15">
        <v>36284</v>
      </c>
      <c r="C136" s="16">
        <v>160000</v>
      </c>
      <c r="D136" s="62">
        <v>63.15</v>
      </c>
      <c r="E136" s="18">
        <f t="shared" ref="E136:E141" si="28">IF(C136&gt;0,-C136/40000*12.5,C136/40000*12.5)</f>
        <v>-50</v>
      </c>
      <c r="F136" s="63">
        <f>+Sheet2!$I$9</f>
        <v>62.15</v>
      </c>
      <c r="G136" s="62">
        <f t="shared" ref="G136:G141" si="29">IF(C136&gt;0,F136-D136,D136-F136)</f>
        <v>-1</v>
      </c>
      <c r="H136" s="17">
        <f>(C136/10000)*G136*100+E136</f>
        <v>-1650</v>
      </c>
    </row>
    <row r="137" spans="1:8" s="19" customFormat="1">
      <c r="A137" s="1" t="s">
        <v>54</v>
      </c>
      <c r="B137" s="15">
        <v>36284</v>
      </c>
      <c r="C137" s="16">
        <v>-160000</v>
      </c>
      <c r="D137" s="62">
        <v>62.825000000000003</v>
      </c>
      <c r="E137" s="18">
        <f t="shared" si="28"/>
        <v>-50</v>
      </c>
      <c r="F137" s="63">
        <f>+Sheet2!$I$9</f>
        <v>62.15</v>
      </c>
      <c r="G137" s="62">
        <f t="shared" si="29"/>
        <v>0.67500000000000426</v>
      </c>
      <c r="H137" s="17">
        <f>(-C137/10000)*G137*100+E137</f>
        <v>1030.0000000000068</v>
      </c>
    </row>
    <row r="138" spans="1:8" s="19" customFormat="1">
      <c r="A138" s="1" t="s">
        <v>54</v>
      </c>
      <c r="B138" s="15">
        <v>36284</v>
      </c>
      <c r="C138" s="16">
        <v>-160000</v>
      </c>
      <c r="D138" s="62">
        <v>62.65</v>
      </c>
      <c r="E138" s="18">
        <f t="shared" si="28"/>
        <v>-50</v>
      </c>
      <c r="F138" s="63">
        <f>+Sheet2!$I$9</f>
        <v>62.15</v>
      </c>
      <c r="G138" s="62">
        <f t="shared" si="29"/>
        <v>0.5</v>
      </c>
      <c r="H138" s="17">
        <f>(-C138/10000)*G138*100+E138</f>
        <v>750</v>
      </c>
    </row>
    <row r="139" spans="1:8" s="19" customFormat="1">
      <c r="A139" s="1" t="s">
        <v>54</v>
      </c>
      <c r="B139" s="15">
        <v>36284</v>
      </c>
      <c r="C139" s="16">
        <v>-80000</v>
      </c>
      <c r="D139" s="62">
        <v>62.524999999999999</v>
      </c>
      <c r="E139" s="18">
        <f t="shared" si="28"/>
        <v>-25</v>
      </c>
      <c r="F139" s="63">
        <f>+Sheet2!$I$9</f>
        <v>62.15</v>
      </c>
      <c r="G139" s="62">
        <f t="shared" si="29"/>
        <v>0.375</v>
      </c>
      <c r="H139" s="17">
        <f>(-C139/10000)*G139*100+E139</f>
        <v>275</v>
      </c>
    </row>
    <row r="140" spans="1:8" s="19" customFormat="1">
      <c r="A140" s="1" t="s">
        <v>54</v>
      </c>
      <c r="B140" s="15">
        <v>36285</v>
      </c>
      <c r="C140" s="16">
        <v>-80000</v>
      </c>
      <c r="D140" s="62">
        <v>62.35</v>
      </c>
      <c r="E140" s="18">
        <f t="shared" si="28"/>
        <v>-25</v>
      </c>
      <c r="F140" s="63">
        <f>+Sheet2!$I$9</f>
        <v>62.15</v>
      </c>
      <c r="G140" s="62">
        <f t="shared" si="29"/>
        <v>0.20000000000000284</v>
      </c>
      <c r="H140" s="17">
        <f>(-C140/10000)*G140*100+E140</f>
        <v>135.00000000000227</v>
      </c>
    </row>
    <row r="141" spans="1:8" s="19" customFormat="1">
      <c r="A141" s="1" t="s">
        <v>54</v>
      </c>
      <c r="B141" s="15">
        <v>36285</v>
      </c>
      <c r="C141" s="16">
        <v>160000</v>
      </c>
      <c r="D141" s="62">
        <v>62.575000000000003</v>
      </c>
      <c r="E141" s="18">
        <f t="shared" si="28"/>
        <v>-50</v>
      </c>
      <c r="F141" s="63">
        <f>+Sheet2!$I$9</f>
        <v>62.15</v>
      </c>
      <c r="G141" s="62">
        <f t="shared" si="29"/>
        <v>-0.42500000000000426</v>
      </c>
      <c r="H141" s="17">
        <f>(C141/10000)*G141*100+E141</f>
        <v>-730.00000000000682</v>
      </c>
    </row>
    <row r="142" spans="1:8" s="19" customFormat="1">
      <c r="A142" s="1" t="s">
        <v>54</v>
      </c>
      <c r="B142" s="15">
        <v>36290</v>
      </c>
      <c r="C142" s="16">
        <v>-80000</v>
      </c>
      <c r="D142" s="62">
        <v>61.225000000000001</v>
      </c>
      <c r="E142" s="18">
        <f t="shared" ref="E142:E149" si="30">IF(C142&gt;0,-C142/40000*12.5,C142/40000*12.5)</f>
        <v>-25</v>
      </c>
      <c r="F142" s="63">
        <f>+Sheet2!$I$9</f>
        <v>62.15</v>
      </c>
      <c r="G142" s="62">
        <f t="shared" ref="G142:G149" si="31">IF(C142&gt;0,F142-D142,D142-F142)</f>
        <v>-0.92499999999999716</v>
      </c>
      <c r="H142" s="17">
        <f>(-C142/10000)*G142*100+E142</f>
        <v>-764.99999999999773</v>
      </c>
    </row>
    <row r="143" spans="1:8" s="19" customFormat="1">
      <c r="A143" s="1" t="s">
        <v>54</v>
      </c>
      <c r="B143" s="15">
        <v>36291</v>
      </c>
      <c r="C143" s="16">
        <v>160000</v>
      </c>
      <c r="D143" s="62">
        <v>61.375</v>
      </c>
      <c r="E143" s="18">
        <f t="shared" si="30"/>
        <v>-50</v>
      </c>
      <c r="F143" s="63">
        <f>+Sheet2!$I$9</f>
        <v>62.15</v>
      </c>
      <c r="G143" s="62">
        <f t="shared" si="31"/>
        <v>0.77499999999999858</v>
      </c>
      <c r="H143" s="17">
        <f>(C143/10000)*G143*100+E143</f>
        <v>1189.9999999999977</v>
      </c>
    </row>
    <row r="144" spans="1:8" s="19" customFormat="1">
      <c r="A144" s="1" t="s">
        <v>54</v>
      </c>
      <c r="B144" s="15">
        <v>36291</v>
      </c>
      <c r="C144" s="16">
        <v>-80000</v>
      </c>
      <c r="D144" s="62">
        <v>61.475000000000001</v>
      </c>
      <c r="E144" s="18">
        <f t="shared" si="30"/>
        <v>-25</v>
      </c>
      <c r="F144" s="63">
        <f>+Sheet2!$I$9</f>
        <v>62.15</v>
      </c>
      <c r="G144" s="62">
        <f t="shared" si="31"/>
        <v>-0.67499999999999716</v>
      </c>
      <c r="H144" s="17">
        <f>(-C144/10000)*G144*100+E144</f>
        <v>-564.99999999999773</v>
      </c>
    </row>
    <row r="145" spans="1:11" s="19" customFormat="1">
      <c r="A145" s="1" t="s">
        <v>54</v>
      </c>
      <c r="B145" s="15">
        <v>36291</v>
      </c>
      <c r="C145" s="16">
        <v>120000</v>
      </c>
      <c r="D145" s="62">
        <v>61.625</v>
      </c>
      <c r="E145" s="18">
        <f t="shared" si="30"/>
        <v>-37.5</v>
      </c>
      <c r="F145" s="63">
        <f>+Sheet2!$I$9</f>
        <v>62.15</v>
      </c>
      <c r="G145" s="62">
        <f t="shared" si="31"/>
        <v>0.52499999999999858</v>
      </c>
      <c r="H145" s="17">
        <f>(C145/10000)*G145*100+E145</f>
        <v>592.49999999999829</v>
      </c>
    </row>
    <row r="146" spans="1:11" s="19" customFormat="1">
      <c r="A146" s="1" t="s">
        <v>54</v>
      </c>
      <c r="B146" s="15">
        <v>36291</v>
      </c>
      <c r="C146" s="16">
        <v>40000</v>
      </c>
      <c r="D146" s="62">
        <v>61.65</v>
      </c>
      <c r="E146" s="18">
        <f t="shared" si="30"/>
        <v>-12.5</v>
      </c>
      <c r="F146" s="63">
        <f>+Sheet2!$I$9</f>
        <v>62.15</v>
      </c>
      <c r="G146" s="62">
        <f t="shared" si="31"/>
        <v>0.5</v>
      </c>
      <c r="H146" s="17">
        <f>(C146/10000)*G146*100+E146</f>
        <v>187.5</v>
      </c>
    </row>
    <row r="147" spans="1:11" s="19" customFormat="1">
      <c r="A147" s="1" t="s">
        <v>54</v>
      </c>
      <c r="B147" s="15">
        <v>36292</v>
      </c>
      <c r="C147" s="16">
        <v>-80000</v>
      </c>
      <c r="D147" s="62">
        <v>61.375</v>
      </c>
      <c r="E147" s="18">
        <f t="shared" si="30"/>
        <v>-25</v>
      </c>
      <c r="F147" s="63">
        <f>+Sheet2!$I$9</f>
        <v>62.15</v>
      </c>
      <c r="G147" s="62">
        <f t="shared" si="31"/>
        <v>-0.77499999999999858</v>
      </c>
      <c r="H147" s="17">
        <f>(-C147/10000)*G147*100+E147</f>
        <v>-644.99999999999886</v>
      </c>
    </row>
    <row r="148" spans="1:11" s="19" customFormat="1">
      <c r="A148" s="1" t="s">
        <v>54</v>
      </c>
      <c r="B148" s="15">
        <v>36292</v>
      </c>
      <c r="C148" s="16">
        <v>-80000</v>
      </c>
      <c r="D148" s="62">
        <v>61.424999999999997</v>
      </c>
      <c r="E148" s="18">
        <f t="shared" si="30"/>
        <v>-25</v>
      </c>
      <c r="F148" s="63">
        <f>+Sheet2!$I$9</f>
        <v>62.15</v>
      </c>
      <c r="G148" s="62">
        <f t="shared" si="31"/>
        <v>-0.72500000000000142</v>
      </c>
      <c r="H148" s="17">
        <f>(-C148/10000)*G148*100+E148</f>
        <v>-605.00000000000114</v>
      </c>
    </row>
    <row r="149" spans="1:11" s="19" customFormat="1">
      <c r="A149" s="1" t="s">
        <v>54</v>
      </c>
      <c r="B149" s="15">
        <v>36292</v>
      </c>
      <c r="C149" s="16">
        <v>-80000</v>
      </c>
      <c r="D149" s="62">
        <v>61.075000000000003</v>
      </c>
      <c r="E149" s="18">
        <f t="shared" si="30"/>
        <v>-25</v>
      </c>
      <c r="F149" s="63">
        <f>+Sheet2!$I$9</f>
        <v>62.15</v>
      </c>
      <c r="G149" s="62">
        <f t="shared" si="31"/>
        <v>-1.0749999999999957</v>
      </c>
      <c r="H149" s="17">
        <f>(-C149/10000)*G149*100+E149</f>
        <v>-884.99999999999659</v>
      </c>
    </row>
    <row r="150" spans="1:11" s="19" customFormat="1">
      <c r="A150" s="1" t="s">
        <v>54</v>
      </c>
      <c r="B150" s="15">
        <v>36293</v>
      </c>
      <c r="C150" s="16">
        <f>40000*6</f>
        <v>240000</v>
      </c>
      <c r="D150" s="62">
        <v>61.625</v>
      </c>
      <c r="E150" s="18">
        <f>IF(C150&gt;0,-C150/40000*12.5,C150/40000*12.5)</f>
        <v>-75</v>
      </c>
      <c r="F150" s="63">
        <f>+Sheet2!$I$9</f>
        <v>62.15</v>
      </c>
      <c r="G150" s="62">
        <f>IF(C150&gt;0,F150-D150,D150-F150)</f>
        <v>0.52499999999999858</v>
      </c>
      <c r="H150" s="17">
        <f>(C150/10000)*G150*100+E150</f>
        <v>1184.9999999999966</v>
      </c>
    </row>
    <row r="151" spans="1:11" s="19" customFormat="1">
      <c r="A151" s="30"/>
      <c r="B151" s="15"/>
      <c r="C151" s="16"/>
      <c r="D151" s="17"/>
      <c r="E151" s="18"/>
      <c r="F151" s="18"/>
      <c r="G151" s="17"/>
      <c r="H151" s="17"/>
      <c r="J151" s="33">
        <f>SUM(H110:H151)</f>
        <v>1855.0000000000189</v>
      </c>
      <c r="K151" s="32" t="s">
        <v>58</v>
      </c>
    </row>
    <row r="152" spans="1:11" s="19" customFormat="1">
      <c r="A152" s="30"/>
      <c r="B152" s="15"/>
      <c r="C152" s="16"/>
      <c r="D152" s="17"/>
      <c r="E152" s="18"/>
      <c r="F152" s="18"/>
      <c r="G152" s="17"/>
      <c r="H152" s="17"/>
      <c r="J152" s="40">
        <f>SUM(C110:C151)/40000</f>
        <v>0</v>
      </c>
      <c r="K152" s="32" t="s">
        <v>45</v>
      </c>
    </row>
    <row r="153" spans="1:11" s="19" customFormat="1">
      <c r="A153" s="30"/>
      <c r="B153" s="15"/>
      <c r="C153" s="16"/>
      <c r="D153" s="17"/>
      <c r="E153" s="18"/>
      <c r="F153" s="18"/>
      <c r="G153" s="17"/>
      <c r="H153" s="17"/>
      <c r="J153" s="61"/>
      <c r="K153" s="32"/>
    </row>
    <row r="154" spans="1:11" s="19" customFormat="1">
      <c r="A154" s="1" t="s">
        <v>61</v>
      </c>
      <c r="B154" s="15">
        <v>36255</v>
      </c>
      <c r="C154" s="16">
        <v>-5000</v>
      </c>
      <c r="D154" s="62">
        <v>4.9349999999999996</v>
      </c>
      <c r="E154" s="18">
        <f>IF(C154&gt;0,-C154/5000*12.5,C154/5000*12.5)</f>
        <v>-12.5</v>
      </c>
      <c r="F154" s="63">
        <f>+Sheet2!$M$9</f>
        <v>25</v>
      </c>
      <c r="G154" s="62">
        <f>IF(C154&gt;0,F154-D154,D154-F154)</f>
        <v>-20.065000000000001</v>
      </c>
      <c r="H154" s="17">
        <f>-G154*C154+E154</f>
        <v>-100337.5</v>
      </c>
    </row>
    <row r="155" spans="1:11" s="19" customFormat="1">
      <c r="A155" s="1" t="s">
        <v>61</v>
      </c>
      <c r="B155" s="15">
        <v>36257</v>
      </c>
      <c r="C155" s="16">
        <v>5000</v>
      </c>
      <c r="D155" s="62">
        <v>4.9550000000000001</v>
      </c>
      <c r="E155" s="18">
        <f>IF(C155&gt;0,-C155/5000*12.5,C155/5000*12.5)</f>
        <v>-12.5</v>
      </c>
      <c r="F155" s="63">
        <f>+Sheet2!$M$9</f>
        <v>25</v>
      </c>
      <c r="G155" s="62">
        <f>IF(C155&gt;0,F155-D155,D155-F155)</f>
        <v>20.045000000000002</v>
      </c>
      <c r="H155" s="17">
        <f>G155*C155+E155</f>
        <v>100212.50000000001</v>
      </c>
    </row>
    <row r="156" spans="1:11" s="19" customFormat="1">
      <c r="A156" s="30"/>
      <c r="B156" s="15"/>
      <c r="C156" s="16"/>
      <c r="D156" s="17"/>
      <c r="E156" s="18"/>
      <c r="F156" s="18"/>
      <c r="G156" s="17"/>
      <c r="H156" s="17"/>
      <c r="J156" s="33">
        <f>SUM(H154:H156)</f>
        <v>-124.99999999998545</v>
      </c>
      <c r="K156" s="32" t="s">
        <v>62</v>
      </c>
    </row>
    <row r="157" spans="1:11" s="19" customFormat="1">
      <c r="A157" s="29"/>
      <c r="B157" s="15"/>
      <c r="C157" s="16"/>
      <c r="D157" s="17"/>
      <c r="E157" s="18"/>
      <c r="F157" s="18"/>
      <c r="G157" s="17"/>
      <c r="H157" s="17"/>
      <c r="J157" s="40">
        <f>SUM(C154:C156)/5000</f>
        <v>0</v>
      </c>
      <c r="K157" s="32" t="s">
        <v>45</v>
      </c>
    </row>
    <row r="158" spans="1:11" s="19" customFormat="1">
      <c r="A158" s="30"/>
      <c r="B158" s="15"/>
      <c r="C158" s="16"/>
      <c r="D158" s="17"/>
      <c r="E158" s="18"/>
      <c r="F158" s="18"/>
      <c r="G158" s="17"/>
      <c r="H158" s="17"/>
      <c r="J158" s="41"/>
      <c r="K158" s="32"/>
    </row>
    <row r="159" spans="1:11" s="19" customFormat="1">
      <c r="A159" s="1" t="s">
        <v>60</v>
      </c>
      <c r="B159" s="15">
        <v>36258</v>
      </c>
      <c r="C159" s="16">
        <v>125000</v>
      </c>
      <c r="D159" s="75">
        <v>0.55649999999999999</v>
      </c>
      <c r="E159" s="18">
        <f>IF(C159&gt;0,-C159/125000*12.5,C159/125000*12.5)</f>
        <v>-12.5</v>
      </c>
      <c r="F159" s="74">
        <f>+Sheet2!$L$9</f>
        <v>0.54649999999999999</v>
      </c>
      <c r="G159" s="62">
        <f>IF(C159&gt;0,F159-D159,D159-F159)</f>
        <v>-1.0000000000000009E-2</v>
      </c>
      <c r="H159" s="17">
        <f>+G159*C159+E159</f>
        <v>-1262.5000000000011</v>
      </c>
    </row>
    <row r="160" spans="1:11" s="19" customFormat="1">
      <c r="A160" s="1" t="s">
        <v>60</v>
      </c>
      <c r="B160" s="15">
        <v>36258</v>
      </c>
      <c r="C160" s="16">
        <v>-125000</v>
      </c>
      <c r="D160" s="75">
        <v>0.55610000000000004</v>
      </c>
      <c r="E160" s="18">
        <f>IF(C160&gt;0,-C160/125000*12.5,C160/125000*12.5)</f>
        <v>-12.5</v>
      </c>
      <c r="F160" s="74">
        <f>+Sheet2!$L$9</f>
        <v>0.54649999999999999</v>
      </c>
      <c r="G160" s="62">
        <f>IF(C160&gt;0,F160-D160,D160-F160)</f>
        <v>9.6000000000000529E-3</v>
      </c>
      <c r="H160" s="17">
        <f>-G160*C160+E160</f>
        <v>1187.5000000000066</v>
      </c>
    </row>
    <row r="161" spans="1:11" s="19" customFormat="1">
      <c r="A161" s="1" t="s">
        <v>60</v>
      </c>
      <c r="B161" s="15">
        <v>36266</v>
      </c>
      <c r="C161" s="16">
        <v>125000</v>
      </c>
      <c r="D161" s="75">
        <v>0.54859999999999998</v>
      </c>
      <c r="E161" s="18">
        <f>IF(C161&gt;0,-C161/125000*12.5,C161/125000*12.5)</f>
        <v>-12.5</v>
      </c>
      <c r="F161" s="74">
        <f>+Sheet2!$L$9</f>
        <v>0.54649999999999999</v>
      </c>
      <c r="G161" s="62">
        <f>IF(C161&gt;0,F161-D161,D161-F161)</f>
        <v>-2.0999999999999908E-3</v>
      </c>
      <c r="H161" s="17">
        <f>+G161*C161+E161</f>
        <v>-274.99999999999886</v>
      </c>
    </row>
    <row r="162" spans="1:11" s="19" customFormat="1">
      <c r="A162" s="1" t="s">
        <v>60</v>
      </c>
      <c r="B162" s="15">
        <v>36269</v>
      </c>
      <c r="C162" s="16">
        <v>-125000</v>
      </c>
      <c r="D162" s="75">
        <v>0.54559999999999997</v>
      </c>
      <c r="E162" s="18">
        <f>IF(C162&gt;0,-C162/125000*12.5,C162/125000*12.5)</f>
        <v>-12.5</v>
      </c>
      <c r="F162" s="74">
        <f>+Sheet2!$L$9</f>
        <v>0.54649999999999999</v>
      </c>
      <c r="G162" s="62">
        <f>IF(C162&gt;0,F162-D162,D162-F162)</f>
        <v>-9.000000000000119E-4</v>
      </c>
      <c r="H162" s="17">
        <f>-G162*C162+E162</f>
        <v>-125.00000000000149</v>
      </c>
    </row>
    <row r="163" spans="1:11" s="19" customFormat="1">
      <c r="A163" s="30"/>
      <c r="B163" s="15"/>
      <c r="C163" s="16"/>
      <c r="D163" s="17"/>
      <c r="E163" s="18"/>
      <c r="F163" s="18"/>
      <c r="G163" s="17"/>
      <c r="H163" s="17"/>
      <c r="J163" s="33">
        <f>SUM(H159:H163)</f>
        <v>-474.99999999999488</v>
      </c>
      <c r="K163" s="32" t="s">
        <v>65</v>
      </c>
    </row>
    <row r="164" spans="1:11" s="19" customFormat="1">
      <c r="A164" s="29"/>
      <c r="B164" s="15"/>
      <c r="C164" s="16"/>
      <c r="D164" s="17"/>
      <c r="E164" s="18"/>
      <c r="F164" s="18"/>
      <c r="G164" s="17"/>
      <c r="H164" s="17"/>
      <c r="J164" s="40">
        <f>SUM(C159:C163)/125000</f>
        <v>0</v>
      </c>
      <c r="K164" s="32" t="s">
        <v>45</v>
      </c>
    </row>
    <row r="166" spans="1:11" hidden="1">
      <c r="A166" s="1" t="s">
        <v>5</v>
      </c>
      <c r="B166" s="15">
        <v>36167</v>
      </c>
      <c r="C166" s="16">
        <v>100000</v>
      </c>
      <c r="D166" s="27">
        <v>126.46875</v>
      </c>
      <c r="E166" s="18">
        <f t="shared" ref="E166:E171" si="32">IF(C166&gt;0,-C166/100000*12.5,C166/100000*12.5)</f>
        <v>-12.5</v>
      </c>
      <c r="F166" s="27">
        <f>+Sheet2!C$9</f>
        <v>117.53125</v>
      </c>
      <c r="G166" s="28">
        <f t="shared" ref="G166:G171" si="33">IF(C166&gt;0,F166-D166,D166-F166)</f>
        <v>-8.9375</v>
      </c>
      <c r="H166" s="17">
        <f>+C166*G166/100+E166</f>
        <v>-8950</v>
      </c>
      <c r="I166" s="19"/>
    </row>
    <row r="167" spans="1:11" hidden="1">
      <c r="A167" s="1" t="s">
        <v>5</v>
      </c>
      <c r="B167" s="15">
        <v>36167</v>
      </c>
      <c r="C167" s="16">
        <v>-100000</v>
      </c>
      <c r="D167" s="27">
        <v>126.625</v>
      </c>
      <c r="E167" s="18">
        <f t="shared" si="32"/>
        <v>-12.5</v>
      </c>
      <c r="F167" s="27">
        <f>+Sheet2!C$9</f>
        <v>117.53125</v>
      </c>
      <c r="G167" s="28">
        <f t="shared" si="33"/>
        <v>9.09375</v>
      </c>
      <c r="H167" s="17">
        <f>-C167*G167/100+E167</f>
        <v>9081.25</v>
      </c>
      <c r="I167" s="19"/>
    </row>
    <row r="168" spans="1:11" hidden="1">
      <c r="A168" s="1" t="s">
        <v>5</v>
      </c>
      <c r="B168" s="15">
        <v>36168</v>
      </c>
      <c r="C168" s="16">
        <v>100000</v>
      </c>
      <c r="D168" s="27">
        <v>125.84375</v>
      </c>
      <c r="E168" s="18">
        <f t="shared" si="32"/>
        <v>-12.5</v>
      </c>
      <c r="F168" s="27">
        <f>+Sheet2!C$9</f>
        <v>117.53125</v>
      </c>
      <c r="G168" s="28">
        <f t="shared" si="33"/>
        <v>-8.3125</v>
      </c>
      <c r="H168" s="17">
        <f>+C168*G168/100+E168</f>
        <v>-8325</v>
      </c>
      <c r="I168" s="19"/>
    </row>
    <row r="169" spans="1:11" hidden="1">
      <c r="A169" s="1" t="s">
        <v>5</v>
      </c>
      <c r="B169" s="15">
        <v>36168</v>
      </c>
      <c r="C169" s="16">
        <v>-100000</v>
      </c>
      <c r="D169" s="27">
        <v>125.53125</v>
      </c>
      <c r="E169" s="18">
        <f t="shared" si="32"/>
        <v>-12.5</v>
      </c>
      <c r="F169" s="27">
        <f>+Sheet2!C$9</f>
        <v>117.53125</v>
      </c>
      <c r="G169" s="28">
        <f t="shared" si="33"/>
        <v>8</v>
      </c>
      <c r="H169" s="17">
        <f>-C169*G169/100+E169</f>
        <v>7987.5</v>
      </c>
      <c r="I169" s="19"/>
    </row>
    <row r="170" spans="1:11" hidden="1">
      <c r="A170" s="1" t="s">
        <v>5</v>
      </c>
      <c r="B170" s="15">
        <v>36174</v>
      </c>
      <c r="C170" s="16">
        <v>-100000</v>
      </c>
      <c r="D170" s="27">
        <v>126.4375</v>
      </c>
      <c r="E170" s="18">
        <f t="shared" si="32"/>
        <v>-12.5</v>
      </c>
      <c r="F170" s="27">
        <f>+Sheet2!C$9</f>
        <v>117.53125</v>
      </c>
      <c r="G170" s="28">
        <f t="shared" si="33"/>
        <v>8.90625</v>
      </c>
      <c r="H170" s="17">
        <f>-C170*G170/100+E170</f>
        <v>8893.75</v>
      </c>
      <c r="I170" s="19"/>
    </row>
    <row r="171" spans="1:11" hidden="1">
      <c r="A171" s="1" t="s">
        <v>5</v>
      </c>
      <c r="B171" s="15">
        <v>36174</v>
      </c>
      <c r="C171" s="16">
        <v>100000</v>
      </c>
      <c r="D171" s="27">
        <v>126.90625</v>
      </c>
      <c r="E171" s="18">
        <f t="shared" si="32"/>
        <v>-12.5</v>
      </c>
      <c r="F171" s="27">
        <f>+Sheet2!C$9</f>
        <v>117.53125</v>
      </c>
      <c r="G171" s="28">
        <f t="shared" si="33"/>
        <v>-9.375</v>
      </c>
      <c r="H171" s="17">
        <f>+C171*G171/100+E171</f>
        <v>-9387.5</v>
      </c>
      <c r="I171" s="19"/>
    </row>
    <row r="172" spans="1:11" hidden="1">
      <c r="A172" s="1" t="s">
        <v>5</v>
      </c>
      <c r="B172" s="15">
        <v>36201</v>
      </c>
      <c r="C172" s="16">
        <v>-200000</v>
      </c>
      <c r="D172" s="27">
        <v>125</v>
      </c>
      <c r="E172" s="18">
        <f t="shared" ref="E172:E179" si="34">IF(C172&gt;0,-C172/100000*12.5,C172/100000*12.5)</f>
        <v>-25</v>
      </c>
      <c r="F172" s="27">
        <f>+Sheet2!C$9</f>
        <v>117.53125</v>
      </c>
      <c r="G172" s="28">
        <f t="shared" ref="G172:G179" si="35">IF(C172&gt;0,F172-D172,D172-F172)</f>
        <v>7.46875</v>
      </c>
      <c r="H172" s="17">
        <f>-C172*G172/100+E172</f>
        <v>14912.5</v>
      </c>
      <c r="I172" s="19"/>
    </row>
    <row r="173" spans="1:11" hidden="1">
      <c r="A173" s="1" t="s">
        <v>5</v>
      </c>
      <c r="B173" s="15">
        <v>36201</v>
      </c>
      <c r="C173" s="16">
        <v>-200000</v>
      </c>
      <c r="D173" s="27">
        <v>124.71875</v>
      </c>
      <c r="E173" s="18">
        <f t="shared" si="34"/>
        <v>-25</v>
      </c>
      <c r="F173" s="27">
        <f>+Sheet2!C$9</f>
        <v>117.53125</v>
      </c>
      <c r="G173" s="28">
        <f t="shared" si="35"/>
        <v>7.1875</v>
      </c>
      <c r="H173" s="17">
        <f>-C173*G173/100+E173</f>
        <v>14350</v>
      </c>
      <c r="I173" s="19"/>
    </row>
    <row r="174" spans="1:11" hidden="1">
      <c r="A174" s="1" t="s">
        <v>5</v>
      </c>
      <c r="B174" s="15">
        <v>36202</v>
      </c>
      <c r="C174" s="16">
        <v>200000</v>
      </c>
      <c r="D174" s="27">
        <v>124.75</v>
      </c>
      <c r="E174" s="18">
        <f t="shared" si="34"/>
        <v>-25</v>
      </c>
      <c r="F174" s="27">
        <f>+Sheet2!C$9</f>
        <v>117.53125</v>
      </c>
      <c r="G174" s="28">
        <f t="shared" si="35"/>
        <v>-7.21875</v>
      </c>
      <c r="H174" s="17">
        <f>+C174*G174/100+E174</f>
        <v>-14462.5</v>
      </c>
      <c r="I174" s="19"/>
    </row>
    <row r="175" spans="1:11" hidden="1">
      <c r="A175" s="1" t="s">
        <v>5</v>
      </c>
      <c r="B175" s="15">
        <v>36202</v>
      </c>
      <c r="C175" s="16">
        <v>200000</v>
      </c>
      <c r="D175" s="27">
        <v>124.53125</v>
      </c>
      <c r="E175" s="18">
        <f t="shared" si="34"/>
        <v>-25</v>
      </c>
      <c r="F175" s="27">
        <f>+Sheet2!C$9</f>
        <v>117.53125</v>
      </c>
      <c r="G175" s="28">
        <f t="shared" si="35"/>
        <v>-7</v>
      </c>
      <c r="H175" s="17">
        <f>+C175*G175/100+E175</f>
        <v>-14025</v>
      </c>
      <c r="I175" s="19"/>
    </row>
    <row r="176" spans="1:11" hidden="1">
      <c r="A176" s="1" t="s">
        <v>5</v>
      </c>
      <c r="B176" s="15">
        <v>36208</v>
      </c>
      <c r="C176" s="16">
        <v>-200000</v>
      </c>
      <c r="D176" s="27">
        <v>123.78125</v>
      </c>
      <c r="E176" s="18">
        <f t="shared" si="34"/>
        <v>-25</v>
      </c>
      <c r="F176" s="27">
        <f>+Sheet2!C$9</f>
        <v>117.53125</v>
      </c>
      <c r="G176" s="28">
        <f t="shared" si="35"/>
        <v>6.25</v>
      </c>
      <c r="H176" s="17">
        <f>-C176*G176/100+E176</f>
        <v>12475</v>
      </c>
      <c r="I176" s="19"/>
    </row>
    <row r="177" spans="1:9" hidden="1">
      <c r="A177" s="1" t="s">
        <v>5</v>
      </c>
      <c r="B177" s="15">
        <v>36208</v>
      </c>
      <c r="C177" s="16">
        <v>-200000</v>
      </c>
      <c r="D177" s="27">
        <v>124.125</v>
      </c>
      <c r="E177" s="18">
        <f t="shared" si="34"/>
        <v>-25</v>
      </c>
      <c r="F177" s="27">
        <f>+Sheet2!C$9</f>
        <v>117.53125</v>
      </c>
      <c r="G177" s="28">
        <f t="shared" si="35"/>
        <v>6.59375</v>
      </c>
      <c r="H177" s="17">
        <f>-C177*G177/100+E177</f>
        <v>13162.5</v>
      </c>
      <c r="I177" s="19"/>
    </row>
    <row r="178" spans="1:9" hidden="1">
      <c r="A178" s="1" t="s">
        <v>5</v>
      </c>
      <c r="B178" s="15">
        <v>36209</v>
      </c>
      <c r="C178" s="16">
        <v>200000</v>
      </c>
      <c r="D178" s="27">
        <v>124.1875</v>
      </c>
      <c r="E178" s="18">
        <f t="shared" si="34"/>
        <v>-25</v>
      </c>
      <c r="F178" s="27">
        <f>+Sheet2!C$9</f>
        <v>117.53125</v>
      </c>
      <c r="G178" s="28">
        <f t="shared" si="35"/>
        <v>-6.65625</v>
      </c>
      <c r="H178" s="17">
        <f>+C178*G178/100+E178</f>
        <v>-13337.5</v>
      </c>
      <c r="I178" s="19"/>
    </row>
    <row r="179" spans="1:9" hidden="1">
      <c r="A179" s="1" t="s">
        <v>5</v>
      </c>
      <c r="B179" s="15">
        <v>36209</v>
      </c>
      <c r="C179" s="16">
        <v>200000</v>
      </c>
      <c r="D179" s="27">
        <v>124.15625</v>
      </c>
      <c r="E179" s="18">
        <f t="shared" si="34"/>
        <v>-25</v>
      </c>
      <c r="F179" s="27">
        <f>+Sheet2!C$9</f>
        <v>117.53125</v>
      </c>
      <c r="G179" s="28">
        <f t="shared" si="35"/>
        <v>-6.625</v>
      </c>
      <c r="H179" s="17">
        <f>+C179*G179/100+E179</f>
        <v>-13275</v>
      </c>
      <c r="I179" s="19"/>
    </row>
    <row r="180" spans="1:9" hidden="1">
      <c r="A180" s="1" t="s">
        <v>5</v>
      </c>
      <c r="B180" s="15">
        <v>36209</v>
      </c>
      <c r="C180" s="16">
        <v>-200000</v>
      </c>
      <c r="D180" s="27">
        <v>124.03125</v>
      </c>
      <c r="E180" s="18">
        <f t="shared" ref="E180:E186" si="36">IF(C180&gt;0,-C180/100000*12.5,C180/100000*12.5)</f>
        <v>-25</v>
      </c>
      <c r="F180" s="27">
        <f>+Sheet2!C$9</f>
        <v>117.53125</v>
      </c>
      <c r="G180" s="28">
        <f t="shared" ref="G180:G186" si="37">IF(C180&gt;0,F180-D180,D180-F180)</f>
        <v>6.5</v>
      </c>
      <c r="H180" s="17">
        <f>-C180*G180/100+E180</f>
        <v>12975</v>
      </c>
      <c r="I180" s="19"/>
    </row>
    <row r="181" spans="1:9" hidden="1">
      <c r="A181" s="1" t="s">
        <v>5</v>
      </c>
      <c r="B181" s="15">
        <v>36209</v>
      </c>
      <c r="C181" s="16">
        <v>100000</v>
      </c>
      <c r="D181" s="27">
        <v>123.5</v>
      </c>
      <c r="E181" s="18">
        <f t="shared" si="36"/>
        <v>-12.5</v>
      </c>
      <c r="F181" s="27">
        <f>+Sheet2!C$9</f>
        <v>117.53125</v>
      </c>
      <c r="G181" s="28">
        <f t="shared" si="37"/>
        <v>-5.96875</v>
      </c>
      <c r="H181" s="17">
        <f>+C181*G181/100+E181</f>
        <v>-5981.25</v>
      </c>
      <c r="I181" s="19"/>
    </row>
    <row r="182" spans="1:9" hidden="1">
      <c r="A182" s="1" t="s">
        <v>5</v>
      </c>
      <c r="B182" s="15">
        <v>36209</v>
      </c>
      <c r="C182" s="16">
        <v>100000</v>
      </c>
      <c r="D182" s="27">
        <v>123.4375</v>
      </c>
      <c r="E182" s="18">
        <f t="shared" si="36"/>
        <v>-12.5</v>
      </c>
      <c r="F182" s="27">
        <f>+Sheet2!C$9</f>
        <v>117.53125</v>
      </c>
      <c r="G182" s="28">
        <f t="shared" si="37"/>
        <v>-5.90625</v>
      </c>
      <c r="H182" s="17">
        <f>+C182*G182/100+E182</f>
        <v>-5918.75</v>
      </c>
      <c r="I182" s="19"/>
    </row>
    <row r="183" spans="1:9" hidden="1">
      <c r="A183" s="1" t="s">
        <v>5</v>
      </c>
      <c r="B183" s="15">
        <v>36210</v>
      </c>
      <c r="C183" s="16">
        <v>200000</v>
      </c>
      <c r="D183" s="27">
        <v>123.375</v>
      </c>
      <c r="E183" s="18">
        <f t="shared" si="36"/>
        <v>-25</v>
      </c>
      <c r="F183" s="27">
        <f>+Sheet2!C$9</f>
        <v>117.53125</v>
      </c>
      <c r="G183" s="28">
        <f t="shared" si="37"/>
        <v>-5.84375</v>
      </c>
      <c r="H183" s="17">
        <f>+C183*G183/100+E183</f>
        <v>-11712.5</v>
      </c>
      <c r="I183" s="19"/>
    </row>
    <row r="184" spans="1:9" hidden="1">
      <c r="A184" s="1" t="s">
        <v>5</v>
      </c>
      <c r="B184" s="15">
        <v>36210</v>
      </c>
      <c r="C184" s="16">
        <v>200000</v>
      </c>
      <c r="D184" s="27">
        <v>123.5</v>
      </c>
      <c r="E184" s="18">
        <f t="shared" si="36"/>
        <v>-25</v>
      </c>
      <c r="F184" s="27">
        <f>+Sheet2!C$9</f>
        <v>117.53125</v>
      </c>
      <c r="G184" s="28">
        <f t="shared" si="37"/>
        <v>-5.96875</v>
      </c>
      <c r="H184" s="17">
        <f>+C184*G184/100+E184</f>
        <v>-11962.5</v>
      </c>
      <c r="I184" s="19"/>
    </row>
    <row r="185" spans="1:9" hidden="1">
      <c r="A185" s="1" t="s">
        <v>5</v>
      </c>
      <c r="B185" s="15">
        <v>36210</v>
      </c>
      <c r="C185" s="16">
        <v>-200000</v>
      </c>
      <c r="D185" s="27">
        <v>123.21875</v>
      </c>
      <c r="E185" s="18">
        <f t="shared" si="36"/>
        <v>-25</v>
      </c>
      <c r="F185" s="27">
        <f>+Sheet2!C$9</f>
        <v>117.53125</v>
      </c>
      <c r="G185" s="28">
        <f t="shared" si="37"/>
        <v>5.6875</v>
      </c>
      <c r="H185" s="17">
        <f>-C185*G185/100+E185</f>
        <v>11350</v>
      </c>
      <c r="I185" s="19"/>
    </row>
    <row r="186" spans="1:9" hidden="1">
      <c r="A186" s="1" t="s">
        <v>5</v>
      </c>
      <c r="B186" s="15">
        <v>36210</v>
      </c>
      <c r="C186" s="16">
        <v>-200000</v>
      </c>
      <c r="D186" s="27">
        <v>123.25</v>
      </c>
      <c r="E186" s="18">
        <f t="shared" si="36"/>
        <v>-25</v>
      </c>
      <c r="F186" s="27">
        <f>+Sheet2!C$9</f>
        <v>117.53125</v>
      </c>
      <c r="G186" s="28">
        <f t="shared" si="37"/>
        <v>5.71875</v>
      </c>
      <c r="H186" s="17">
        <f>-C186*G186/100+E186</f>
        <v>11412.5</v>
      </c>
      <c r="I186" s="19"/>
    </row>
    <row r="187" spans="1:9" hidden="1">
      <c r="A187" s="1" t="s">
        <v>46</v>
      </c>
      <c r="B187" s="15">
        <v>36221</v>
      </c>
      <c r="C187" s="16">
        <v>100000</v>
      </c>
      <c r="D187" s="27">
        <v>120.28125</v>
      </c>
      <c r="E187" s="18">
        <f t="shared" ref="E187:E197" si="38">IF(C187&gt;0,-C187/100000*12.5,C187/100000*12.5)</f>
        <v>-12.5</v>
      </c>
      <c r="F187" s="27">
        <f>+Sheet2!C$9</f>
        <v>117.53125</v>
      </c>
      <c r="G187" s="28">
        <f t="shared" ref="G187:G197" si="39">IF(C187&gt;0,F187-D187,D187-F187)</f>
        <v>-2.75</v>
      </c>
      <c r="H187" s="17">
        <f>+C187*G187/100+E187</f>
        <v>-2762.5</v>
      </c>
      <c r="I187" s="19"/>
    </row>
    <row r="188" spans="1:9" hidden="1">
      <c r="A188" s="1" t="s">
        <v>46</v>
      </c>
      <c r="B188" s="15">
        <v>36221</v>
      </c>
      <c r="C188" s="16">
        <v>100000</v>
      </c>
      <c r="D188" s="27">
        <v>120.4375</v>
      </c>
      <c r="E188" s="18">
        <f t="shared" si="38"/>
        <v>-12.5</v>
      </c>
      <c r="F188" s="27">
        <f>+Sheet2!C$9</f>
        <v>117.53125</v>
      </c>
      <c r="G188" s="28">
        <f t="shared" si="39"/>
        <v>-2.90625</v>
      </c>
      <c r="H188" s="17">
        <f>+C188*G188/100+E188</f>
        <v>-2918.75</v>
      </c>
      <c r="I188" s="19"/>
    </row>
    <row r="189" spans="1:9" hidden="1">
      <c r="A189" s="1" t="s">
        <v>46</v>
      </c>
      <c r="B189" s="15">
        <v>36221</v>
      </c>
      <c r="C189" s="16">
        <v>-100000</v>
      </c>
      <c r="D189" s="27">
        <v>120.46875</v>
      </c>
      <c r="E189" s="18">
        <f t="shared" si="38"/>
        <v>-12.5</v>
      </c>
      <c r="F189" s="27">
        <f>+Sheet2!C$9</f>
        <v>117.53125</v>
      </c>
      <c r="G189" s="28">
        <f t="shared" si="39"/>
        <v>2.9375</v>
      </c>
      <c r="H189" s="17">
        <f>-C189*G189/100+E189</f>
        <v>2925</v>
      </c>
      <c r="I189" s="19"/>
    </row>
    <row r="190" spans="1:9" hidden="1">
      <c r="A190" s="1" t="s">
        <v>46</v>
      </c>
      <c r="B190" s="15">
        <v>36221</v>
      </c>
      <c r="C190" s="16">
        <v>-100000</v>
      </c>
      <c r="D190" s="27">
        <v>120.53125</v>
      </c>
      <c r="E190" s="18">
        <f t="shared" si="38"/>
        <v>-12.5</v>
      </c>
      <c r="F190" s="27">
        <f>+Sheet2!C$9</f>
        <v>117.53125</v>
      </c>
      <c r="G190" s="28">
        <f t="shared" si="39"/>
        <v>3</v>
      </c>
      <c r="H190" s="17">
        <f>-C190*G190/100+E190</f>
        <v>2987.5</v>
      </c>
      <c r="I190" s="19"/>
    </row>
    <row r="191" spans="1:9" hidden="1">
      <c r="A191" s="1" t="s">
        <v>46</v>
      </c>
      <c r="B191" s="15">
        <v>36222</v>
      </c>
      <c r="C191" s="16">
        <v>-100000</v>
      </c>
      <c r="D191" s="27">
        <v>120.4375</v>
      </c>
      <c r="E191" s="18">
        <f t="shared" si="38"/>
        <v>-12.5</v>
      </c>
      <c r="F191" s="27">
        <f>+Sheet2!C$9</f>
        <v>117.53125</v>
      </c>
      <c r="G191" s="28">
        <f t="shared" si="39"/>
        <v>2.90625</v>
      </c>
      <c r="H191" s="17">
        <f>-C191*G191/100+E191</f>
        <v>2893.75</v>
      </c>
      <c r="I191" s="19"/>
    </row>
    <row r="192" spans="1:9" hidden="1">
      <c r="A192" s="1" t="s">
        <v>46</v>
      </c>
      <c r="B192" s="15">
        <v>36222</v>
      </c>
      <c r="C192" s="16">
        <v>-100000</v>
      </c>
      <c r="D192" s="27">
        <v>120.25</v>
      </c>
      <c r="E192" s="18">
        <f t="shared" si="38"/>
        <v>-12.5</v>
      </c>
      <c r="F192" s="27">
        <f>+Sheet2!C$9</f>
        <v>117.53125</v>
      </c>
      <c r="G192" s="28">
        <f t="shared" si="39"/>
        <v>2.71875</v>
      </c>
      <c r="H192" s="17">
        <f>-C192*G192/100+E192</f>
        <v>2706.25</v>
      </c>
      <c r="I192" s="19"/>
    </row>
    <row r="193" spans="1:9" hidden="1">
      <c r="A193" s="1" t="s">
        <v>46</v>
      </c>
      <c r="B193" s="15">
        <v>36222</v>
      </c>
      <c r="C193" s="16">
        <v>200000</v>
      </c>
      <c r="D193" s="27">
        <v>120.25</v>
      </c>
      <c r="E193" s="18">
        <f t="shared" si="38"/>
        <v>-25</v>
      </c>
      <c r="F193" s="27">
        <f>+Sheet2!C$9</f>
        <v>117.53125</v>
      </c>
      <c r="G193" s="28">
        <f t="shared" si="39"/>
        <v>-2.71875</v>
      </c>
      <c r="H193" s="17">
        <f>+C193*G193/100+E193</f>
        <v>-5462.5</v>
      </c>
      <c r="I193" s="19"/>
    </row>
    <row r="194" spans="1:9" hidden="1">
      <c r="A194" s="1" t="s">
        <v>46</v>
      </c>
      <c r="B194" s="15">
        <v>36223</v>
      </c>
      <c r="C194" s="16">
        <v>100000</v>
      </c>
      <c r="D194" s="27">
        <v>119.5</v>
      </c>
      <c r="E194" s="18">
        <f t="shared" si="38"/>
        <v>-12.5</v>
      </c>
      <c r="F194" s="27">
        <f>+Sheet2!C$9</f>
        <v>117.53125</v>
      </c>
      <c r="G194" s="28">
        <f t="shared" si="39"/>
        <v>-1.96875</v>
      </c>
      <c r="H194" s="17">
        <f>+C194*G194/100+E194</f>
        <v>-1981.25</v>
      </c>
      <c r="I194" s="19"/>
    </row>
    <row r="195" spans="1:9" hidden="1">
      <c r="A195" s="1" t="s">
        <v>46</v>
      </c>
      <c r="B195" s="15">
        <v>36224</v>
      </c>
      <c r="C195" s="16">
        <v>-100000</v>
      </c>
      <c r="D195" s="27">
        <v>121</v>
      </c>
      <c r="E195" s="18">
        <f t="shared" si="38"/>
        <v>-12.5</v>
      </c>
      <c r="F195" s="27">
        <f>+Sheet2!C$9</f>
        <v>117.53125</v>
      </c>
      <c r="G195" s="28">
        <f t="shared" si="39"/>
        <v>3.46875</v>
      </c>
      <c r="H195" s="17">
        <f>-C195*G195/100+E195</f>
        <v>3456.25</v>
      </c>
      <c r="I195" s="19"/>
    </row>
    <row r="196" spans="1:9">
      <c r="A196" s="1" t="s">
        <v>46</v>
      </c>
      <c r="B196" s="15">
        <v>36224</v>
      </c>
      <c r="C196" s="16">
        <v>100000</v>
      </c>
      <c r="D196" s="27">
        <v>121.15625</v>
      </c>
      <c r="E196" s="18">
        <f t="shared" si="38"/>
        <v>-12.5</v>
      </c>
      <c r="F196" s="27">
        <f>+Sheet2!C$9</f>
        <v>117.53125</v>
      </c>
      <c r="G196" s="28">
        <f t="shared" si="39"/>
        <v>-3.625</v>
      </c>
      <c r="H196" s="17">
        <f>+C196*G196/100+E196</f>
        <v>-3637.5</v>
      </c>
      <c r="I196" s="19"/>
    </row>
    <row r="197" spans="1:9">
      <c r="A197" s="1" t="s">
        <v>46</v>
      </c>
      <c r="B197" s="15">
        <v>36224</v>
      </c>
      <c r="C197" s="16">
        <v>-100000</v>
      </c>
      <c r="D197" s="27">
        <v>120.8125</v>
      </c>
      <c r="E197" s="18">
        <f t="shared" si="38"/>
        <v>-12.5</v>
      </c>
      <c r="F197" s="27">
        <f>+Sheet2!C$9</f>
        <v>117.53125</v>
      </c>
      <c r="G197" s="28">
        <f t="shared" si="39"/>
        <v>3.28125</v>
      </c>
      <c r="H197" s="17">
        <f>-C197*G197/100+E197</f>
        <v>3268.75</v>
      </c>
      <c r="I197" s="19"/>
    </row>
    <row r="198" spans="1:9">
      <c r="A198" s="1" t="s">
        <v>46</v>
      </c>
      <c r="B198" s="15">
        <v>36230</v>
      </c>
      <c r="C198" s="16">
        <v>100000</v>
      </c>
      <c r="D198" s="27">
        <v>121.25</v>
      </c>
      <c r="E198" s="18">
        <f t="shared" ref="E198:E207" si="40">IF(C198&gt;0,-C198/100000*12.5,C198/100000*12.5)</f>
        <v>-12.5</v>
      </c>
      <c r="F198" s="27">
        <f>+Sheet2!C$9</f>
        <v>117.53125</v>
      </c>
      <c r="G198" s="28">
        <f t="shared" ref="G198:G207" si="41">IF(C198&gt;0,F198-D198,D198-F198)</f>
        <v>-3.71875</v>
      </c>
      <c r="H198" s="17">
        <f>+C198*G198/100+E198</f>
        <v>-3731.25</v>
      </c>
      <c r="I198" s="19"/>
    </row>
    <row r="199" spans="1:9">
      <c r="A199" s="1" t="s">
        <v>46</v>
      </c>
      <c r="B199" s="15">
        <v>36230</v>
      </c>
      <c r="C199" s="16">
        <v>100000</v>
      </c>
      <c r="D199" s="27">
        <v>120.96875</v>
      </c>
      <c r="E199" s="18">
        <f t="shared" si="40"/>
        <v>-12.5</v>
      </c>
      <c r="F199" s="27">
        <f>+Sheet2!C$9</f>
        <v>117.53125</v>
      </c>
      <c r="G199" s="28">
        <f t="shared" si="41"/>
        <v>-3.4375</v>
      </c>
      <c r="H199" s="17">
        <f>+C199*G199/100+E199</f>
        <v>-3450</v>
      </c>
      <c r="I199" s="19"/>
    </row>
    <row r="200" spans="1:9">
      <c r="A200" s="1" t="s">
        <v>46</v>
      </c>
      <c r="B200" s="15">
        <v>36230</v>
      </c>
      <c r="C200" s="16">
        <v>-100000</v>
      </c>
      <c r="D200" s="27">
        <v>120.78125</v>
      </c>
      <c r="E200" s="18">
        <f t="shared" si="40"/>
        <v>-12.5</v>
      </c>
      <c r="F200" s="27">
        <f>+Sheet2!C$9</f>
        <v>117.53125</v>
      </c>
      <c r="G200" s="28">
        <f t="shared" si="41"/>
        <v>3.25</v>
      </c>
      <c r="H200" s="17">
        <f>-C200*G200/100+E200</f>
        <v>3237.5</v>
      </c>
      <c r="I200" s="19"/>
    </row>
    <row r="201" spans="1:9">
      <c r="A201" s="1" t="s">
        <v>46</v>
      </c>
      <c r="B201" s="15">
        <v>36234</v>
      </c>
      <c r="C201" s="16">
        <v>-100000</v>
      </c>
      <c r="D201" s="27">
        <v>121.1875</v>
      </c>
      <c r="E201" s="18">
        <f t="shared" si="40"/>
        <v>-12.5</v>
      </c>
      <c r="F201" s="27">
        <f>+Sheet2!C$9</f>
        <v>117.53125</v>
      </c>
      <c r="G201" s="28">
        <f t="shared" si="41"/>
        <v>3.65625</v>
      </c>
      <c r="H201" s="17">
        <f>-C201*G201/100+E201</f>
        <v>3643.75</v>
      </c>
      <c r="I201" s="19"/>
    </row>
    <row r="202" spans="1:9">
      <c r="A202" s="1" t="s">
        <v>46</v>
      </c>
      <c r="B202" s="15">
        <v>36236</v>
      </c>
      <c r="C202" s="16">
        <v>-100000</v>
      </c>
      <c r="D202" s="27">
        <v>122</v>
      </c>
      <c r="E202" s="18">
        <f t="shared" si="40"/>
        <v>-12.5</v>
      </c>
      <c r="F202" s="27">
        <f>+Sheet2!C$9</f>
        <v>117.53125</v>
      </c>
      <c r="G202" s="28">
        <f t="shared" si="41"/>
        <v>4.46875</v>
      </c>
      <c r="H202" s="17">
        <f>-C202*G202/100+E202</f>
        <v>4456.25</v>
      </c>
      <c r="I202" s="19"/>
    </row>
    <row r="203" spans="1:9">
      <c r="A203" s="1" t="s">
        <v>46</v>
      </c>
      <c r="B203" s="15">
        <v>36237</v>
      </c>
      <c r="C203" s="16">
        <v>100000</v>
      </c>
      <c r="D203" s="27">
        <v>122</v>
      </c>
      <c r="E203" s="18">
        <f t="shared" si="40"/>
        <v>-12.5</v>
      </c>
      <c r="F203" s="27">
        <f>+Sheet2!C$9</f>
        <v>117.53125</v>
      </c>
      <c r="G203" s="28">
        <f t="shared" si="41"/>
        <v>-4.46875</v>
      </c>
      <c r="H203" s="17">
        <f>+C203*G203/100+E203</f>
        <v>-4481.25</v>
      </c>
      <c r="I203" s="19"/>
    </row>
    <row r="204" spans="1:9">
      <c r="A204" s="1" t="s">
        <v>46</v>
      </c>
      <c r="B204" s="15">
        <v>36237</v>
      </c>
      <c r="C204" s="16">
        <v>100000</v>
      </c>
      <c r="D204" s="27">
        <v>122.21875</v>
      </c>
      <c r="E204" s="18">
        <f t="shared" si="40"/>
        <v>-12.5</v>
      </c>
      <c r="F204" s="27">
        <f>+Sheet2!C$9</f>
        <v>117.53125</v>
      </c>
      <c r="G204" s="28">
        <f t="shared" si="41"/>
        <v>-4.6875</v>
      </c>
      <c r="H204" s="17">
        <f>+C204*G204/100+E204</f>
        <v>-4700</v>
      </c>
      <c r="I204" s="19"/>
    </row>
    <row r="205" spans="1:9">
      <c r="A205" s="1" t="s">
        <v>46</v>
      </c>
      <c r="B205" s="15">
        <v>36237</v>
      </c>
      <c r="C205" s="16">
        <v>-100000</v>
      </c>
      <c r="D205" s="27">
        <v>121.9375</v>
      </c>
      <c r="E205" s="18">
        <f t="shared" si="40"/>
        <v>-12.5</v>
      </c>
      <c r="F205" s="27">
        <f>+Sheet2!C$9</f>
        <v>117.53125</v>
      </c>
      <c r="G205" s="28">
        <f t="shared" si="41"/>
        <v>4.40625</v>
      </c>
      <c r="H205" s="17">
        <f>-C205*G205/100+E205</f>
        <v>4393.75</v>
      </c>
      <c r="I205" s="19"/>
    </row>
    <row r="206" spans="1:9">
      <c r="A206" s="1" t="s">
        <v>46</v>
      </c>
      <c r="B206" s="15">
        <v>36237</v>
      </c>
      <c r="C206" s="16">
        <v>-100000</v>
      </c>
      <c r="D206" s="27">
        <v>121.9375</v>
      </c>
      <c r="E206" s="18">
        <f t="shared" si="40"/>
        <v>-12.5</v>
      </c>
      <c r="F206" s="27">
        <f>+Sheet2!C$9</f>
        <v>117.53125</v>
      </c>
      <c r="G206" s="28">
        <f t="shared" si="41"/>
        <v>4.40625</v>
      </c>
      <c r="H206" s="17">
        <f>-C206*G206/100+E206</f>
        <v>4393.75</v>
      </c>
      <c r="I206" s="19"/>
    </row>
    <row r="207" spans="1:9">
      <c r="A207" s="1" t="s">
        <v>46</v>
      </c>
      <c r="B207" s="15">
        <v>36238</v>
      </c>
      <c r="C207" s="16">
        <v>200000</v>
      </c>
      <c r="D207" s="27">
        <v>122.15625</v>
      </c>
      <c r="E207" s="18">
        <f t="shared" si="40"/>
        <v>-25</v>
      </c>
      <c r="F207" s="27">
        <f>+Sheet2!C$9</f>
        <v>117.53125</v>
      </c>
      <c r="G207" s="28">
        <f t="shared" si="41"/>
        <v>-4.625</v>
      </c>
      <c r="H207" s="17">
        <f>+C207*G207/100+E207</f>
        <v>-9275</v>
      </c>
      <c r="I207" s="19"/>
    </row>
    <row r="208" spans="1:9">
      <c r="A208" s="1" t="s">
        <v>46</v>
      </c>
      <c r="B208" s="15">
        <v>36238</v>
      </c>
      <c r="C208" s="16">
        <v>-100000</v>
      </c>
      <c r="D208" s="27">
        <v>121.78125</v>
      </c>
      <c r="E208" s="18">
        <f t="shared" ref="E208:E216" si="42">IF(C208&gt;0,-C208/100000*12.5,C208/100000*12.5)</f>
        <v>-12.5</v>
      </c>
      <c r="F208" s="27">
        <f>+Sheet2!C$9</f>
        <v>117.53125</v>
      </c>
      <c r="G208" s="28">
        <f t="shared" ref="G208:G216" si="43">IF(C208&gt;0,F208-D208,D208-F208)</f>
        <v>4.25</v>
      </c>
      <c r="H208" s="17">
        <f>-C208*G208/100+E208</f>
        <v>4237.5</v>
      </c>
      <c r="I208" s="19"/>
    </row>
    <row r="209" spans="1:9">
      <c r="A209" s="1" t="s">
        <v>46</v>
      </c>
      <c r="B209" s="15">
        <v>36257</v>
      </c>
      <c r="C209" s="16">
        <v>100000</v>
      </c>
      <c r="D209" s="27">
        <v>122.09375</v>
      </c>
      <c r="E209" s="18">
        <f t="shared" si="42"/>
        <v>-12.5</v>
      </c>
      <c r="F209" s="27">
        <f>+Sheet2!C$9</f>
        <v>117.53125</v>
      </c>
      <c r="G209" s="28">
        <f t="shared" si="43"/>
        <v>-4.5625</v>
      </c>
      <c r="H209" s="17">
        <f>+C209*G209/100+E209</f>
        <v>-4575</v>
      </c>
      <c r="I209" s="19"/>
    </row>
    <row r="210" spans="1:9">
      <c r="A210" s="1" t="s">
        <v>46</v>
      </c>
      <c r="B210" s="15">
        <v>36258</v>
      </c>
      <c r="C210" s="16">
        <v>200000</v>
      </c>
      <c r="D210" s="27">
        <v>122.15625</v>
      </c>
      <c r="E210" s="18">
        <f t="shared" si="42"/>
        <v>-25</v>
      </c>
      <c r="F210" s="27">
        <f>+Sheet2!C$9</f>
        <v>117.53125</v>
      </c>
      <c r="G210" s="28">
        <f t="shared" si="43"/>
        <v>-4.625</v>
      </c>
      <c r="H210" s="17">
        <f>+C210*G210/100+E210</f>
        <v>-9275</v>
      </c>
      <c r="I210" s="19"/>
    </row>
    <row r="211" spans="1:9">
      <c r="A211" s="1" t="s">
        <v>46</v>
      </c>
      <c r="B211" s="15">
        <v>36258</v>
      </c>
      <c r="C211" s="16">
        <v>-200000</v>
      </c>
      <c r="D211" s="27">
        <v>122.4375</v>
      </c>
      <c r="E211" s="18">
        <f t="shared" si="42"/>
        <v>-25</v>
      </c>
      <c r="F211" s="27">
        <f>+Sheet2!C$9</f>
        <v>117.53125</v>
      </c>
      <c r="G211" s="28">
        <f t="shared" si="43"/>
        <v>4.90625</v>
      </c>
      <c r="H211" s="17">
        <f>-C211*G211/100+E211</f>
        <v>9787.5</v>
      </c>
      <c r="I211" s="19"/>
    </row>
    <row r="212" spans="1:9">
      <c r="A212" s="1" t="s">
        <v>46</v>
      </c>
      <c r="B212" s="15">
        <v>36258</v>
      </c>
      <c r="C212" s="16">
        <v>200000</v>
      </c>
      <c r="D212" s="27">
        <v>123.15625</v>
      </c>
      <c r="E212" s="18">
        <f t="shared" si="42"/>
        <v>-25</v>
      </c>
      <c r="F212" s="27">
        <f>+Sheet2!C$9</f>
        <v>117.53125</v>
      </c>
      <c r="G212" s="28">
        <f t="shared" si="43"/>
        <v>-5.625</v>
      </c>
      <c r="H212" s="17">
        <f>+C212*G212/100+E212</f>
        <v>-11275</v>
      </c>
      <c r="I212" s="19"/>
    </row>
    <row r="213" spans="1:9">
      <c r="A213" s="1" t="s">
        <v>46</v>
      </c>
      <c r="B213" s="15">
        <v>36259</v>
      </c>
      <c r="C213" s="16">
        <v>-100000</v>
      </c>
      <c r="D213" s="27">
        <v>123.3125</v>
      </c>
      <c r="E213" s="18">
        <f t="shared" si="42"/>
        <v>-12.5</v>
      </c>
      <c r="F213" s="27">
        <f>+Sheet2!C$9</f>
        <v>117.53125</v>
      </c>
      <c r="G213" s="28">
        <f t="shared" si="43"/>
        <v>5.78125</v>
      </c>
      <c r="H213" s="17">
        <f>-C213*G213/100+E213</f>
        <v>5768.75</v>
      </c>
      <c r="I213" s="19"/>
    </row>
    <row r="214" spans="1:9">
      <c r="A214" s="1" t="s">
        <v>46</v>
      </c>
      <c r="B214" s="15">
        <v>36259</v>
      </c>
      <c r="C214" s="16">
        <v>100000</v>
      </c>
      <c r="D214" s="27">
        <v>123.15625</v>
      </c>
      <c r="E214" s="18">
        <f t="shared" si="42"/>
        <v>-12.5</v>
      </c>
      <c r="F214" s="27">
        <f>+Sheet2!C$9</f>
        <v>117.53125</v>
      </c>
      <c r="G214" s="28">
        <f t="shared" si="43"/>
        <v>-5.625</v>
      </c>
      <c r="H214" s="17">
        <f>+C214*G214/100+E214</f>
        <v>-5637.5</v>
      </c>
      <c r="I214" s="19"/>
    </row>
    <row r="215" spans="1:9">
      <c r="A215" s="1" t="s">
        <v>46</v>
      </c>
      <c r="B215" s="15">
        <v>36259</v>
      </c>
      <c r="C215" s="16">
        <v>200000</v>
      </c>
      <c r="D215" s="27">
        <v>122.84375</v>
      </c>
      <c r="E215" s="18">
        <f t="shared" si="42"/>
        <v>-25</v>
      </c>
      <c r="F215" s="27">
        <f>+Sheet2!C$9</f>
        <v>117.53125</v>
      </c>
      <c r="G215" s="28">
        <f t="shared" si="43"/>
        <v>-5.3125</v>
      </c>
      <c r="H215" s="17">
        <f>+C215*G215/100+E215</f>
        <v>-10650</v>
      </c>
      <c r="I215" s="19"/>
    </row>
    <row r="216" spans="1:9">
      <c r="A216" s="1" t="s">
        <v>46</v>
      </c>
      <c r="B216" s="15">
        <v>36259</v>
      </c>
      <c r="C216" s="16">
        <v>-400000</v>
      </c>
      <c r="D216" s="27">
        <v>122.9375</v>
      </c>
      <c r="E216" s="18">
        <f t="shared" si="42"/>
        <v>-50</v>
      </c>
      <c r="F216" s="27">
        <f>+Sheet2!C$9</f>
        <v>117.53125</v>
      </c>
      <c r="G216" s="28">
        <f t="shared" si="43"/>
        <v>5.40625</v>
      </c>
      <c r="H216" s="17">
        <f>-C216*G216/100+E216</f>
        <v>21575</v>
      </c>
      <c r="I216" s="19"/>
    </row>
    <row r="217" spans="1:9">
      <c r="A217" s="1" t="s">
        <v>46</v>
      </c>
      <c r="B217" s="15">
        <v>36263</v>
      </c>
      <c r="C217" s="16">
        <v>100000</v>
      </c>
      <c r="D217" s="27">
        <v>122.9375</v>
      </c>
      <c r="E217" s="18">
        <f t="shared" ref="E217:E222" si="44">IF(C217&gt;0,-C217/100000*12.5,C217/100000*12.5)</f>
        <v>-12.5</v>
      </c>
      <c r="F217" s="27">
        <f>+Sheet2!C$9</f>
        <v>117.53125</v>
      </c>
      <c r="G217" s="28">
        <f t="shared" ref="G217:G222" si="45">IF(C217&gt;0,F217-D217,D217-F217)</f>
        <v>-5.40625</v>
      </c>
      <c r="H217" s="17">
        <f>+C217*G217/100+E217</f>
        <v>-5418.75</v>
      </c>
      <c r="I217" s="19"/>
    </row>
    <row r="218" spans="1:9">
      <c r="A218" s="1" t="s">
        <v>46</v>
      </c>
      <c r="B218" s="15">
        <v>36263</v>
      </c>
      <c r="C218" s="16">
        <v>-100000</v>
      </c>
      <c r="D218" s="27">
        <v>122.5625</v>
      </c>
      <c r="E218" s="18">
        <f t="shared" si="44"/>
        <v>-12.5</v>
      </c>
      <c r="F218" s="27">
        <f>+Sheet2!C$9</f>
        <v>117.53125</v>
      </c>
      <c r="G218" s="28">
        <f t="shared" si="45"/>
        <v>5.03125</v>
      </c>
      <c r="H218" s="17">
        <f>-C218*G218/100+E218</f>
        <v>5018.75</v>
      </c>
      <c r="I218" s="19"/>
    </row>
    <row r="219" spans="1:9">
      <c r="A219" s="1" t="s">
        <v>46</v>
      </c>
      <c r="B219" s="15">
        <v>36264</v>
      </c>
      <c r="C219" s="16">
        <v>300000</v>
      </c>
      <c r="D219" s="27">
        <v>122.3125</v>
      </c>
      <c r="E219" s="18">
        <f t="shared" si="44"/>
        <v>-37.5</v>
      </c>
      <c r="F219" s="27">
        <f>+Sheet2!C$9</f>
        <v>117.53125</v>
      </c>
      <c r="G219" s="28">
        <f t="shared" si="45"/>
        <v>-4.78125</v>
      </c>
      <c r="H219" s="17">
        <f>+C219*G219/100+E219</f>
        <v>-14381.25</v>
      </c>
      <c r="I219" s="19"/>
    </row>
    <row r="220" spans="1:9">
      <c r="A220" s="1" t="s">
        <v>46</v>
      </c>
      <c r="B220" s="15">
        <v>36264</v>
      </c>
      <c r="C220" s="16">
        <v>-400000</v>
      </c>
      <c r="D220" s="27">
        <v>122.21875</v>
      </c>
      <c r="E220" s="18">
        <f t="shared" si="44"/>
        <v>-50</v>
      </c>
      <c r="F220" s="27">
        <f>+Sheet2!C$9</f>
        <v>117.53125</v>
      </c>
      <c r="G220" s="28">
        <f t="shared" si="45"/>
        <v>4.6875</v>
      </c>
      <c r="H220" s="17">
        <f>-C220*G220/100+E220</f>
        <v>18700</v>
      </c>
      <c r="I220" s="19"/>
    </row>
    <row r="221" spans="1:9">
      <c r="A221" s="1" t="s">
        <v>46</v>
      </c>
      <c r="B221" s="15">
        <v>36265</v>
      </c>
      <c r="C221" s="16">
        <v>100000</v>
      </c>
      <c r="D221" s="27">
        <v>122.34375</v>
      </c>
      <c r="E221" s="18">
        <f t="shared" si="44"/>
        <v>-12.5</v>
      </c>
      <c r="F221" s="27">
        <f>+Sheet2!C$9</f>
        <v>117.53125</v>
      </c>
      <c r="G221" s="28">
        <f t="shared" si="45"/>
        <v>-4.8125</v>
      </c>
      <c r="H221" s="17">
        <f>+C221*G221/100+E221</f>
        <v>-4825</v>
      </c>
      <c r="I221" s="19"/>
    </row>
    <row r="222" spans="1:9">
      <c r="A222" s="1" t="s">
        <v>46</v>
      </c>
      <c r="B222" s="15">
        <v>36265</v>
      </c>
      <c r="C222" s="16">
        <v>-100000</v>
      </c>
      <c r="D222" s="27">
        <v>122.0625</v>
      </c>
      <c r="E222" s="18">
        <f t="shared" si="44"/>
        <v>-12.5</v>
      </c>
      <c r="F222" s="27">
        <f>+Sheet2!C$9</f>
        <v>117.53125</v>
      </c>
      <c r="G222" s="28">
        <f t="shared" si="45"/>
        <v>4.53125</v>
      </c>
      <c r="H222" s="17">
        <f>-C222*G222/100+E222</f>
        <v>4518.75</v>
      </c>
      <c r="I222" s="19"/>
    </row>
    <row r="223" spans="1:9">
      <c r="A223" s="1" t="s">
        <v>46</v>
      </c>
      <c r="B223" s="15">
        <v>36272</v>
      </c>
      <c r="C223" s="16">
        <v>200000</v>
      </c>
      <c r="D223" s="27">
        <v>122</v>
      </c>
      <c r="E223" s="18">
        <f>IF(C223&gt;0,-C223/100000*12.5,C223/100000*12.5)</f>
        <v>-25</v>
      </c>
      <c r="F223" s="27">
        <f>+Sheet2!C$9</f>
        <v>117.53125</v>
      </c>
      <c r="G223" s="28">
        <f>IF(C223&gt;0,F223-D223,D223-F223)</f>
        <v>-4.46875</v>
      </c>
      <c r="H223" s="17">
        <f>+C223*G223/100+E223</f>
        <v>-8962.5</v>
      </c>
      <c r="I223" s="19"/>
    </row>
    <row r="224" spans="1:9">
      <c r="A224" s="1" t="s">
        <v>46</v>
      </c>
      <c r="B224" s="15">
        <v>36272</v>
      </c>
      <c r="C224" s="16">
        <v>-200000</v>
      </c>
      <c r="D224" s="27">
        <v>121.59375</v>
      </c>
      <c r="E224" s="18">
        <f>IF(C224&gt;0,-C224/100000*12.5,C224/100000*12.5)</f>
        <v>-25</v>
      </c>
      <c r="F224" s="27">
        <f>+Sheet2!C$9</f>
        <v>117.53125</v>
      </c>
      <c r="G224" s="28">
        <f>IF(C224&gt;0,F224-D224,D224-F224)</f>
        <v>4.0625</v>
      </c>
      <c r="H224" s="17">
        <f>-C224*G224/100+E224</f>
        <v>8100</v>
      </c>
      <c r="I224" s="19"/>
    </row>
    <row r="225" spans="1:11">
      <c r="A225" s="1" t="s">
        <v>46</v>
      </c>
      <c r="B225" s="15">
        <v>36279</v>
      </c>
      <c r="C225" s="16">
        <v>200000</v>
      </c>
      <c r="D225" s="27">
        <v>122.28125</v>
      </c>
      <c r="E225" s="18">
        <f>IF(C225&gt;0,-C225/100000*12.5,C225/100000*12.5)</f>
        <v>-25</v>
      </c>
      <c r="F225" s="27">
        <f>+Sheet2!C$9</f>
        <v>117.53125</v>
      </c>
      <c r="G225" s="28">
        <f>IF(C225&gt;0,F225-D225,D225-F225)</f>
        <v>-4.75</v>
      </c>
      <c r="H225" s="17">
        <f>+C225*G225/100+E225</f>
        <v>-9525</v>
      </c>
      <c r="I225" s="19"/>
    </row>
    <row r="226" spans="1:11">
      <c r="A226" s="1" t="s">
        <v>46</v>
      </c>
      <c r="B226" s="15">
        <v>36279</v>
      </c>
      <c r="C226" s="16">
        <v>-200000</v>
      </c>
      <c r="D226" s="27">
        <v>122.0625</v>
      </c>
      <c r="E226" s="18">
        <f>IF(C226&gt;0,-C226/100000*12.5,C226/100000*12.5)</f>
        <v>-25</v>
      </c>
      <c r="F226" s="27">
        <f>+Sheet2!C$9</f>
        <v>117.53125</v>
      </c>
      <c r="G226" s="28">
        <f>IF(C226&gt;0,F226-D226,D226-F226)</f>
        <v>4.53125</v>
      </c>
      <c r="H226" s="17">
        <f>-C226*G226/100+E226</f>
        <v>9037.5</v>
      </c>
      <c r="I226" s="19"/>
    </row>
    <row r="227" spans="1:11">
      <c r="J227" s="33">
        <f>SUM(H166:H227)</f>
        <v>-2556.25</v>
      </c>
      <c r="K227" s="32" t="s">
        <v>22</v>
      </c>
    </row>
    <row r="228" spans="1:11">
      <c r="J228" s="40">
        <f>SUM(C166:C227)/100000</f>
        <v>0</v>
      </c>
      <c r="K228" s="32" t="s">
        <v>45</v>
      </c>
    </row>
    <row r="229" spans="1:11" hidden="1">
      <c r="A229" s="1" t="s">
        <v>23</v>
      </c>
      <c r="B229" s="15">
        <v>36185</v>
      </c>
      <c r="C229" s="16">
        <v>-20000</v>
      </c>
      <c r="D229" s="35">
        <v>1232.75</v>
      </c>
      <c r="E229" s="18">
        <f t="shared" ref="E229:E253" si="46">IF(C229&gt;0,-C229/10000*12.5,C229/10000*12.5)</f>
        <v>-25</v>
      </c>
      <c r="F229" s="35">
        <f>+Sheet2!D$9</f>
        <v>1340.25</v>
      </c>
      <c r="G229" s="17">
        <f t="shared" ref="G229:G253" si="47">IF(C229&gt;0,F229-D229,D229-F229)</f>
        <v>-107.5</v>
      </c>
      <c r="H229" s="17">
        <f>-C229*G229/200+E229</f>
        <v>-10775</v>
      </c>
      <c r="I229" s="19"/>
    </row>
    <row r="230" spans="1:11" hidden="1">
      <c r="A230" s="1" t="s">
        <v>23</v>
      </c>
      <c r="B230" s="15">
        <v>36185</v>
      </c>
      <c r="C230" s="16">
        <v>-20000</v>
      </c>
      <c r="D230" s="35">
        <v>1227.25</v>
      </c>
      <c r="E230" s="18">
        <f t="shared" si="46"/>
        <v>-25</v>
      </c>
      <c r="F230" s="35">
        <f>+Sheet2!D$9</f>
        <v>1340.25</v>
      </c>
      <c r="G230" s="17">
        <f t="shared" si="47"/>
        <v>-113</v>
      </c>
      <c r="H230" s="17">
        <f>-C230*G230/200+E230</f>
        <v>-11325</v>
      </c>
      <c r="I230" s="19"/>
    </row>
    <row r="231" spans="1:11" hidden="1">
      <c r="A231" s="1" t="s">
        <v>23</v>
      </c>
      <c r="B231" s="15">
        <v>36185</v>
      </c>
      <c r="C231" s="16">
        <v>40000</v>
      </c>
      <c r="D231" s="35">
        <v>1233.5</v>
      </c>
      <c r="E231" s="18">
        <f t="shared" si="46"/>
        <v>-50</v>
      </c>
      <c r="F231" s="35">
        <f>+Sheet2!D$9</f>
        <v>1340.25</v>
      </c>
      <c r="G231" s="17">
        <f t="shared" si="47"/>
        <v>106.75</v>
      </c>
      <c r="H231" s="17">
        <f>C231*G231/200+E231</f>
        <v>21300</v>
      </c>
      <c r="I231" s="19"/>
    </row>
    <row r="232" spans="1:11" hidden="1">
      <c r="A232" s="1" t="s">
        <v>23</v>
      </c>
      <c r="B232" s="15">
        <v>36196</v>
      </c>
      <c r="C232" s="16">
        <v>-10000</v>
      </c>
      <c r="D232" s="35">
        <v>1238.75</v>
      </c>
      <c r="E232" s="18">
        <f t="shared" si="46"/>
        <v>-12.5</v>
      </c>
      <c r="F232" s="35">
        <f>+Sheet2!D$9</f>
        <v>1340.25</v>
      </c>
      <c r="G232" s="17">
        <f t="shared" si="47"/>
        <v>-101.5</v>
      </c>
      <c r="H232" s="17">
        <f>-C232*G232/200+E232</f>
        <v>-5087.5</v>
      </c>
      <c r="I232" s="19"/>
    </row>
    <row r="233" spans="1:11" hidden="1">
      <c r="A233" s="1" t="s">
        <v>23</v>
      </c>
      <c r="B233" s="15">
        <v>36196</v>
      </c>
      <c r="C233" s="16">
        <v>-10000</v>
      </c>
      <c r="D233" s="35">
        <v>1239</v>
      </c>
      <c r="E233" s="18">
        <f t="shared" si="46"/>
        <v>-12.5</v>
      </c>
      <c r="F233" s="35">
        <f>+Sheet2!D$9</f>
        <v>1340.25</v>
      </c>
      <c r="G233" s="17">
        <f t="shared" si="47"/>
        <v>-101.25</v>
      </c>
      <c r="H233" s="17">
        <f>-C233*G233/200+E233</f>
        <v>-5075</v>
      </c>
      <c r="I233" s="19"/>
    </row>
    <row r="234" spans="1:11" hidden="1">
      <c r="A234" s="1" t="s">
        <v>23</v>
      </c>
      <c r="B234" s="15">
        <v>36199</v>
      </c>
      <c r="C234" s="16">
        <v>20000</v>
      </c>
      <c r="D234" s="35">
        <v>1251.25</v>
      </c>
      <c r="E234" s="18">
        <f t="shared" si="46"/>
        <v>-25</v>
      </c>
      <c r="F234" s="35">
        <f>+Sheet2!D$9</f>
        <v>1340.25</v>
      </c>
      <c r="G234" s="17">
        <f t="shared" si="47"/>
        <v>89</v>
      </c>
      <c r="H234" s="17">
        <f>C234*G234/200+E234</f>
        <v>8875</v>
      </c>
      <c r="I234" s="19"/>
    </row>
    <row r="235" spans="1:11" hidden="1">
      <c r="A235" s="1" t="s">
        <v>23</v>
      </c>
      <c r="B235" s="15">
        <v>36200</v>
      </c>
      <c r="C235" s="16">
        <v>-20000</v>
      </c>
      <c r="D235" s="35">
        <v>1237.75</v>
      </c>
      <c r="E235" s="18">
        <f t="shared" si="46"/>
        <v>-25</v>
      </c>
      <c r="F235" s="35">
        <f>+Sheet2!D$9</f>
        <v>1340.25</v>
      </c>
      <c r="G235" s="17">
        <f t="shared" si="47"/>
        <v>-102.5</v>
      </c>
      <c r="H235" s="17">
        <f>-C235*G235/200+E235</f>
        <v>-10275</v>
      </c>
      <c r="I235" s="19"/>
    </row>
    <row r="236" spans="1:11" hidden="1">
      <c r="A236" s="1" t="s">
        <v>23</v>
      </c>
      <c r="B236" s="15">
        <v>36200</v>
      </c>
      <c r="C236" s="16">
        <v>-20000</v>
      </c>
      <c r="D236" s="35">
        <v>1234.75</v>
      </c>
      <c r="E236" s="18">
        <f t="shared" si="46"/>
        <v>-25</v>
      </c>
      <c r="F236" s="35">
        <f>+Sheet2!D$9</f>
        <v>1340.25</v>
      </c>
      <c r="G236" s="17">
        <f t="shared" si="47"/>
        <v>-105.5</v>
      </c>
      <c r="H236" s="17">
        <f>-C236*G236/200+E236</f>
        <v>-10575</v>
      </c>
      <c r="I236" s="19"/>
    </row>
    <row r="237" spans="1:11" hidden="1">
      <c r="A237" s="1" t="s">
        <v>23</v>
      </c>
      <c r="B237" s="15">
        <v>36200</v>
      </c>
      <c r="C237" s="16">
        <v>20000</v>
      </c>
      <c r="D237" s="35">
        <v>1230</v>
      </c>
      <c r="E237" s="18">
        <f t="shared" si="46"/>
        <v>-25</v>
      </c>
      <c r="F237" s="35">
        <f>+Sheet2!D$9</f>
        <v>1340.25</v>
      </c>
      <c r="G237" s="17">
        <f t="shared" si="47"/>
        <v>110.25</v>
      </c>
      <c r="H237" s="17">
        <f>C237*G237/200+E237</f>
        <v>11000</v>
      </c>
      <c r="I237" s="19"/>
    </row>
    <row r="238" spans="1:11" hidden="1">
      <c r="A238" s="1" t="s">
        <v>23</v>
      </c>
      <c r="B238" s="15">
        <v>36200</v>
      </c>
      <c r="C238" s="16">
        <v>-20000</v>
      </c>
      <c r="D238" s="35">
        <v>1232.25</v>
      </c>
      <c r="E238" s="18">
        <f t="shared" si="46"/>
        <v>-25</v>
      </c>
      <c r="F238" s="35">
        <f>+Sheet2!D$9</f>
        <v>1340.25</v>
      </c>
      <c r="G238" s="17">
        <f t="shared" si="47"/>
        <v>-108</v>
      </c>
      <c r="H238" s="17">
        <f>-C238*G238/200+E238</f>
        <v>-10825</v>
      </c>
      <c r="I238" s="19"/>
    </row>
    <row r="239" spans="1:11" hidden="1">
      <c r="A239" s="1" t="s">
        <v>23</v>
      </c>
      <c r="B239" s="15">
        <v>36200</v>
      </c>
      <c r="C239" s="16">
        <v>40000</v>
      </c>
      <c r="D239" s="35">
        <v>1238</v>
      </c>
      <c r="E239" s="18">
        <f t="shared" si="46"/>
        <v>-50</v>
      </c>
      <c r="F239" s="35">
        <f>+Sheet2!D$9</f>
        <v>1340.25</v>
      </c>
      <c r="G239" s="17">
        <f t="shared" si="47"/>
        <v>102.25</v>
      </c>
      <c r="H239" s="17">
        <f>C239*G239/200+E239</f>
        <v>20400</v>
      </c>
      <c r="I239" s="19"/>
    </row>
    <row r="240" spans="1:11" hidden="1">
      <c r="A240" s="1" t="s">
        <v>23</v>
      </c>
      <c r="B240" s="15">
        <v>36200</v>
      </c>
      <c r="C240" s="16">
        <v>-20000</v>
      </c>
      <c r="D240" s="35">
        <v>1229</v>
      </c>
      <c r="E240" s="18">
        <f t="shared" si="46"/>
        <v>-25</v>
      </c>
      <c r="F240" s="35">
        <f>+Sheet2!D$9</f>
        <v>1340.25</v>
      </c>
      <c r="G240" s="17">
        <f t="shared" si="47"/>
        <v>-111.25</v>
      </c>
      <c r="H240" s="17">
        <f>-C240*G240/200+E240</f>
        <v>-11150</v>
      </c>
      <c r="I240" s="19"/>
    </row>
    <row r="241" spans="1:26" hidden="1">
      <c r="A241" s="1" t="s">
        <v>23</v>
      </c>
      <c r="B241" s="15">
        <v>36201</v>
      </c>
      <c r="C241" s="16">
        <v>-20000</v>
      </c>
      <c r="D241" s="35">
        <v>1227.25</v>
      </c>
      <c r="E241" s="18">
        <f t="shared" si="46"/>
        <v>-25</v>
      </c>
      <c r="F241" s="35">
        <f>+Sheet2!D$9</f>
        <v>1340.25</v>
      </c>
      <c r="G241" s="17">
        <f t="shared" si="47"/>
        <v>-113</v>
      </c>
      <c r="H241" s="17">
        <f>-C241*G241/200+E241</f>
        <v>-11325</v>
      </c>
      <c r="I241" s="19"/>
    </row>
    <row r="242" spans="1:26" hidden="1">
      <c r="A242" s="1" t="s">
        <v>23</v>
      </c>
      <c r="B242" s="15">
        <v>36201</v>
      </c>
      <c r="C242" s="16">
        <v>20000</v>
      </c>
      <c r="D242" s="35">
        <v>1223</v>
      </c>
      <c r="E242" s="18">
        <f t="shared" si="46"/>
        <v>-25</v>
      </c>
      <c r="F242" s="35">
        <f>+Sheet2!D$9</f>
        <v>1340.25</v>
      </c>
      <c r="G242" s="17">
        <f t="shared" si="47"/>
        <v>117.25</v>
      </c>
      <c r="H242" s="17">
        <f>C242*G242/200+E242</f>
        <v>11700</v>
      </c>
      <c r="I242" s="19"/>
    </row>
    <row r="243" spans="1:26" hidden="1">
      <c r="A243" s="1" t="s">
        <v>23</v>
      </c>
      <c r="B243" s="15">
        <v>36201</v>
      </c>
      <c r="C243" s="16">
        <v>20000</v>
      </c>
      <c r="D243" s="35">
        <v>1222.25</v>
      </c>
      <c r="E243" s="18">
        <f t="shared" si="46"/>
        <v>-25</v>
      </c>
      <c r="F243" s="35">
        <f>+Sheet2!D$9</f>
        <v>1340.25</v>
      </c>
      <c r="G243" s="17">
        <f t="shared" si="47"/>
        <v>118</v>
      </c>
      <c r="H243" s="17">
        <f>C243*G243/200+E243</f>
        <v>11775</v>
      </c>
      <c r="I243" s="19"/>
    </row>
    <row r="244" spans="1:26" hidden="1">
      <c r="A244" s="1" t="s">
        <v>23</v>
      </c>
      <c r="B244" s="15">
        <v>36201</v>
      </c>
      <c r="C244" s="16">
        <v>-20000</v>
      </c>
      <c r="D244" s="35">
        <v>1219.25</v>
      </c>
      <c r="E244" s="18">
        <f t="shared" si="46"/>
        <v>-25</v>
      </c>
      <c r="F244" s="35">
        <f>+Sheet2!D$9</f>
        <v>1340.25</v>
      </c>
      <c r="G244" s="17">
        <f t="shared" si="47"/>
        <v>-121</v>
      </c>
      <c r="H244" s="17">
        <f>-C244*G244/200+E244</f>
        <v>-12125</v>
      </c>
      <c r="I244" s="19"/>
    </row>
    <row r="245" spans="1:26" hidden="1">
      <c r="A245" s="1" t="s">
        <v>23</v>
      </c>
      <c r="B245" s="15">
        <v>36201</v>
      </c>
      <c r="C245" s="16">
        <v>-20000</v>
      </c>
      <c r="D245" s="35">
        <v>1218.25</v>
      </c>
      <c r="E245" s="18">
        <f t="shared" si="46"/>
        <v>-25</v>
      </c>
      <c r="F245" s="35">
        <f>+Sheet2!D$9</f>
        <v>1340.25</v>
      </c>
      <c r="G245" s="17">
        <f t="shared" si="47"/>
        <v>-122</v>
      </c>
      <c r="H245" s="17">
        <f>-C245*G245/200+E245</f>
        <v>-12225</v>
      </c>
      <c r="I245" s="19"/>
    </row>
    <row r="246" spans="1:26" hidden="1">
      <c r="A246" s="1" t="s">
        <v>23</v>
      </c>
      <c r="B246" s="15">
        <v>36201</v>
      </c>
      <c r="C246" s="16">
        <v>20000</v>
      </c>
      <c r="D246" s="35">
        <v>1224.75</v>
      </c>
      <c r="E246" s="18">
        <f t="shared" si="46"/>
        <v>-25</v>
      </c>
      <c r="F246" s="35">
        <f>+Sheet2!D$9</f>
        <v>1340.25</v>
      </c>
      <c r="G246" s="17">
        <f t="shared" si="47"/>
        <v>115.5</v>
      </c>
      <c r="H246" s="17">
        <f>C246*G246/200+E246</f>
        <v>11525</v>
      </c>
      <c r="I246" s="19"/>
    </row>
    <row r="247" spans="1:26" hidden="1">
      <c r="A247" s="1" t="s">
        <v>23</v>
      </c>
      <c r="B247" s="15">
        <v>36201</v>
      </c>
      <c r="C247" s="16">
        <v>20000</v>
      </c>
      <c r="D247" s="35">
        <v>1225</v>
      </c>
      <c r="E247" s="18">
        <f t="shared" si="46"/>
        <v>-25</v>
      </c>
      <c r="F247" s="35">
        <f>+Sheet2!D$9</f>
        <v>1340.25</v>
      </c>
      <c r="G247" s="17">
        <f t="shared" si="47"/>
        <v>115.25</v>
      </c>
      <c r="H247" s="17">
        <f>C247*G247/200+E247</f>
        <v>11500</v>
      </c>
      <c r="I247" s="19"/>
      <c r="Z247" s="21" t="str">
        <f t="array" ref="Z247">[2]!'9220 11 13 6 1'</f>
        <v>+NA+</v>
      </c>
    </row>
    <row r="248" spans="1:26" hidden="1">
      <c r="A248" s="1" t="s">
        <v>23</v>
      </c>
      <c r="B248" s="15">
        <v>36202</v>
      </c>
      <c r="C248" s="16">
        <v>-20000</v>
      </c>
      <c r="D248" s="35">
        <v>1235</v>
      </c>
      <c r="E248" s="18">
        <f t="shared" si="46"/>
        <v>-25</v>
      </c>
      <c r="F248" s="35">
        <f>+Sheet2!D$9</f>
        <v>1340.25</v>
      </c>
      <c r="G248" s="17">
        <f t="shared" si="47"/>
        <v>-105.25</v>
      </c>
      <c r="H248" s="17">
        <f>-C248*G248/200+E248</f>
        <v>-10550</v>
      </c>
      <c r="I248" s="19"/>
    </row>
    <row r="249" spans="1:26" hidden="1">
      <c r="A249" s="1" t="s">
        <v>23</v>
      </c>
      <c r="B249" s="15">
        <v>36202</v>
      </c>
      <c r="C249" s="16">
        <v>10000</v>
      </c>
      <c r="D249" s="35">
        <v>1238.75</v>
      </c>
      <c r="E249" s="18">
        <f t="shared" si="46"/>
        <v>-12.5</v>
      </c>
      <c r="F249" s="35">
        <f>+Sheet2!D$9</f>
        <v>1340.25</v>
      </c>
      <c r="G249" s="17">
        <f t="shared" si="47"/>
        <v>101.5</v>
      </c>
      <c r="H249" s="17">
        <f>C249*G249/200+E249</f>
        <v>5062.5</v>
      </c>
      <c r="I249" s="19"/>
    </row>
    <row r="250" spans="1:26" hidden="1">
      <c r="A250" s="1" t="s">
        <v>23</v>
      </c>
      <c r="B250" s="15">
        <v>36202</v>
      </c>
      <c r="C250" s="16">
        <v>10000</v>
      </c>
      <c r="D250" s="35">
        <v>1239</v>
      </c>
      <c r="E250" s="18">
        <f t="shared" si="46"/>
        <v>-12.5</v>
      </c>
      <c r="F250" s="35">
        <f>+Sheet2!D$9</f>
        <v>1340.25</v>
      </c>
      <c r="G250" s="17">
        <f t="shared" si="47"/>
        <v>101.25</v>
      </c>
      <c r="H250" s="17">
        <f>C250*G250/200+E250</f>
        <v>5050</v>
      </c>
      <c r="I250" s="19"/>
    </row>
    <row r="251" spans="1:26" hidden="1">
      <c r="A251" s="1" t="s">
        <v>23</v>
      </c>
      <c r="B251" s="15">
        <v>36202</v>
      </c>
      <c r="C251" s="16">
        <v>-20000</v>
      </c>
      <c r="D251" s="35">
        <v>1248.75</v>
      </c>
      <c r="E251" s="18">
        <f t="shared" si="46"/>
        <v>-25</v>
      </c>
      <c r="F251" s="35">
        <f>+Sheet2!D$9</f>
        <v>1340.25</v>
      </c>
      <c r="G251" s="17">
        <f t="shared" si="47"/>
        <v>-91.5</v>
      </c>
      <c r="H251" s="17">
        <f>-C251*G251/200+E251</f>
        <v>-9175</v>
      </c>
      <c r="I251" s="19"/>
    </row>
    <row r="252" spans="1:26" hidden="1">
      <c r="A252" s="1" t="s">
        <v>23</v>
      </c>
      <c r="B252" s="15">
        <v>36202</v>
      </c>
      <c r="C252" s="16">
        <v>20000</v>
      </c>
      <c r="D252" s="35">
        <v>1253.5</v>
      </c>
      <c r="E252" s="18">
        <f t="shared" si="46"/>
        <v>-25</v>
      </c>
      <c r="F252" s="35">
        <f>+Sheet2!D$9</f>
        <v>1340.25</v>
      </c>
      <c r="G252" s="17">
        <f t="shared" si="47"/>
        <v>86.75</v>
      </c>
      <c r="H252" s="17">
        <f>C252*G252/200+E252</f>
        <v>8650</v>
      </c>
      <c r="I252" s="19"/>
    </row>
    <row r="253" spans="1:26" hidden="1">
      <c r="A253" s="1" t="s">
        <v>23</v>
      </c>
      <c r="B253" s="15">
        <v>36203</v>
      </c>
      <c r="C253" s="16">
        <v>-20000</v>
      </c>
      <c r="D253" s="35">
        <v>1237.25</v>
      </c>
      <c r="E253" s="18">
        <f t="shared" si="46"/>
        <v>-25</v>
      </c>
      <c r="F253" s="35">
        <f>+Sheet2!D$9</f>
        <v>1340.25</v>
      </c>
      <c r="G253" s="17">
        <f t="shared" si="47"/>
        <v>-103</v>
      </c>
      <c r="H253" s="17">
        <f>-C253*G253/200+E253</f>
        <v>-10325</v>
      </c>
      <c r="I253" s="19"/>
    </row>
    <row r="254" spans="1:26" hidden="1">
      <c r="A254" s="1" t="s">
        <v>23</v>
      </c>
      <c r="B254" s="15">
        <v>36207</v>
      </c>
      <c r="C254" s="16">
        <v>-20000</v>
      </c>
      <c r="D254" s="35">
        <v>1252.5</v>
      </c>
      <c r="E254" s="18">
        <f t="shared" ref="E254:E262" si="48">IF(C254&gt;0,-C254/10000*12.5,C254/10000*12.5)</f>
        <v>-25</v>
      </c>
      <c r="F254" s="35">
        <f>+Sheet2!D$9</f>
        <v>1340.25</v>
      </c>
      <c r="G254" s="17">
        <f t="shared" ref="G254:G262" si="49">IF(C254&gt;0,F254-D254,D254-F254)</f>
        <v>-87.75</v>
      </c>
      <c r="H254" s="17">
        <f>-C254*G254/200+E254</f>
        <v>-8800</v>
      </c>
      <c r="I254" s="19"/>
    </row>
    <row r="255" spans="1:26" hidden="1">
      <c r="A255" s="1" t="s">
        <v>23</v>
      </c>
      <c r="B255" s="15">
        <v>36207</v>
      </c>
      <c r="C255" s="16">
        <v>20000</v>
      </c>
      <c r="D255" s="35">
        <v>1240.25</v>
      </c>
      <c r="E255" s="18">
        <f t="shared" si="48"/>
        <v>-25</v>
      </c>
      <c r="F255" s="35">
        <f>+Sheet2!D$9</f>
        <v>1340.25</v>
      </c>
      <c r="G255" s="17">
        <f t="shared" si="49"/>
        <v>100</v>
      </c>
      <c r="H255" s="17">
        <f>C255*G255/200+E255</f>
        <v>9975</v>
      </c>
      <c r="I255" s="19"/>
    </row>
    <row r="256" spans="1:26" hidden="1">
      <c r="A256" s="1" t="s">
        <v>23</v>
      </c>
      <c r="B256" s="15">
        <v>36207</v>
      </c>
      <c r="C256" s="16">
        <v>-20000</v>
      </c>
      <c r="D256" s="35">
        <v>1240</v>
      </c>
      <c r="E256" s="18">
        <f t="shared" si="48"/>
        <v>-25</v>
      </c>
      <c r="F256" s="35">
        <f>+Sheet2!D$9</f>
        <v>1340.25</v>
      </c>
      <c r="G256" s="17">
        <f t="shared" si="49"/>
        <v>-100.25</v>
      </c>
      <c r="H256" s="17">
        <f>-C256*G256/200+E256</f>
        <v>-10050</v>
      </c>
      <c r="I256" s="19"/>
    </row>
    <row r="257" spans="1:9" hidden="1">
      <c r="A257" s="1" t="s">
        <v>23</v>
      </c>
      <c r="B257" s="15">
        <v>36207</v>
      </c>
      <c r="C257" s="16">
        <v>20000</v>
      </c>
      <c r="D257" s="35">
        <v>1241.75</v>
      </c>
      <c r="E257" s="18">
        <f t="shared" si="48"/>
        <v>-25</v>
      </c>
      <c r="F257" s="35">
        <f>+Sheet2!D$9</f>
        <v>1340.25</v>
      </c>
      <c r="G257" s="17">
        <f t="shared" si="49"/>
        <v>98.5</v>
      </c>
      <c r="H257" s="17">
        <f>C257*G257/200+E257</f>
        <v>9825</v>
      </c>
      <c r="I257" s="19"/>
    </row>
    <row r="258" spans="1:9" hidden="1">
      <c r="A258" s="1" t="s">
        <v>23</v>
      </c>
      <c r="B258" s="15">
        <v>36207</v>
      </c>
      <c r="C258" s="16">
        <v>20000</v>
      </c>
      <c r="D258" s="35">
        <v>1242</v>
      </c>
      <c r="E258" s="18">
        <f t="shared" si="48"/>
        <v>-25</v>
      </c>
      <c r="F258" s="35">
        <f>+Sheet2!D$9</f>
        <v>1340.25</v>
      </c>
      <c r="G258" s="17">
        <f t="shared" si="49"/>
        <v>98.25</v>
      </c>
      <c r="H258" s="17">
        <f>C258*G258/200+E258</f>
        <v>9800</v>
      </c>
      <c r="I258" s="19"/>
    </row>
    <row r="259" spans="1:9" hidden="1">
      <c r="A259" s="1" t="s">
        <v>23</v>
      </c>
      <c r="B259" s="15">
        <v>36207</v>
      </c>
      <c r="C259" s="16">
        <v>-20000</v>
      </c>
      <c r="D259" s="35">
        <v>1246.25</v>
      </c>
      <c r="E259" s="18">
        <f t="shared" si="48"/>
        <v>-25</v>
      </c>
      <c r="F259" s="35">
        <f>+Sheet2!D$9</f>
        <v>1340.25</v>
      </c>
      <c r="G259" s="17">
        <f t="shared" si="49"/>
        <v>-94</v>
      </c>
      <c r="H259" s="17">
        <f>-C259*G259/200+E259</f>
        <v>-9425</v>
      </c>
      <c r="I259" s="19"/>
    </row>
    <row r="260" spans="1:9" hidden="1">
      <c r="A260" s="1" t="s">
        <v>23</v>
      </c>
      <c r="B260" s="15">
        <v>36208</v>
      </c>
      <c r="C260" s="16">
        <v>20000</v>
      </c>
      <c r="D260" s="35">
        <v>1233.75</v>
      </c>
      <c r="E260" s="18">
        <f t="shared" si="48"/>
        <v>-25</v>
      </c>
      <c r="F260" s="35">
        <f>+Sheet2!D$9</f>
        <v>1340.25</v>
      </c>
      <c r="G260" s="17">
        <f t="shared" si="49"/>
        <v>106.5</v>
      </c>
      <c r="H260" s="17">
        <f>C260*G260/200+E260</f>
        <v>10625</v>
      </c>
      <c r="I260" s="19"/>
    </row>
    <row r="261" spans="1:9" hidden="1">
      <c r="A261" s="1" t="s">
        <v>23</v>
      </c>
      <c r="B261" s="15">
        <v>36208</v>
      </c>
      <c r="C261" s="16">
        <v>-20000</v>
      </c>
      <c r="D261" s="35">
        <v>1239</v>
      </c>
      <c r="E261" s="18">
        <f t="shared" si="48"/>
        <v>-25</v>
      </c>
      <c r="F261" s="35">
        <f>+Sheet2!D$9</f>
        <v>1340.25</v>
      </c>
      <c r="G261" s="17">
        <f t="shared" si="49"/>
        <v>-101.25</v>
      </c>
      <c r="H261" s="17">
        <f>-C261*G261/200+E261</f>
        <v>-10150</v>
      </c>
      <c r="I261" s="19"/>
    </row>
    <row r="262" spans="1:9" hidden="1">
      <c r="A262" s="1" t="s">
        <v>23</v>
      </c>
      <c r="B262" s="15">
        <v>36208</v>
      </c>
      <c r="C262" s="16">
        <v>20000</v>
      </c>
      <c r="D262" s="35">
        <v>1245</v>
      </c>
      <c r="E262" s="18">
        <f t="shared" si="48"/>
        <v>-25</v>
      </c>
      <c r="F262" s="35">
        <f>+Sheet2!D$9</f>
        <v>1340.25</v>
      </c>
      <c r="G262" s="17">
        <f t="shared" si="49"/>
        <v>95.25</v>
      </c>
      <c r="H262" s="17">
        <f>C262*G262/200+E262</f>
        <v>9500</v>
      </c>
      <c r="I262" s="19"/>
    </row>
    <row r="263" spans="1:9" hidden="1">
      <c r="A263" s="1" t="s">
        <v>23</v>
      </c>
      <c r="B263" s="15">
        <v>36208</v>
      </c>
      <c r="C263" s="16">
        <v>-40000</v>
      </c>
      <c r="D263" s="35">
        <v>1250.75</v>
      </c>
      <c r="E263" s="18">
        <f t="shared" ref="E263:E270" si="50">IF(C263&gt;0,-C263/10000*12.5,C263/10000*12.5)</f>
        <v>-50</v>
      </c>
      <c r="F263" s="35">
        <f>+Sheet2!D$9</f>
        <v>1340.25</v>
      </c>
      <c r="G263" s="17">
        <f t="shared" ref="G263:G270" si="51">IF(C263&gt;0,F263-D263,D263-F263)</f>
        <v>-89.5</v>
      </c>
      <c r="H263" s="17">
        <f>-C263*G263/200+E263</f>
        <v>-17950</v>
      </c>
      <c r="I263" s="19"/>
    </row>
    <row r="264" spans="1:9" hidden="1">
      <c r="A264" s="1" t="s">
        <v>23</v>
      </c>
      <c r="B264" s="15">
        <v>36208</v>
      </c>
      <c r="C264" s="16">
        <v>20000</v>
      </c>
      <c r="D264" s="35">
        <v>1243.25</v>
      </c>
      <c r="E264" s="18">
        <f t="shared" si="50"/>
        <v>-25</v>
      </c>
      <c r="F264" s="35">
        <f>+Sheet2!D$9</f>
        <v>1340.25</v>
      </c>
      <c r="G264" s="17">
        <f t="shared" si="51"/>
        <v>97</v>
      </c>
      <c r="H264" s="17">
        <f>C264*G264/200+E264</f>
        <v>9675</v>
      </c>
      <c r="I264" s="19"/>
    </row>
    <row r="265" spans="1:9" hidden="1">
      <c r="A265" s="1" t="s">
        <v>23</v>
      </c>
      <c r="B265" s="15">
        <v>36208</v>
      </c>
      <c r="C265" s="16">
        <v>20000</v>
      </c>
      <c r="D265" s="35">
        <v>1242</v>
      </c>
      <c r="E265" s="18">
        <f t="shared" si="50"/>
        <v>-25</v>
      </c>
      <c r="F265" s="35">
        <f>+Sheet2!D$9</f>
        <v>1340.25</v>
      </c>
      <c r="G265" s="17">
        <f t="shared" si="51"/>
        <v>98.25</v>
      </c>
      <c r="H265" s="17">
        <f>C265*G265/200+E265</f>
        <v>9800</v>
      </c>
      <c r="I265" s="19"/>
    </row>
    <row r="266" spans="1:9" hidden="1">
      <c r="A266" s="1" t="s">
        <v>23</v>
      </c>
      <c r="B266" s="15">
        <v>36208</v>
      </c>
      <c r="C266" s="16">
        <v>20000</v>
      </c>
      <c r="D266" s="35">
        <v>1239</v>
      </c>
      <c r="E266" s="18">
        <f t="shared" si="50"/>
        <v>-25</v>
      </c>
      <c r="F266" s="35">
        <f>+Sheet2!D$9</f>
        <v>1340.25</v>
      </c>
      <c r="G266" s="17">
        <f t="shared" si="51"/>
        <v>101.25</v>
      </c>
      <c r="H266" s="17">
        <f>C266*G266/200+E266</f>
        <v>10100</v>
      </c>
      <c r="I266" s="19"/>
    </row>
    <row r="267" spans="1:9" hidden="1">
      <c r="A267" s="1" t="s">
        <v>23</v>
      </c>
      <c r="B267" s="15">
        <v>36208</v>
      </c>
      <c r="C267" s="16">
        <v>-20000</v>
      </c>
      <c r="D267" s="35">
        <v>1237.25</v>
      </c>
      <c r="E267" s="18">
        <f t="shared" si="50"/>
        <v>-25</v>
      </c>
      <c r="F267" s="35">
        <f>+Sheet2!D$9</f>
        <v>1340.25</v>
      </c>
      <c r="G267" s="17">
        <f t="shared" si="51"/>
        <v>-103</v>
      </c>
      <c r="H267" s="17">
        <f>-C267*G267/200+E267</f>
        <v>-10325</v>
      </c>
      <c r="I267" s="19"/>
    </row>
    <row r="268" spans="1:9" hidden="1">
      <c r="A268" s="1" t="s">
        <v>23</v>
      </c>
      <c r="B268" s="15">
        <v>36208</v>
      </c>
      <c r="C268" s="16">
        <v>-20000</v>
      </c>
      <c r="D268" s="35">
        <v>1233.5</v>
      </c>
      <c r="E268" s="18">
        <f t="shared" si="50"/>
        <v>-25</v>
      </c>
      <c r="F268" s="35">
        <f>+Sheet2!D$9</f>
        <v>1340.25</v>
      </c>
      <c r="G268" s="17">
        <f t="shared" si="51"/>
        <v>-106.75</v>
      </c>
      <c r="H268" s="17">
        <f>-C268*G268/200+E268</f>
        <v>-10700</v>
      </c>
      <c r="I268" s="19"/>
    </row>
    <row r="269" spans="1:9" hidden="1">
      <c r="A269" s="1" t="s">
        <v>23</v>
      </c>
      <c r="B269" s="15">
        <v>36208</v>
      </c>
      <c r="C269" s="16">
        <v>-20000</v>
      </c>
      <c r="D269" s="35">
        <v>1227.75</v>
      </c>
      <c r="E269" s="18">
        <f t="shared" si="50"/>
        <v>-25</v>
      </c>
      <c r="F269" s="35">
        <f>+Sheet2!D$9</f>
        <v>1340.25</v>
      </c>
      <c r="G269" s="17">
        <f t="shared" si="51"/>
        <v>-112.5</v>
      </c>
      <c r="H269" s="17">
        <f>-C269*G269/200+E269</f>
        <v>-11275</v>
      </c>
      <c r="I269" s="19"/>
    </row>
    <row r="270" spans="1:9" hidden="1">
      <c r="A270" s="1" t="s">
        <v>23</v>
      </c>
      <c r="B270" s="15">
        <v>36208</v>
      </c>
      <c r="C270" s="16">
        <v>10000</v>
      </c>
      <c r="D270" s="35">
        <v>1229.25</v>
      </c>
      <c r="E270" s="18">
        <f t="shared" si="50"/>
        <v>-12.5</v>
      </c>
      <c r="F270" s="35">
        <f>+Sheet2!D$9</f>
        <v>1340.25</v>
      </c>
      <c r="G270" s="17">
        <f t="shared" si="51"/>
        <v>111</v>
      </c>
      <c r="H270" s="17">
        <f>C270*G270/200+E270</f>
        <v>5537.5</v>
      </c>
      <c r="I270" s="19"/>
    </row>
    <row r="271" spans="1:9" hidden="1">
      <c r="A271" s="1" t="s">
        <v>23</v>
      </c>
      <c r="B271" s="15">
        <v>36209</v>
      </c>
      <c r="C271" s="16">
        <v>30000</v>
      </c>
      <c r="D271" s="35">
        <v>1234</v>
      </c>
      <c r="E271" s="18">
        <f t="shared" ref="E271:E278" si="52">IF(C271&gt;0,-C271/10000*12.5,C271/10000*12.5)</f>
        <v>-37.5</v>
      </c>
      <c r="F271" s="35">
        <f>+Sheet2!D$9</f>
        <v>1340.25</v>
      </c>
      <c r="G271" s="17">
        <f t="shared" ref="G271:G278" si="53">IF(C271&gt;0,F271-D271,D271-F271)</f>
        <v>106.25</v>
      </c>
      <c r="H271" s="17">
        <f>C271*G271/200+E271</f>
        <v>15900</v>
      </c>
      <c r="I271" s="19"/>
    </row>
    <row r="272" spans="1:9" hidden="1">
      <c r="A272" s="1" t="s">
        <v>23</v>
      </c>
      <c r="B272" s="15">
        <v>36209</v>
      </c>
      <c r="C272" s="16">
        <v>10000</v>
      </c>
      <c r="D272" s="35">
        <v>1234.25</v>
      </c>
      <c r="E272" s="18">
        <f t="shared" si="52"/>
        <v>-12.5</v>
      </c>
      <c r="F272" s="35">
        <f>+Sheet2!D$9</f>
        <v>1340.25</v>
      </c>
      <c r="G272" s="17">
        <f t="shared" si="53"/>
        <v>106</v>
      </c>
      <c r="H272" s="17">
        <f>C272*G272/200+E272</f>
        <v>5287.5</v>
      </c>
      <c r="I272" s="19"/>
    </row>
    <row r="273" spans="1:9" hidden="1">
      <c r="A273" s="1" t="s">
        <v>23</v>
      </c>
      <c r="B273" s="15">
        <v>36209</v>
      </c>
      <c r="C273" s="16">
        <v>10000</v>
      </c>
      <c r="D273" s="35">
        <v>1228.5</v>
      </c>
      <c r="E273" s="18">
        <f t="shared" si="52"/>
        <v>-12.5</v>
      </c>
      <c r="F273" s="35">
        <f>+Sheet2!D$9</f>
        <v>1340.25</v>
      </c>
      <c r="G273" s="17">
        <f t="shared" si="53"/>
        <v>111.75</v>
      </c>
      <c r="H273" s="17">
        <f>C273*G273/200+E273</f>
        <v>5575</v>
      </c>
      <c r="I273" s="19"/>
    </row>
    <row r="274" spans="1:9" hidden="1">
      <c r="A274" s="1" t="s">
        <v>23</v>
      </c>
      <c r="B274" s="15">
        <v>36209</v>
      </c>
      <c r="C274" s="16">
        <v>-20000</v>
      </c>
      <c r="D274" s="35">
        <v>1232.5</v>
      </c>
      <c r="E274" s="18">
        <f t="shared" si="52"/>
        <v>-25</v>
      </c>
      <c r="F274" s="35">
        <f>+Sheet2!D$9</f>
        <v>1340.25</v>
      </c>
      <c r="G274" s="17">
        <f t="shared" si="53"/>
        <v>-107.75</v>
      </c>
      <c r="H274" s="17">
        <f>-C274*G274/200+E274</f>
        <v>-10800</v>
      </c>
      <c r="I274" s="19"/>
    </row>
    <row r="275" spans="1:9" hidden="1">
      <c r="A275" s="1" t="s">
        <v>23</v>
      </c>
      <c r="B275" s="15">
        <v>36209</v>
      </c>
      <c r="C275" s="16">
        <v>-20000</v>
      </c>
      <c r="D275" s="35">
        <v>1237.5</v>
      </c>
      <c r="E275" s="18">
        <f t="shared" si="52"/>
        <v>-25</v>
      </c>
      <c r="F275" s="35">
        <f>+Sheet2!D$9</f>
        <v>1340.25</v>
      </c>
      <c r="G275" s="17">
        <f t="shared" si="53"/>
        <v>-102.75</v>
      </c>
      <c r="H275" s="17">
        <f>-C275*G275/200+E275</f>
        <v>-10300</v>
      </c>
      <c r="I275" s="19"/>
    </row>
    <row r="276" spans="1:9" hidden="1">
      <c r="A276" s="1" t="s">
        <v>23</v>
      </c>
      <c r="B276" s="15">
        <v>36209</v>
      </c>
      <c r="C276" s="16">
        <v>-20000</v>
      </c>
      <c r="D276" s="35">
        <v>1238.25</v>
      </c>
      <c r="E276" s="18">
        <f t="shared" si="52"/>
        <v>-25</v>
      </c>
      <c r="F276" s="35">
        <f>+Sheet2!D$9</f>
        <v>1340.25</v>
      </c>
      <c r="G276" s="17">
        <f t="shared" si="53"/>
        <v>-102</v>
      </c>
      <c r="H276" s="17">
        <f>-C276*G276/200+E276</f>
        <v>-10225</v>
      </c>
      <c r="I276" s="19"/>
    </row>
    <row r="277" spans="1:9" hidden="1">
      <c r="A277" s="1" t="s">
        <v>23</v>
      </c>
      <c r="B277" s="15">
        <v>36209</v>
      </c>
      <c r="C277" s="16">
        <v>10000</v>
      </c>
      <c r="D277" s="35">
        <v>1239.75</v>
      </c>
      <c r="E277" s="18">
        <f t="shared" si="52"/>
        <v>-12.5</v>
      </c>
      <c r="F277" s="35">
        <f>+Sheet2!D$9</f>
        <v>1340.25</v>
      </c>
      <c r="G277" s="17">
        <f t="shared" si="53"/>
        <v>100.5</v>
      </c>
      <c r="H277" s="17">
        <f>C277*G277/200+E277</f>
        <v>5012.5</v>
      </c>
      <c r="I277" s="19"/>
    </row>
    <row r="278" spans="1:9" hidden="1">
      <c r="A278" s="1" t="s">
        <v>23</v>
      </c>
      <c r="B278" s="15">
        <v>36209</v>
      </c>
      <c r="C278" s="16">
        <v>10000</v>
      </c>
      <c r="D278" s="35">
        <v>1240</v>
      </c>
      <c r="E278" s="18">
        <f t="shared" si="52"/>
        <v>-12.5</v>
      </c>
      <c r="F278" s="35">
        <f>+Sheet2!D$9</f>
        <v>1340.25</v>
      </c>
      <c r="G278" s="17">
        <f t="shared" si="53"/>
        <v>100.25</v>
      </c>
      <c r="H278" s="17">
        <f>C278*G278/200+E278</f>
        <v>5000</v>
      </c>
      <c r="I278" s="19"/>
    </row>
    <row r="279" spans="1:9" hidden="1">
      <c r="A279" s="1" t="s">
        <v>23</v>
      </c>
      <c r="B279" s="15">
        <v>36210</v>
      </c>
      <c r="C279" s="16">
        <v>20000</v>
      </c>
      <c r="D279" s="35">
        <v>1241.5</v>
      </c>
      <c r="E279" s="18">
        <f t="shared" ref="E279:E286" si="54">IF(C279&gt;0,-C279/10000*12.5,C279/10000*12.5)</f>
        <v>-25</v>
      </c>
      <c r="F279" s="35">
        <f>+Sheet2!D$9</f>
        <v>1340.25</v>
      </c>
      <c r="G279" s="17">
        <f t="shared" ref="G279:G286" si="55">IF(C279&gt;0,F279-D279,D279-F279)</f>
        <v>98.75</v>
      </c>
      <c r="H279" s="17">
        <f>C279*G279/200+E279</f>
        <v>9850</v>
      </c>
      <c r="I279" s="19"/>
    </row>
    <row r="280" spans="1:9" hidden="1">
      <c r="A280" s="1" t="s">
        <v>23</v>
      </c>
      <c r="B280" s="15">
        <v>36210</v>
      </c>
      <c r="C280" s="16">
        <v>20000</v>
      </c>
      <c r="D280" s="35">
        <v>1241.75</v>
      </c>
      <c r="E280" s="18">
        <f t="shared" si="54"/>
        <v>-25</v>
      </c>
      <c r="F280" s="35">
        <f>+Sheet2!D$9</f>
        <v>1340.25</v>
      </c>
      <c r="G280" s="17">
        <f t="shared" si="55"/>
        <v>98.5</v>
      </c>
      <c r="H280" s="17">
        <f>C280*G280/200+E280</f>
        <v>9825</v>
      </c>
      <c r="I280" s="19"/>
    </row>
    <row r="281" spans="1:9" hidden="1">
      <c r="A281" s="1" t="s">
        <v>23</v>
      </c>
      <c r="B281" s="15">
        <v>36210</v>
      </c>
      <c r="C281" s="16">
        <v>-10000</v>
      </c>
      <c r="D281" s="35">
        <v>1246.75</v>
      </c>
      <c r="E281" s="18">
        <f t="shared" si="54"/>
        <v>-12.5</v>
      </c>
      <c r="F281" s="35">
        <f>+Sheet2!D$9</f>
        <v>1340.25</v>
      </c>
      <c r="G281" s="17">
        <f t="shared" si="55"/>
        <v>-93.5</v>
      </c>
      <c r="H281" s="17">
        <f>-C281*G281/200+E281</f>
        <v>-4687.5</v>
      </c>
      <c r="I281" s="19"/>
    </row>
    <row r="282" spans="1:9" hidden="1">
      <c r="A282" s="1" t="s">
        <v>23</v>
      </c>
      <c r="B282" s="15">
        <v>36210</v>
      </c>
      <c r="C282" s="16">
        <v>-10000</v>
      </c>
      <c r="D282" s="35">
        <v>1245.5</v>
      </c>
      <c r="E282" s="18">
        <f t="shared" si="54"/>
        <v>-12.5</v>
      </c>
      <c r="F282" s="35">
        <f>+Sheet2!D$9</f>
        <v>1340.25</v>
      </c>
      <c r="G282" s="17">
        <f t="shared" si="55"/>
        <v>-94.75</v>
      </c>
      <c r="H282" s="17">
        <f>-C282*G282/200+E282</f>
        <v>-4750</v>
      </c>
      <c r="I282" s="19"/>
    </row>
    <row r="283" spans="1:9" hidden="1">
      <c r="A283" s="1" t="s">
        <v>23</v>
      </c>
      <c r="B283" s="15">
        <v>36210</v>
      </c>
      <c r="C283" s="16">
        <v>-10000</v>
      </c>
      <c r="D283" s="35">
        <v>1245.75</v>
      </c>
      <c r="E283" s="18">
        <f t="shared" si="54"/>
        <v>-12.5</v>
      </c>
      <c r="F283" s="35">
        <f>+Sheet2!D$9</f>
        <v>1340.25</v>
      </c>
      <c r="G283" s="17">
        <f t="shared" si="55"/>
        <v>-94.5</v>
      </c>
      <c r="H283" s="17">
        <f>-C283*G283/200+E283</f>
        <v>-4737.5</v>
      </c>
      <c r="I283" s="19"/>
    </row>
    <row r="284" spans="1:9" hidden="1">
      <c r="A284" s="1" t="s">
        <v>23</v>
      </c>
      <c r="B284" s="15">
        <v>36210</v>
      </c>
      <c r="C284" s="16">
        <v>-10000</v>
      </c>
      <c r="D284" s="35">
        <v>1245.5</v>
      </c>
      <c r="E284" s="18">
        <f t="shared" si="54"/>
        <v>-12.5</v>
      </c>
      <c r="F284" s="35">
        <f>+Sheet2!D$9</f>
        <v>1340.25</v>
      </c>
      <c r="G284" s="17">
        <f t="shared" si="55"/>
        <v>-94.75</v>
      </c>
      <c r="H284" s="17">
        <f>-C284*G284/200+E284</f>
        <v>-4750</v>
      </c>
      <c r="I284" s="19"/>
    </row>
    <row r="285" spans="1:9" hidden="1">
      <c r="A285" s="1" t="s">
        <v>23</v>
      </c>
      <c r="B285" s="15">
        <v>36209</v>
      </c>
      <c r="C285" s="16">
        <v>-20000</v>
      </c>
      <c r="D285" s="35">
        <v>1246</v>
      </c>
      <c r="E285" s="18">
        <f t="shared" si="54"/>
        <v>-25</v>
      </c>
      <c r="F285" s="35">
        <f>+Sheet2!D$9</f>
        <v>1340.25</v>
      </c>
      <c r="G285" s="17">
        <f t="shared" si="55"/>
        <v>-94.25</v>
      </c>
      <c r="H285" s="17">
        <f>-C285*G285/200+E285</f>
        <v>-9450</v>
      </c>
      <c r="I285" s="19"/>
    </row>
    <row r="286" spans="1:9" hidden="1">
      <c r="A286" s="1" t="s">
        <v>23</v>
      </c>
      <c r="B286" s="15">
        <v>36210</v>
      </c>
      <c r="C286" s="16">
        <v>40000</v>
      </c>
      <c r="D286" s="35">
        <v>1250</v>
      </c>
      <c r="E286" s="18">
        <f t="shared" si="54"/>
        <v>-50</v>
      </c>
      <c r="F286" s="35">
        <f>+Sheet2!D$9</f>
        <v>1340.25</v>
      </c>
      <c r="G286" s="17">
        <f t="shared" si="55"/>
        <v>90.25</v>
      </c>
      <c r="H286" s="17">
        <f>C286*G286/200+E286</f>
        <v>18000</v>
      </c>
      <c r="I286" s="19"/>
    </row>
    <row r="287" spans="1:9" hidden="1">
      <c r="A287" s="1" t="s">
        <v>23</v>
      </c>
      <c r="B287" s="15">
        <v>36210</v>
      </c>
      <c r="C287" s="16">
        <v>-20000</v>
      </c>
      <c r="D287" s="35">
        <v>1246</v>
      </c>
      <c r="E287" s="18">
        <f t="shared" ref="E287:E297" si="56">IF(C287&gt;0,-C287/10000*12.5,C287/10000*12.5)</f>
        <v>-25</v>
      </c>
      <c r="F287" s="35">
        <f>+Sheet2!D$9</f>
        <v>1340.25</v>
      </c>
      <c r="G287" s="17">
        <f t="shared" ref="G287:G297" si="57">IF(C287&gt;0,F287-D287,D287-F287)</f>
        <v>-94.25</v>
      </c>
      <c r="H287" s="17">
        <f>-C287*G287/200+E287</f>
        <v>-9450</v>
      </c>
      <c r="I287" s="19"/>
    </row>
    <row r="288" spans="1:9" hidden="1">
      <c r="A288" s="1" t="s">
        <v>23</v>
      </c>
      <c r="B288" s="15">
        <v>36210</v>
      </c>
      <c r="C288" s="16">
        <v>-20000</v>
      </c>
      <c r="D288" s="35">
        <v>1244.75</v>
      </c>
      <c r="E288" s="18">
        <f t="shared" si="56"/>
        <v>-25</v>
      </c>
      <c r="F288" s="35">
        <f>+Sheet2!D$9</f>
        <v>1340.25</v>
      </c>
      <c r="G288" s="17">
        <f t="shared" si="57"/>
        <v>-95.5</v>
      </c>
      <c r="H288" s="17">
        <f>-C288*G288/200+E288</f>
        <v>-9575</v>
      </c>
      <c r="I288" s="19"/>
    </row>
    <row r="289" spans="1:9" hidden="1">
      <c r="A289" s="1" t="s">
        <v>23</v>
      </c>
      <c r="B289" s="15">
        <v>36213</v>
      </c>
      <c r="C289" s="16">
        <v>40000</v>
      </c>
      <c r="D289" s="35">
        <v>1249.5</v>
      </c>
      <c r="E289" s="18">
        <f t="shared" si="56"/>
        <v>-50</v>
      </c>
      <c r="F289" s="35">
        <f>+Sheet2!D$9</f>
        <v>1340.25</v>
      </c>
      <c r="G289" s="17">
        <f t="shared" si="57"/>
        <v>90.75</v>
      </c>
      <c r="H289" s="17">
        <f>C289*G289/200+E289</f>
        <v>18100</v>
      </c>
      <c r="I289" s="19"/>
    </row>
    <row r="290" spans="1:9" hidden="1">
      <c r="A290" s="1" t="s">
        <v>23</v>
      </c>
      <c r="B290" s="15">
        <v>36213</v>
      </c>
      <c r="C290" s="16">
        <v>-20000</v>
      </c>
      <c r="D290" s="35">
        <v>1265</v>
      </c>
      <c r="E290" s="18">
        <f t="shared" si="56"/>
        <v>-25</v>
      </c>
      <c r="F290" s="35">
        <f>+Sheet2!D$9</f>
        <v>1340.25</v>
      </c>
      <c r="G290" s="17">
        <f t="shared" si="57"/>
        <v>-75.25</v>
      </c>
      <c r="H290" s="17">
        <f>-C290*G290/200+E290</f>
        <v>-7550</v>
      </c>
      <c r="I290" s="19"/>
    </row>
    <row r="291" spans="1:9" hidden="1">
      <c r="A291" s="1" t="s">
        <v>23</v>
      </c>
      <c r="B291" s="15">
        <v>36213</v>
      </c>
      <c r="C291" s="16">
        <v>-20000</v>
      </c>
      <c r="D291" s="35">
        <v>1268.75</v>
      </c>
      <c r="E291" s="18">
        <f t="shared" si="56"/>
        <v>-25</v>
      </c>
      <c r="F291" s="35">
        <f>+Sheet2!D$9</f>
        <v>1340.25</v>
      </c>
      <c r="G291" s="17">
        <f t="shared" si="57"/>
        <v>-71.5</v>
      </c>
      <c r="H291" s="17">
        <f>-C291*G291/200+E291</f>
        <v>-7175</v>
      </c>
      <c r="I291" s="19"/>
    </row>
    <row r="292" spans="1:9" hidden="1">
      <c r="A292" s="1" t="s">
        <v>23</v>
      </c>
      <c r="B292" s="15">
        <v>36213</v>
      </c>
      <c r="C292" s="16">
        <v>-20000</v>
      </c>
      <c r="D292" s="35">
        <v>1274.5</v>
      </c>
      <c r="E292" s="18">
        <f t="shared" si="56"/>
        <v>-25</v>
      </c>
      <c r="F292" s="35">
        <f>+Sheet2!D$9</f>
        <v>1340.25</v>
      </c>
      <c r="G292" s="17">
        <f t="shared" si="57"/>
        <v>-65.75</v>
      </c>
      <c r="H292" s="17">
        <f>-C292*G292/200+E292</f>
        <v>-6600</v>
      </c>
      <c r="I292" s="19"/>
    </row>
    <row r="293" spans="1:9" hidden="1">
      <c r="A293" s="1" t="s">
        <v>23</v>
      </c>
      <c r="B293" s="15">
        <v>36213</v>
      </c>
      <c r="C293" s="16">
        <v>60000</v>
      </c>
      <c r="D293" s="35">
        <v>1276.5</v>
      </c>
      <c r="E293" s="18">
        <f t="shared" si="56"/>
        <v>-75</v>
      </c>
      <c r="F293" s="35">
        <f>+Sheet2!D$9</f>
        <v>1340.25</v>
      </c>
      <c r="G293" s="17">
        <f t="shared" si="57"/>
        <v>63.75</v>
      </c>
      <c r="H293" s="17">
        <f>C293*G293/200+E293</f>
        <v>19050</v>
      </c>
      <c r="I293" s="19"/>
    </row>
    <row r="294" spans="1:9" hidden="1">
      <c r="A294" s="1" t="s">
        <v>23</v>
      </c>
      <c r="B294" s="15">
        <v>36214</v>
      </c>
      <c r="C294" s="16">
        <v>-20000</v>
      </c>
      <c r="D294" s="35">
        <v>1268.75</v>
      </c>
      <c r="E294" s="18">
        <f t="shared" si="56"/>
        <v>-25</v>
      </c>
      <c r="F294" s="35">
        <f>+Sheet2!D$9</f>
        <v>1340.25</v>
      </c>
      <c r="G294" s="17">
        <f t="shared" si="57"/>
        <v>-71.5</v>
      </c>
      <c r="H294" s="17">
        <f>-C294*G294/200+E294</f>
        <v>-7175</v>
      </c>
      <c r="I294" s="19"/>
    </row>
    <row r="295" spans="1:9" hidden="1">
      <c r="A295" s="1" t="s">
        <v>23</v>
      </c>
      <c r="B295" s="15">
        <v>36214</v>
      </c>
      <c r="C295" s="16">
        <v>40000</v>
      </c>
      <c r="D295" s="35">
        <v>1270.75</v>
      </c>
      <c r="E295" s="18">
        <f t="shared" si="56"/>
        <v>-50</v>
      </c>
      <c r="F295" s="35">
        <f>+Sheet2!D$9</f>
        <v>1340.25</v>
      </c>
      <c r="G295" s="17">
        <f t="shared" si="57"/>
        <v>69.5</v>
      </c>
      <c r="H295" s="17">
        <f>C295*G295/200+E295</f>
        <v>13850</v>
      </c>
      <c r="I295" s="19"/>
    </row>
    <row r="296" spans="1:9" hidden="1">
      <c r="A296" s="1" t="s">
        <v>23</v>
      </c>
      <c r="B296" s="15">
        <v>36215</v>
      </c>
      <c r="C296" s="16">
        <v>-20000</v>
      </c>
      <c r="D296" s="35">
        <v>1274.75</v>
      </c>
      <c r="E296" s="18">
        <f t="shared" si="56"/>
        <v>-25</v>
      </c>
      <c r="F296" s="35">
        <f>+Sheet2!D$9</f>
        <v>1340.25</v>
      </c>
      <c r="G296" s="17">
        <f t="shared" si="57"/>
        <v>-65.5</v>
      </c>
      <c r="H296" s="17">
        <f>-C296*G296/200+E296</f>
        <v>-6575</v>
      </c>
      <c r="I296" s="19"/>
    </row>
    <row r="297" spans="1:9" hidden="1">
      <c r="A297" s="1" t="s">
        <v>23</v>
      </c>
      <c r="B297" s="15">
        <v>36217</v>
      </c>
      <c r="C297" s="16">
        <v>-20000</v>
      </c>
      <c r="D297" s="35">
        <v>1238</v>
      </c>
      <c r="E297" s="18">
        <f t="shared" si="56"/>
        <v>-25</v>
      </c>
      <c r="F297" s="35">
        <f>+Sheet2!D$9</f>
        <v>1340.25</v>
      </c>
      <c r="G297" s="17">
        <f t="shared" si="57"/>
        <v>-102.25</v>
      </c>
      <c r="H297" s="17">
        <f>-C297*G297/200+E297</f>
        <v>-10250</v>
      </c>
      <c r="I297" s="19"/>
    </row>
    <row r="298" spans="1:9" hidden="1">
      <c r="A298" s="1" t="s">
        <v>23</v>
      </c>
      <c r="B298" s="15">
        <v>36220</v>
      </c>
      <c r="C298" s="16">
        <v>-20000</v>
      </c>
      <c r="D298" s="35">
        <v>1238</v>
      </c>
      <c r="E298" s="18">
        <f t="shared" ref="E298:E322" si="58">IF(C298&gt;0,-C298/10000*12.5,C298/10000*12.5)</f>
        <v>-25</v>
      </c>
      <c r="F298" s="35">
        <f>+Sheet2!D$9</f>
        <v>1340.25</v>
      </c>
      <c r="G298" s="17">
        <f t="shared" ref="G298:G322" si="59">IF(C298&gt;0,F298-D298,D298-F298)</f>
        <v>-102.25</v>
      </c>
      <c r="H298" s="17">
        <f>-C298*G298/200+E298</f>
        <v>-10250</v>
      </c>
      <c r="I298" s="19"/>
    </row>
    <row r="299" spans="1:9" hidden="1">
      <c r="A299" s="1" t="s">
        <v>23</v>
      </c>
      <c r="B299" s="15">
        <v>36220</v>
      </c>
      <c r="C299" s="16">
        <v>20000</v>
      </c>
      <c r="D299" s="35">
        <v>1239.5</v>
      </c>
      <c r="E299" s="18">
        <f t="shared" si="58"/>
        <v>-25</v>
      </c>
      <c r="F299" s="35">
        <f>+Sheet2!D$9</f>
        <v>1340.25</v>
      </c>
      <c r="G299" s="17">
        <f t="shared" si="59"/>
        <v>100.75</v>
      </c>
      <c r="H299" s="17">
        <f>C299*G299/200+E299</f>
        <v>10050</v>
      </c>
      <c r="I299" s="19"/>
    </row>
    <row r="300" spans="1:9" hidden="1">
      <c r="A300" s="1" t="s">
        <v>23</v>
      </c>
      <c r="B300" s="15">
        <v>36221</v>
      </c>
      <c r="C300" s="16">
        <v>20000</v>
      </c>
      <c r="D300" s="35">
        <v>1241.25</v>
      </c>
      <c r="E300" s="18">
        <f t="shared" si="58"/>
        <v>-25</v>
      </c>
      <c r="F300" s="35">
        <f>+Sheet2!D$9</f>
        <v>1340.25</v>
      </c>
      <c r="G300" s="17">
        <f t="shared" si="59"/>
        <v>99</v>
      </c>
      <c r="H300" s="17">
        <f>C300*G300/200+E300</f>
        <v>9875</v>
      </c>
      <c r="I300" s="19"/>
    </row>
    <row r="301" spans="1:9" hidden="1">
      <c r="A301" s="1" t="s">
        <v>23</v>
      </c>
      <c r="B301" s="15">
        <v>36221</v>
      </c>
      <c r="C301" s="16">
        <v>-20000</v>
      </c>
      <c r="D301" s="35">
        <v>1245</v>
      </c>
      <c r="E301" s="18">
        <f t="shared" si="58"/>
        <v>-25</v>
      </c>
      <c r="F301" s="35">
        <f>+Sheet2!D$9</f>
        <v>1340.25</v>
      </c>
      <c r="G301" s="17">
        <f t="shared" si="59"/>
        <v>-95.25</v>
      </c>
      <c r="H301" s="17">
        <f>-C301*G301/200+E301</f>
        <v>-9550</v>
      </c>
      <c r="I301" s="19"/>
    </row>
    <row r="302" spans="1:9" hidden="1">
      <c r="A302" s="1" t="s">
        <v>23</v>
      </c>
      <c r="B302" s="15">
        <v>36221</v>
      </c>
      <c r="C302" s="16">
        <v>10000</v>
      </c>
      <c r="D302" s="35">
        <v>1238.5</v>
      </c>
      <c r="E302" s="18">
        <f t="shared" si="58"/>
        <v>-12.5</v>
      </c>
      <c r="F302" s="35">
        <f>+Sheet2!D$9</f>
        <v>1340.25</v>
      </c>
      <c r="G302" s="17">
        <f t="shared" si="59"/>
        <v>101.75</v>
      </c>
      <c r="H302" s="17">
        <f>C302*G302/200+E302</f>
        <v>5075</v>
      </c>
      <c r="I302" s="19"/>
    </row>
    <row r="303" spans="1:9" hidden="1">
      <c r="A303" s="1" t="s">
        <v>23</v>
      </c>
      <c r="B303" s="15">
        <v>36222</v>
      </c>
      <c r="C303" s="16">
        <v>-10000</v>
      </c>
      <c r="D303" s="35">
        <v>1230.75</v>
      </c>
      <c r="E303" s="18">
        <f t="shared" si="58"/>
        <v>-12.5</v>
      </c>
      <c r="F303" s="35">
        <f>+Sheet2!D$9</f>
        <v>1340.25</v>
      </c>
      <c r="G303" s="17">
        <f t="shared" si="59"/>
        <v>-109.5</v>
      </c>
      <c r="H303" s="17">
        <f>-C303*G303/200+E303</f>
        <v>-5487.5</v>
      </c>
      <c r="I303" s="19"/>
    </row>
    <row r="304" spans="1:9" hidden="1">
      <c r="A304" s="1" t="s">
        <v>23</v>
      </c>
      <c r="B304" s="15">
        <v>36222</v>
      </c>
      <c r="C304" s="16">
        <v>10000</v>
      </c>
      <c r="D304" s="35">
        <v>1221.75</v>
      </c>
      <c r="E304" s="18">
        <f t="shared" si="58"/>
        <v>-12.5</v>
      </c>
      <c r="F304" s="35">
        <f>+Sheet2!D$9</f>
        <v>1340.25</v>
      </c>
      <c r="G304" s="17">
        <f t="shared" si="59"/>
        <v>118.5</v>
      </c>
      <c r="H304" s="17">
        <f>C304*G304/200+E304</f>
        <v>5912.5</v>
      </c>
      <c r="I304" s="19"/>
    </row>
    <row r="305" spans="1:9" hidden="1">
      <c r="A305" s="1" t="s">
        <v>23</v>
      </c>
      <c r="B305" s="15">
        <v>36222</v>
      </c>
      <c r="C305" s="16">
        <v>10000</v>
      </c>
      <c r="D305" s="35">
        <v>1224.5</v>
      </c>
      <c r="E305" s="18">
        <f t="shared" si="58"/>
        <v>-12.5</v>
      </c>
      <c r="F305" s="35">
        <f>+Sheet2!D$9</f>
        <v>1340.25</v>
      </c>
      <c r="G305" s="17">
        <f t="shared" si="59"/>
        <v>115.75</v>
      </c>
      <c r="H305" s="17">
        <f>C305*G305/200+E305</f>
        <v>5775</v>
      </c>
      <c r="I305" s="19"/>
    </row>
    <row r="306" spans="1:9" hidden="1">
      <c r="A306" s="1" t="s">
        <v>23</v>
      </c>
      <c r="B306" s="15">
        <v>36222</v>
      </c>
      <c r="C306" s="16">
        <v>10000</v>
      </c>
      <c r="D306" s="35">
        <v>1224.25</v>
      </c>
      <c r="E306" s="18">
        <f t="shared" si="58"/>
        <v>-12.5</v>
      </c>
      <c r="F306" s="35">
        <f>+Sheet2!D$9</f>
        <v>1340.25</v>
      </c>
      <c r="G306" s="17">
        <f t="shared" si="59"/>
        <v>116</v>
      </c>
      <c r="H306" s="17">
        <f>C306*G306/200+E306</f>
        <v>5787.5</v>
      </c>
      <c r="I306" s="19"/>
    </row>
    <row r="307" spans="1:9" hidden="1">
      <c r="A307" s="1" t="s">
        <v>23</v>
      </c>
      <c r="B307" s="15">
        <v>36222</v>
      </c>
      <c r="C307" s="16">
        <v>-10000</v>
      </c>
      <c r="D307" s="35">
        <v>1222</v>
      </c>
      <c r="E307" s="18">
        <f t="shared" si="58"/>
        <v>-12.5</v>
      </c>
      <c r="F307" s="35">
        <f>+Sheet2!D$9</f>
        <v>1340.25</v>
      </c>
      <c r="G307" s="17">
        <f t="shared" si="59"/>
        <v>-118.25</v>
      </c>
      <c r="H307" s="17">
        <f>-C307*G307/200+E307</f>
        <v>-5925</v>
      </c>
      <c r="I307" s="19"/>
    </row>
    <row r="308" spans="1:9" hidden="1">
      <c r="A308" s="1" t="s">
        <v>23</v>
      </c>
      <c r="B308" s="15">
        <v>36222</v>
      </c>
      <c r="C308" s="16">
        <v>-10000</v>
      </c>
      <c r="D308" s="35">
        <v>1218.75</v>
      </c>
      <c r="E308" s="18">
        <f t="shared" si="58"/>
        <v>-12.5</v>
      </c>
      <c r="F308" s="35">
        <f>+Sheet2!D$9</f>
        <v>1340.25</v>
      </c>
      <c r="G308" s="17">
        <f t="shared" si="59"/>
        <v>-121.5</v>
      </c>
      <c r="H308" s="17">
        <f>-C308*G308/200+E308</f>
        <v>-6087.5</v>
      </c>
      <c r="I308" s="19"/>
    </row>
    <row r="309" spans="1:9" hidden="1">
      <c r="A309" s="1" t="s">
        <v>23</v>
      </c>
      <c r="B309" s="15">
        <v>36222</v>
      </c>
      <c r="C309" s="16">
        <v>10000</v>
      </c>
      <c r="D309" s="35">
        <v>1227.75</v>
      </c>
      <c r="E309" s="18">
        <f t="shared" si="58"/>
        <v>-12.5</v>
      </c>
      <c r="F309" s="35">
        <f>+Sheet2!D$9</f>
        <v>1340.25</v>
      </c>
      <c r="G309" s="17">
        <f t="shared" si="59"/>
        <v>112.5</v>
      </c>
      <c r="H309" s="17">
        <f>C309*G309/200+E309</f>
        <v>5612.5</v>
      </c>
      <c r="I309" s="19"/>
    </row>
    <row r="310" spans="1:9" hidden="1">
      <c r="A310" s="1" t="s">
        <v>23</v>
      </c>
      <c r="B310" s="15">
        <v>36223</v>
      </c>
      <c r="C310" s="16">
        <v>-10000</v>
      </c>
      <c r="D310" s="35">
        <v>1233.5</v>
      </c>
      <c r="E310" s="18">
        <f t="shared" si="58"/>
        <v>-12.5</v>
      </c>
      <c r="F310" s="35">
        <f>+Sheet2!D$9</f>
        <v>1340.25</v>
      </c>
      <c r="G310" s="17">
        <f t="shared" si="59"/>
        <v>-106.75</v>
      </c>
      <c r="H310" s="17">
        <f>-C310*G310/200+E310</f>
        <v>-5350</v>
      </c>
      <c r="I310" s="19"/>
    </row>
    <row r="311" spans="1:9" hidden="1">
      <c r="A311" s="1" t="s">
        <v>23</v>
      </c>
      <c r="B311" s="15">
        <v>36223</v>
      </c>
      <c r="C311" s="16">
        <v>-10000</v>
      </c>
      <c r="D311" s="35">
        <v>1232</v>
      </c>
      <c r="E311" s="18">
        <f t="shared" si="58"/>
        <v>-12.5</v>
      </c>
      <c r="F311" s="35">
        <f>+Sheet2!D$9</f>
        <v>1340.25</v>
      </c>
      <c r="G311" s="17">
        <f t="shared" si="59"/>
        <v>-108.25</v>
      </c>
      <c r="H311" s="17">
        <f>-C311*G311/200+E311</f>
        <v>-5425</v>
      </c>
      <c r="I311" s="19"/>
    </row>
    <row r="312" spans="1:9" hidden="1">
      <c r="A312" s="1" t="s">
        <v>23</v>
      </c>
      <c r="B312" s="15">
        <v>36223</v>
      </c>
      <c r="C312" s="16">
        <v>10000</v>
      </c>
      <c r="D312" s="35">
        <v>1240.75</v>
      </c>
      <c r="E312" s="18">
        <f t="shared" si="58"/>
        <v>-12.5</v>
      </c>
      <c r="F312" s="35">
        <f>+Sheet2!D$9</f>
        <v>1340.25</v>
      </c>
      <c r="G312" s="17">
        <f t="shared" si="59"/>
        <v>99.5</v>
      </c>
      <c r="H312" s="17">
        <f>C312*G312/200+E312</f>
        <v>4962.5</v>
      </c>
      <c r="I312" s="19"/>
    </row>
    <row r="313" spans="1:9" hidden="1">
      <c r="A313" s="1" t="s">
        <v>23</v>
      </c>
      <c r="B313" s="15">
        <v>36223</v>
      </c>
      <c r="C313" s="16">
        <v>-10000</v>
      </c>
      <c r="D313" s="35">
        <v>1237.75</v>
      </c>
      <c r="E313" s="18">
        <f t="shared" si="58"/>
        <v>-12.5</v>
      </c>
      <c r="F313" s="35">
        <f>+Sheet2!D$9</f>
        <v>1340.25</v>
      </c>
      <c r="G313" s="17">
        <f t="shared" si="59"/>
        <v>-102.5</v>
      </c>
      <c r="H313" s="17">
        <f>-C313*G313/200+E313</f>
        <v>-5137.5</v>
      </c>
      <c r="I313" s="19"/>
    </row>
    <row r="314" spans="1:9" hidden="1">
      <c r="A314" s="1" t="s">
        <v>23</v>
      </c>
      <c r="B314" s="15">
        <v>36223</v>
      </c>
      <c r="C314" s="16">
        <v>20000</v>
      </c>
      <c r="D314" s="35">
        <v>1244.5</v>
      </c>
      <c r="E314" s="18">
        <f t="shared" si="58"/>
        <v>-25</v>
      </c>
      <c r="F314" s="35">
        <f>+Sheet2!D$9</f>
        <v>1340.25</v>
      </c>
      <c r="G314" s="17">
        <f t="shared" si="59"/>
        <v>95.75</v>
      </c>
      <c r="H314" s="17">
        <f>C314*G314/200+E314</f>
        <v>9550</v>
      </c>
      <c r="I314" s="19"/>
    </row>
    <row r="315" spans="1:9" hidden="1">
      <c r="A315" s="1" t="s">
        <v>23</v>
      </c>
      <c r="B315" s="15">
        <v>36223</v>
      </c>
      <c r="C315" s="16">
        <v>10000</v>
      </c>
      <c r="D315" s="35">
        <v>1248.75</v>
      </c>
      <c r="E315" s="18">
        <f t="shared" si="58"/>
        <v>-12.5</v>
      </c>
      <c r="F315" s="35">
        <f>+Sheet2!D$9</f>
        <v>1340.25</v>
      </c>
      <c r="G315" s="17">
        <f t="shared" si="59"/>
        <v>91.5</v>
      </c>
      <c r="H315" s="17">
        <f>C315*G315/200+E315</f>
        <v>4562.5</v>
      </c>
      <c r="I315" s="19"/>
    </row>
    <row r="316" spans="1:9" hidden="1">
      <c r="A316" s="1" t="s">
        <v>23</v>
      </c>
      <c r="B316" s="15">
        <v>36224</v>
      </c>
      <c r="C316" s="16">
        <v>-10000</v>
      </c>
      <c r="D316" s="35">
        <v>1235</v>
      </c>
      <c r="E316" s="18">
        <f t="shared" si="58"/>
        <v>-12.5</v>
      </c>
      <c r="F316" s="35">
        <f>+Sheet2!D$9</f>
        <v>1340.25</v>
      </c>
      <c r="G316" s="17">
        <f t="shared" si="59"/>
        <v>-105.25</v>
      </c>
      <c r="H316" s="17">
        <f>-C316*G316/200+E316</f>
        <v>-5275</v>
      </c>
      <c r="I316" s="19"/>
    </row>
    <row r="317" spans="1:9" hidden="1">
      <c r="A317" s="1" t="s">
        <v>23</v>
      </c>
      <c r="B317" s="15">
        <v>36224</v>
      </c>
      <c r="C317" s="16">
        <v>-10000</v>
      </c>
      <c r="D317" s="35">
        <v>1271.75</v>
      </c>
      <c r="E317" s="18">
        <f t="shared" si="58"/>
        <v>-12.5</v>
      </c>
      <c r="F317" s="35">
        <f>+Sheet2!D$9</f>
        <v>1340.25</v>
      </c>
      <c r="G317" s="17">
        <f t="shared" si="59"/>
        <v>-68.5</v>
      </c>
      <c r="H317" s="17">
        <f>-C317*G317/200+E317</f>
        <v>-3437.5</v>
      </c>
      <c r="I317" s="19"/>
    </row>
    <row r="318" spans="1:9" hidden="1">
      <c r="A318" s="1" t="s">
        <v>23</v>
      </c>
      <c r="B318" s="15">
        <v>36224</v>
      </c>
      <c r="C318" s="16">
        <v>-10000</v>
      </c>
      <c r="D318" s="35">
        <v>1267.25</v>
      </c>
      <c r="E318" s="18">
        <f t="shared" si="58"/>
        <v>-12.5</v>
      </c>
      <c r="F318" s="35">
        <f>+Sheet2!D$9</f>
        <v>1340.25</v>
      </c>
      <c r="G318" s="17">
        <f t="shared" si="59"/>
        <v>-73</v>
      </c>
      <c r="H318" s="17">
        <f>-C318*G318/200+E318</f>
        <v>-3662.5</v>
      </c>
      <c r="I318" s="19"/>
    </row>
    <row r="319" spans="1:9" hidden="1">
      <c r="A319" s="1" t="s">
        <v>23</v>
      </c>
      <c r="B319" s="15">
        <v>36224</v>
      </c>
      <c r="C319" s="16">
        <v>10000</v>
      </c>
      <c r="D319" s="35">
        <v>1272.5</v>
      </c>
      <c r="E319" s="18">
        <f t="shared" si="58"/>
        <v>-12.5</v>
      </c>
      <c r="F319" s="35">
        <f>+Sheet2!D$9</f>
        <v>1340.25</v>
      </c>
      <c r="G319" s="17">
        <f t="shared" si="59"/>
        <v>67.75</v>
      </c>
      <c r="H319" s="17">
        <f>C319*G319/200+E319</f>
        <v>3375</v>
      </c>
      <c r="I319" s="19"/>
    </row>
    <row r="320" spans="1:9" hidden="1">
      <c r="A320" s="1" t="s">
        <v>23</v>
      </c>
      <c r="B320" s="15">
        <v>36224</v>
      </c>
      <c r="C320" s="16">
        <v>10000</v>
      </c>
      <c r="D320" s="35">
        <v>1272.75</v>
      </c>
      <c r="E320" s="18">
        <f t="shared" si="58"/>
        <v>-12.5</v>
      </c>
      <c r="F320" s="35">
        <f>+Sheet2!D$9</f>
        <v>1340.25</v>
      </c>
      <c r="G320" s="17">
        <f t="shared" si="59"/>
        <v>67.5</v>
      </c>
      <c r="H320" s="17">
        <f>C320*G320/200+E320</f>
        <v>3362.5</v>
      </c>
      <c r="I320" s="19"/>
    </row>
    <row r="321" spans="1:9" hidden="1">
      <c r="A321" s="1" t="s">
        <v>23</v>
      </c>
      <c r="B321" s="15">
        <v>36224</v>
      </c>
      <c r="C321" s="16">
        <v>20000</v>
      </c>
      <c r="D321" s="35">
        <v>1274.25</v>
      </c>
      <c r="E321" s="18">
        <f t="shared" si="58"/>
        <v>-25</v>
      </c>
      <c r="F321" s="35">
        <f>+Sheet2!D$9</f>
        <v>1340.25</v>
      </c>
      <c r="G321" s="17">
        <f t="shared" si="59"/>
        <v>66</v>
      </c>
      <c r="H321" s="17">
        <f>C321*G321/200+E321</f>
        <v>6575</v>
      </c>
      <c r="I321" s="19"/>
    </row>
    <row r="322" spans="1:9" hidden="1">
      <c r="A322" s="1" t="s">
        <v>23</v>
      </c>
      <c r="B322" s="15">
        <v>36224</v>
      </c>
      <c r="C322" s="16">
        <v>-10000</v>
      </c>
      <c r="D322" s="35">
        <v>1278.25</v>
      </c>
      <c r="E322" s="18">
        <f t="shared" si="58"/>
        <v>-12.5</v>
      </c>
      <c r="F322" s="35">
        <f>+Sheet2!D$9</f>
        <v>1340.25</v>
      </c>
      <c r="G322" s="17">
        <f t="shared" si="59"/>
        <v>-62</v>
      </c>
      <c r="H322" s="17">
        <f>-C322*G322/200+E322</f>
        <v>-3112.5</v>
      </c>
      <c r="I322" s="19"/>
    </row>
    <row r="323" spans="1:9" hidden="1">
      <c r="A323" s="1" t="s">
        <v>23</v>
      </c>
      <c r="B323" s="15">
        <v>36227</v>
      </c>
      <c r="C323" s="16">
        <v>-10000</v>
      </c>
      <c r="D323" s="35">
        <v>1274.75</v>
      </c>
      <c r="E323" s="18">
        <f t="shared" ref="E323:E336" si="60">IF(C323&gt;0,-C323/10000*12.5,C323/10000*12.5)</f>
        <v>-12.5</v>
      </c>
      <c r="F323" s="35">
        <f>+Sheet2!D$9</f>
        <v>1340.25</v>
      </c>
      <c r="G323" s="17">
        <f t="shared" ref="G323:G336" si="61">IF(C323&gt;0,F323-D323,D323-F323)</f>
        <v>-65.5</v>
      </c>
      <c r="H323" s="17">
        <f>-C323*G323/200+E323</f>
        <v>-3287.5</v>
      </c>
      <c r="I323" s="19"/>
    </row>
    <row r="324" spans="1:9" hidden="1">
      <c r="A324" s="1" t="s">
        <v>49</v>
      </c>
      <c r="B324" s="15">
        <v>36231</v>
      </c>
      <c r="C324" s="16">
        <v>10000</v>
      </c>
      <c r="D324" s="35">
        <v>1307</v>
      </c>
      <c r="E324" s="18">
        <f t="shared" si="60"/>
        <v>-12.5</v>
      </c>
      <c r="F324" s="35">
        <f>+Sheet2!D$9</f>
        <v>1340.25</v>
      </c>
      <c r="G324" s="17">
        <f t="shared" si="61"/>
        <v>33.25</v>
      </c>
      <c r="H324" s="17">
        <f>C324*G324/200+E324</f>
        <v>1650</v>
      </c>
      <c r="I324" s="19"/>
    </row>
    <row r="325" spans="1:9" hidden="1">
      <c r="A325" s="1" t="s">
        <v>49</v>
      </c>
      <c r="B325" s="15">
        <v>36231</v>
      </c>
      <c r="C325" s="16">
        <v>10000</v>
      </c>
      <c r="D325" s="35">
        <v>1308.25</v>
      </c>
      <c r="E325" s="18">
        <f t="shared" si="60"/>
        <v>-12.5</v>
      </c>
      <c r="F325" s="35">
        <f>+Sheet2!D$9</f>
        <v>1340.25</v>
      </c>
      <c r="G325" s="17">
        <f t="shared" si="61"/>
        <v>32</v>
      </c>
      <c r="H325" s="17">
        <f>C325*G325/200+E325</f>
        <v>1587.5</v>
      </c>
      <c r="I325" s="19"/>
    </row>
    <row r="326" spans="1:9" hidden="1">
      <c r="A326" s="1" t="s">
        <v>49</v>
      </c>
      <c r="B326" s="15">
        <v>36231</v>
      </c>
      <c r="C326" s="16">
        <v>-20000</v>
      </c>
      <c r="D326" s="35">
        <v>1305.75</v>
      </c>
      <c r="E326" s="18">
        <f t="shared" si="60"/>
        <v>-25</v>
      </c>
      <c r="F326" s="35">
        <f>+Sheet2!D$9</f>
        <v>1340.25</v>
      </c>
      <c r="G326" s="17">
        <f t="shared" si="61"/>
        <v>-34.5</v>
      </c>
      <c r="H326" s="17">
        <f>-C326*G326/200+E326</f>
        <v>-3475</v>
      </c>
      <c r="I326" s="19"/>
    </row>
    <row r="327" spans="1:9" hidden="1">
      <c r="A327" s="1" t="s">
        <v>49</v>
      </c>
      <c r="B327" s="15">
        <v>36235</v>
      </c>
      <c r="C327" s="16">
        <v>-10000</v>
      </c>
      <c r="D327" s="35">
        <v>1315.75</v>
      </c>
      <c r="E327" s="18">
        <f t="shared" si="60"/>
        <v>-12.5</v>
      </c>
      <c r="F327" s="35">
        <f>+Sheet2!D$9</f>
        <v>1340.25</v>
      </c>
      <c r="G327" s="17">
        <f t="shared" si="61"/>
        <v>-24.5</v>
      </c>
      <c r="H327" s="17">
        <f>-C327*G327/200+E327</f>
        <v>-1237.5</v>
      </c>
      <c r="I327" s="19"/>
    </row>
    <row r="328" spans="1:9" hidden="1">
      <c r="A328" s="1" t="s">
        <v>49</v>
      </c>
      <c r="B328" s="15">
        <v>36235</v>
      </c>
      <c r="C328" s="16">
        <v>10000</v>
      </c>
      <c r="D328" s="35">
        <v>1319.5</v>
      </c>
      <c r="E328" s="18">
        <f t="shared" si="60"/>
        <v>-12.5</v>
      </c>
      <c r="F328" s="35">
        <f>+Sheet2!D$9</f>
        <v>1340.25</v>
      </c>
      <c r="G328" s="17">
        <f t="shared" si="61"/>
        <v>20.75</v>
      </c>
      <c r="H328" s="17">
        <f>C328*G328/200+E328</f>
        <v>1025</v>
      </c>
      <c r="I328" s="19"/>
    </row>
    <row r="329" spans="1:9" hidden="1">
      <c r="A329" s="1" t="s">
        <v>49</v>
      </c>
      <c r="B329" s="15">
        <v>36235</v>
      </c>
      <c r="C329" s="16">
        <v>-10000</v>
      </c>
      <c r="D329" s="35">
        <v>1316.5</v>
      </c>
      <c r="E329" s="18">
        <f t="shared" si="60"/>
        <v>-12.5</v>
      </c>
      <c r="F329" s="35">
        <f>+Sheet2!D$9</f>
        <v>1340.25</v>
      </c>
      <c r="G329" s="17">
        <f t="shared" si="61"/>
        <v>-23.75</v>
      </c>
      <c r="H329" s="17">
        <f>-C329*G329/200+E329</f>
        <v>-1200</v>
      </c>
      <c r="I329" s="19"/>
    </row>
    <row r="330" spans="1:9" hidden="1">
      <c r="A330" s="1" t="s">
        <v>49</v>
      </c>
      <c r="B330" s="15">
        <v>36236</v>
      </c>
      <c r="C330" s="16">
        <v>-10000</v>
      </c>
      <c r="D330" s="35">
        <v>1316.5</v>
      </c>
      <c r="E330" s="18">
        <f t="shared" si="60"/>
        <v>-12.5</v>
      </c>
      <c r="F330" s="35">
        <f>+Sheet2!D$9</f>
        <v>1340.25</v>
      </c>
      <c r="G330" s="17">
        <f t="shared" si="61"/>
        <v>-23.75</v>
      </c>
      <c r="H330" s="17">
        <f>-C330*G330/200+E330</f>
        <v>-1200</v>
      </c>
      <c r="I330" s="19"/>
    </row>
    <row r="331" spans="1:9" hidden="1">
      <c r="A331" s="1" t="s">
        <v>49</v>
      </c>
      <c r="B331" s="15">
        <v>36237</v>
      </c>
      <c r="C331" s="16">
        <v>10000</v>
      </c>
      <c r="D331" s="35">
        <v>1309.25</v>
      </c>
      <c r="E331" s="18">
        <f t="shared" si="60"/>
        <v>-12.5</v>
      </c>
      <c r="F331" s="35">
        <f>+Sheet2!D$9</f>
        <v>1340.25</v>
      </c>
      <c r="G331" s="17">
        <f t="shared" si="61"/>
        <v>31</v>
      </c>
      <c r="H331" s="17">
        <f>C331*G331/200+E331</f>
        <v>1537.5</v>
      </c>
      <c r="I331" s="19"/>
    </row>
    <row r="332" spans="1:9" hidden="1">
      <c r="A332" s="1" t="s">
        <v>49</v>
      </c>
      <c r="B332" s="15">
        <v>36237</v>
      </c>
      <c r="C332" s="16">
        <v>10000</v>
      </c>
      <c r="D332" s="35">
        <v>1315.25</v>
      </c>
      <c r="E332" s="18">
        <f t="shared" si="60"/>
        <v>-12.5</v>
      </c>
      <c r="F332" s="35">
        <f>+Sheet2!D$9</f>
        <v>1340.25</v>
      </c>
      <c r="G332" s="17">
        <f t="shared" si="61"/>
        <v>25</v>
      </c>
      <c r="H332" s="17">
        <f>C332*G332/200+E332</f>
        <v>1237.5</v>
      </c>
      <c r="I332" s="19"/>
    </row>
    <row r="333" spans="1:9" hidden="1">
      <c r="A333" s="1" t="s">
        <v>49</v>
      </c>
      <c r="B333" s="15">
        <v>36237</v>
      </c>
      <c r="C333" s="16">
        <v>10000</v>
      </c>
      <c r="D333" s="35">
        <v>1317</v>
      </c>
      <c r="E333" s="18">
        <f t="shared" si="60"/>
        <v>-12.5</v>
      </c>
      <c r="F333" s="35">
        <f>+Sheet2!D$9</f>
        <v>1340.25</v>
      </c>
      <c r="G333" s="17">
        <f t="shared" si="61"/>
        <v>23.25</v>
      </c>
      <c r="H333" s="17">
        <f>C333*G333/200+E333</f>
        <v>1150</v>
      </c>
      <c r="I333" s="19"/>
    </row>
    <row r="334" spans="1:9" hidden="1">
      <c r="A334" s="1" t="s">
        <v>49</v>
      </c>
      <c r="B334" s="15">
        <v>36237</v>
      </c>
      <c r="C334" s="16">
        <v>10000</v>
      </c>
      <c r="D334" s="35">
        <v>1320</v>
      </c>
      <c r="E334" s="18">
        <f t="shared" si="60"/>
        <v>-12.5</v>
      </c>
      <c r="F334" s="35">
        <f>+Sheet2!D$9</f>
        <v>1340.25</v>
      </c>
      <c r="G334" s="17">
        <f t="shared" si="61"/>
        <v>20.25</v>
      </c>
      <c r="H334" s="17">
        <f>C334*G334/200+E334</f>
        <v>1000</v>
      </c>
      <c r="I334" s="19"/>
    </row>
    <row r="335" spans="1:9" hidden="1">
      <c r="A335" s="1" t="s">
        <v>49</v>
      </c>
      <c r="B335" s="15">
        <v>36237</v>
      </c>
      <c r="C335" s="16">
        <v>-10000</v>
      </c>
      <c r="D335" s="35">
        <v>1324.5</v>
      </c>
      <c r="E335" s="18">
        <f t="shared" si="60"/>
        <v>-12.5</v>
      </c>
      <c r="F335" s="35">
        <f>+Sheet2!D$9</f>
        <v>1340.25</v>
      </c>
      <c r="G335" s="17">
        <f t="shared" si="61"/>
        <v>-15.75</v>
      </c>
      <c r="H335" s="17">
        <f>-C335*G335/200+E335</f>
        <v>-800</v>
      </c>
      <c r="I335" s="19"/>
    </row>
    <row r="336" spans="1:9" hidden="1">
      <c r="A336" s="1" t="s">
        <v>49</v>
      </c>
      <c r="B336" s="15">
        <v>36237</v>
      </c>
      <c r="C336" s="16">
        <v>-10000</v>
      </c>
      <c r="D336" s="35">
        <v>1329.75</v>
      </c>
      <c r="E336" s="18">
        <f t="shared" si="60"/>
        <v>-12.5</v>
      </c>
      <c r="F336" s="35">
        <f>+Sheet2!D$9</f>
        <v>1340.25</v>
      </c>
      <c r="G336" s="17">
        <f t="shared" si="61"/>
        <v>-10.5</v>
      </c>
      <c r="H336" s="17">
        <f>-C336*G336/200+E336</f>
        <v>-537.5</v>
      </c>
      <c r="I336" s="19"/>
    </row>
    <row r="337" spans="1:9" hidden="1">
      <c r="A337" s="1" t="s">
        <v>49</v>
      </c>
      <c r="B337" s="15">
        <v>36238</v>
      </c>
      <c r="C337" s="16">
        <v>-10000</v>
      </c>
      <c r="D337" s="35">
        <v>1327.5</v>
      </c>
      <c r="E337" s="18">
        <f t="shared" ref="E337:E366" si="62">IF(C337&gt;0,-C337/10000*12.5,C337/10000*12.5)</f>
        <v>-12.5</v>
      </c>
      <c r="F337" s="35">
        <f>+Sheet2!D$9</f>
        <v>1340.25</v>
      </c>
      <c r="G337" s="17">
        <f t="shared" ref="G337:G366" si="63">IF(C337&gt;0,F337-D337,D337-F337)</f>
        <v>-12.75</v>
      </c>
      <c r="H337" s="17">
        <f>-C337*G337/200+E337</f>
        <v>-650</v>
      </c>
      <c r="I337" s="19"/>
    </row>
    <row r="338" spans="1:9" hidden="1">
      <c r="A338" s="1" t="s">
        <v>49</v>
      </c>
      <c r="B338" s="15">
        <v>36238</v>
      </c>
      <c r="C338" s="16">
        <v>10000</v>
      </c>
      <c r="D338" s="35">
        <v>1331.25</v>
      </c>
      <c r="E338" s="18">
        <f t="shared" si="62"/>
        <v>-12.5</v>
      </c>
      <c r="F338" s="35">
        <f>+Sheet2!D$9</f>
        <v>1340.25</v>
      </c>
      <c r="G338" s="17">
        <f t="shared" si="63"/>
        <v>9</v>
      </c>
      <c r="H338" s="17">
        <f>C338*G338/200+E338</f>
        <v>437.5</v>
      </c>
      <c r="I338" s="19"/>
    </row>
    <row r="339" spans="1:9" hidden="1">
      <c r="A339" s="1" t="s">
        <v>49</v>
      </c>
      <c r="B339" s="15">
        <v>36238</v>
      </c>
      <c r="C339" s="16">
        <v>-10000</v>
      </c>
      <c r="D339" s="35">
        <v>1324.75</v>
      </c>
      <c r="E339" s="18">
        <f t="shared" si="62"/>
        <v>-12.5</v>
      </c>
      <c r="F339" s="35">
        <f>+Sheet2!D$9</f>
        <v>1340.25</v>
      </c>
      <c r="G339" s="17">
        <f t="shared" si="63"/>
        <v>-15.5</v>
      </c>
      <c r="H339" s="17">
        <f>-C339*G339/200+E339</f>
        <v>-787.5</v>
      </c>
      <c r="I339" s="19"/>
    </row>
    <row r="340" spans="1:9" hidden="1">
      <c r="A340" s="1" t="s">
        <v>49</v>
      </c>
      <c r="B340" s="15">
        <v>36238</v>
      </c>
      <c r="C340" s="16">
        <v>-10000</v>
      </c>
      <c r="D340" s="35">
        <v>1321</v>
      </c>
      <c r="E340" s="18">
        <f t="shared" si="62"/>
        <v>-12.5</v>
      </c>
      <c r="F340" s="35">
        <f>+Sheet2!D$9</f>
        <v>1340.25</v>
      </c>
      <c r="G340" s="17">
        <f t="shared" si="63"/>
        <v>-19.25</v>
      </c>
      <c r="H340" s="17">
        <f>-C340*G340/200+E340</f>
        <v>-975</v>
      </c>
      <c r="I340" s="19"/>
    </row>
    <row r="341" spans="1:9" hidden="1">
      <c r="A341" s="1" t="s">
        <v>49</v>
      </c>
      <c r="B341" s="15">
        <v>36238</v>
      </c>
      <c r="C341" s="16">
        <v>10000</v>
      </c>
      <c r="D341" s="35">
        <v>1312.5</v>
      </c>
      <c r="E341" s="18">
        <f t="shared" si="62"/>
        <v>-12.5</v>
      </c>
      <c r="F341" s="35">
        <f>+Sheet2!D$9</f>
        <v>1340.25</v>
      </c>
      <c r="G341" s="17">
        <f t="shared" si="63"/>
        <v>27.75</v>
      </c>
      <c r="H341" s="17">
        <f>C341*G341/200+E341</f>
        <v>1375</v>
      </c>
      <c r="I341" s="19"/>
    </row>
    <row r="342" spans="1:9" hidden="1">
      <c r="A342" s="1" t="s">
        <v>49</v>
      </c>
      <c r="B342" s="15">
        <v>36241</v>
      </c>
      <c r="C342" s="16">
        <v>10000</v>
      </c>
      <c r="D342" s="35">
        <v>1311.5</v>
      </c>
      <c r="E342" s="18">
        <f t="shared" si="62"/>
        <v>-12.5</v>
      </c>
      <c r="F342" s="35">
        <f>+Sheet2!D$9</f>
        <v>1340.25</v>
      </c>
      <c r="G342" s="17">
        <f t="shared" si="63"/>
        <v>28.75</v>
      </c>
      <c r="H342" s="17">
        <f>C342*G342/200+E342</f>
        <v>1425</v>
      </c>
      <c r="I342" s="19"/>
    </row>
    <row r="343" spans="1:9" hidden="1">
      <c r="A343" s="1" t="s">
        <v>49</v>
      </c>
      <c r="B343" s="15">
        <v>36241</v>
      </c>
      <c r="C343" s="16">
        <v>10000</v>
      </c>
      <c r="D343" s="35">
        <v>1311.5</v>
      </c>
      <c r="E343" s="18">
        <f t="shared" si="62"/>
        <v>-12.5</v>
      </c>
      <c r="F343" s="35">
        <f>+Sheet2!D$9</f>
        <v>1340.25</v>
      </c>
      <c r="G343" s="17">
        <f t="shared" si="63"/>
        <v>28.75</v>
      </c>
      <c r="H343" s="17">
        <f>C343*G343/200+E343</f>
        <v>1425</v>
      </c>
      <c r="I343" s="19"/>
    </row>
    <row r="344" spans="1:9" hidden="1">
      <c r="A344" s="1" t="s">
        <v>49</v>
      </c>
      <c r="B344" s="15">
        <v>36241</v>
      </c>
      <c r="C344" s="16">
        <v>-10000</v>
      </c>
      <c r="D344" s="35">
        <v>1311.25</v>
      </c>
      <c r="E344" s="18">
        <f t="shared" si="62"/>
        <v>-12.5</v>
      </c>
      <c r="F344" s="35">
        <f>+Sheet2!D$9</f>
        <v>1340.25</v>
      </c>
      <c r="G344" s="17">
        <f t="shared" si="63"/>
        <v>-29</v>
      </c>
      <c r="H344" s="17">
        <f>-C344*G344/200+E344</f>
        <v>-1462.5</v>
      </c>
      <c r="I344" s="19"/>
    </row>
    <row r="345" spans="1:9" hidden="1">
      <c r="A345" s="1" t="s">
        <v>49</v>
      </c>
      <c r="B345" s="15">
        <v>36241</v>
      </c>
      <c r="C345" s="16">
        <v>-20000</v>
      </c>
      <c r="D345" s="35">
        <v>1308.75</v>
      </c>
      <c r="E345" s="18">
        <f t="shared" si="62"/>
        <v>-25</v>
      </c>
      <c r="F345" s="35">
        <f>+Sheet2!D$9</f>
        <v>1340.25</v>
      </c>
      <c r="G345" s="17">
        <f t="shared" si="63"/>
        <v>-31.5</v>
      </c>
      <c r="H345" s="17">
        <f>-C345*G345/200+E345</f>
        <v>-3175</v>
      </c>
      <c r="I345" s="19"/>
    </row>
    <row r="346" spans="1:9" hidden="1">
      <c r="A346" s="1" t="s">
        <v>49</v>
      </c>
      <c r="B346" s="15">
        <v>36241</v>
      </c>
      <c r="C346" s="16">
        <v>20000</v>
      </c>
      <c r="D346" s="35">
        <v>1313</v>
      </c>
      <c r="E346" s="18">
        <f t="shared" si="62"/>
        <v>-25</v>
      </c>
      <c r="F346" s="35">
        <f>+Sheet2!D$9</f>
        <v>1340.25</v>
      </c>
      <c r="G346" s="17">
        <f t="shared" si="63"/>
        <v>27.25</v>
      </c>
      <c r="H346" s="17">
        <f>C346*G346/200+E346</f>
        <v>2700</v>
      </c>
      <c r="I346" s="19"/>
    </row>
    <row r="347" spans="1:9" hidden="1">
      <c r="A347" s="1" t="s">
        <v>49</v>
      </c>
      <c r="B347" s="15">
        <v>36242</v>
      </c>
      <c r="C347" s="16">
        <v>-10000</v>
      </c>
      <c r="D347" s="35">
        <v>1307</v>
      </c>
      <c r="E347" s="18">
        <f t="shared" si="62"/>
        <v>-12.5</v>
      </c>
      <c r="F347" s="35">
        <f>+Sheet2!D$9</f>
        <v>1340.25</v>
      </c>
      <c r="G347" s="17">
        <f t="shared" si="63"/>
        <v>-33.25</v>
      </c>
      <c r="H347" s="17">
        <f>-C347*G347/200+E347</f>
        <v>-1675</v>
      </c>
      <c r="I347" s="19"/>
    </row>
    <row r="348" spans="1:9" hidden="1">
      <c r="A348" s="1" t="s">
        <v>49</v>
      </c>
      <c r="B348" s="15">
        <v>36242</v>
      </c>
      <c r="C348" s="16">
        <v>-10000</v>
      </c>
      <c r="D348" s="35">
        <v>1304.75</v>
      </c>
      <c r="E348" s="18">
        <f t="shared" si="62"/>
        <v>-12.5</v>
      </c>
      <c r="F348" s="35">
        <f>+Sheet2!D$9</f>
        <v>1340.25</v>
      </c>
      <c r="G348" s="17">
        <f t="shared" si="63"/>
        <v>-35.5</v>
      </c>
      <c r="H348" s="17">
        <f>-C348*G348/200+E348</f>
        <v>-1787.5</v>
      </c>
      <c r="I348" s="19"/>
    </row>
    <row r="349" spans="1:9" hidden="1">
      <c r="A349" s="1" t="s">
        <v>49</v>
      </c>
      <c r="B349" s="15">
        <v>36242</v>
      </c>
      <c r="C349" s="16">
        <v>10000</v>
      </c>
      <c r="D349" s="35">
        <v>1291.25</v>
      </c>
      <c r="E349" s="18">
        <f t="shared" si="62"/>
        <v>-12.5</v>
      </c>
      <c r="F349" s="35">
        <f>+Sheet2!D$9</f>
        <v>1340.25</v>
      </c>
      <c r="G349" s="17">
        <f t="shared" si="63"/>
        <v>49</v>
      </c>
      <c r="H349" s="17">
        <f>C349*G349/200+E349</f>
        <v>2437.5</v>
      </c>
      <c r="I349" s="19"/>
    </row>
    <row r="350" spans="1:9" hidden="1">
      <c r="A350" s="1" t="s">
        <v>49</v>
      </c>
      <c r="B350" s="15">
        <v>36242</v>
      </c>
      <c r="C350" s="16">
        <v>10000</v>
      </c>
      <c r="D350" s="35">
        <v>1277.75</v>
      </c>
      <c r="E350" s="18">
        <f t="shared" si="62"/>
        <v>-12.5</v>
      </c>
      <c r="F350" s="35">
        <f>+Sheet2!D$9</f>
        <v>1340.25</v>
      </c>
      <c r="G350" s="17">
        <f t="shared" si="63"/>
        <v>62.5</v>
      </c>
      <c r="H350" s="17">
        <f>C350*G350/200+E350</f>
        <v>3112.5</v>
      </c>
      <c r="I350" s="19"/>
    </row>
    <row r="351" spans="1:9" hidden="1">
      <c r="A351" s="1" t="s">
        <v>49</v>
      </c>
      <c r="B351" s="15">
        <v>36243</v>
      </c>
      <c r="C351" s="16">
        <v>-10000</v>
      </c>
      <c r="D351" s="35">
        <v>1273.5</v>
      </c>
      <c r="E351" s="18">
        <f t="shared" si="62"/>
        <v>-12.5</v>
      </c>
      <c r="F351" s="35">
        <f>+Sheet2!D$9</f>
        <v>1340.25</v>
      </c>
      <c r="G351" s="17">
        <f t="shared" si="63"/>
        <v>-66.75</v>
      </c>
      <c r="H351" s="17">
        <f>-C351*G351/200+E351</f>
        <v>-3350</v>
      </c>
      <c r="I351" s="19"/>
    </row>
    <row r="352" spans="1:9" hidden="1">
      <c r="A352" s="1" t="s">
        <v>49</v>
      </c>
      <c r="B352" s="15">
        <v>36243</v>
      </c>
      <c r="C352" s="16">
        <v>-10000</v>
      </c>
      <c r="D352" s="35">
        <v>1275.5</v>
      </c>
      <c r="E352" s="18">
        <f t="shared" si="62"/>
        <v>-12.5</v>
      </c>
      <c r="F352" s="35">
        <f>+Sheet2!D$9</f>
        <v>1340.25</v>
      </c>
      <c r="G352" s="17">
        <f t="shared" si="63"/>
        <v>-64.75</v>
      </c>
      <c r="H352" s="17">
        <f>-C352*G352/200+E352</f>
        <v>-3250</v>
      </c>
      <c r="I352" s="19"/>
    </row>
    <row r="353" spans="1:9" hidden="1">
      <c r="A353" s="1" t="s">
        <v>49</v>
      </c>
      <c r="B353" s="15">
        <v>36243</v>
      </c>
      <c r="C353" s="16">
        <v>10000</v>
      </c>
      <c r="D353" s="35">
        <v>1279</v>
      </c>
      <c r="E353" s="18">
        <f t="shared" si="62"/>
        <v>-12.5</v>
      </c>
      <c r="F353" s="35">
        <f>+Sheet2!D$9</f>
        <v>1340.25</v>
      </c>
      <c r="G353" s="17">
        <f t="shared" si="63"/>
        <v>61.25</v>
      </c>
      <c r="H353" s="17">
        <f>C353*G353/200+E353</f>
        <v>3050</v>
      </c>
      <c r="I353" s="19"/>
    </row>
    <row r="354" spans="1:9" hidden="1">
      <c r="A354" s="1" t="s">
        <v>49</v>
      </c>
      <c r="B354" s="15">
        <v>36243</v>
      </c>
      <c r="C354" s="16">
        <v>10000</v>
      </c>
      <c r="D354" s="35">
        <v>1279.25</v>
      </c>
      <c r="E354" s="18">
        <f t="shared" si="62"/>
        <v>-12.5</v>
      </c>
      <c r="F354" s="35">
        <f>+Sheet2!D$9</f>
        <v>1340.25</v>
      </c>
      <c r="G354" s="17">
        <f t="shared" si="63"/>
        <v>61</v>
      </c>
      <c r="H354" s="17">
        <f>C354*G354/200+E354</f>
        <v>3037.5</v>
      </c>
      <c r="I354" s="19"/>
    </row>
    <row r="355" spans="1:9" hidden="1">
      <c r="A355" s="1" t="s">
        <v>49</v>
      </c>
      <c r="B355" s="15">
        <v>36244</v>
      </c>
      <c r="C355" s="16">
        <v>-10000</v>
      </c>
      <c r="D355" s="35">
        <v>1296.5</v>
      </c>
      <c r="E355" s="18">
        <f t="shared" si="62"/>
        <v>-12.5</v>
      </c>
      <c r="F355" s="35">
        <f>+Sheet2!D$9</f>
        <v>1340.25</v>
      </c>
      <c r="G355" s="17">
        <f t="shared" si="63"/>
        <v>-43.75</v>
      </c>
      <c r="H355" s="17">
        <f>-C355*G355/200+E355</f>
        <v>-2200</v>
      </c>
      <c r="I355" s="19"/>
    </row>
    <row r="356" spans="1:9" hidden="1">
      <c r="A356" s="1" t="s">
        <v>49</v>
      </c>
      <c r="B356" s="15">
        <v>36244</v>
      </c>
      <c r="C356" s="16">
        <v>-10000</v>
      </c>
      <c r="D356" s="35">
        <v>1299.5</v>
      </c>
      <c r="E356" s="18">
        <f t="shared" si="62"/>
        <v>-12.5</v>
      </c>
      <c r="F356" s="35">
        <f>+Sheet2!D$9</f>
        <v>1340.25</v>
      </c>
      <c r="G356" s="17">
        <f t="shared" si="63"/>
        <v>-40.75</v>
      </c>
      <c r="H356" s="17">
        <f>-C356*G356/200+E356</f>
        <v>-2050</v>
      </c>
      <c r="I356" s="19"/>
    </row>
    <row r="357" spans="1:9" hidden="1">
      <c r="A357" s="1" t="s">
        <v>49</v>
      </c>
      <c r="B357" s="15">
        <v>36244</v>
      </c>
      <c r="C357" s="16">
        <v>10000</v>
      </c>
      <c r="D357" s="35">
        <v>1294.75</v>
      </c>
      <c r="E357" s="18">
        <f t="shared" si="62"/>
        <v>-12.5</v>
      </c>
      <c r="F357" s="35">
        <f>+Sheet2!D$9</f>
        <v>1340.25</v>
      </c>
      <c r="G357" s="17">
        <f t="shared" si="63"/>
        <v>45.5</v>
      </c>
      <c r="H357" s="17">
        <f>C357*G357/200+E357</f>
        <v>2262.5</v>
      </c>
      <c r="I357" s="19"/>
    </row>
    <row r="358" spans="1:9" hidden="1">
      <c r="A358" s="1" t="s">
        <v>49</v>
      </c>
      <c r="B358" s="15">
        <v>36244</v>
      </c>
      <c r="C358" s="16">
        <v>10000</v>
      </c>
      <c r="D358" s="35">
        <v>1296.5</v>
      </c>
      <c r="E358" s="18">
        <f t="shared" si="62"/>
        <v>-12.5</v>
      </c>
      <c r="F358" s="35">
        <f>+Sheet2!D$9</f>
        <v>1340.25</v>
      </c>
      <c r="G358" s="17">
        <f t="shared" si="63"/>
        <v>43.75</v>
      </c>
      <c r="H358" s="17">
        <f>C358*G358/200+E358</f>
        <v>2175</v>
      </c>
      <c r="I358" s="19"/>
    </row>
    <row r="359" spans="1:9" hidden="1">
      <c r="A359" s="1" t="s">
        <v>49</v>
      </c>
      <c r="B359" s="15">
        <v>36244</v>
      </c>
      <c r="C359" s="16">
        <v>10000</v>
      </c>
      <c r="D359" s="35">
        <v>1296.75</v>
      </c>
      <c r="E359" s="18">
        <f t="shared" si="62"/>
        <v>-12.5</v>
      </c>
      <c r="F359" s="35">
        <f>+Sheet2!D$9</f>
        <v>1340.25</v>
      </c>
      <c r="G359" s="17">
        <f t="shared" si="63"/>
        <v>43.5</v>
      </c>
      <c r="H359" s="17">
        <f>C359*G359/200+E359</f>
        <v>2162.5</v>
      </c>
      <c r="I359" s="19"/>
    </row>
    <row r="360" spans="1:9" hidden="1">
      <c r="A360" s="1" t="s">
        <v>49</v>
      </c>
      <c r="B360" s="15">
        <v>36244</v>
      </c>
      <c r="C360" s="16">
        <v>10000</v>
      </c>
      <c r="D360" s="35">
        <v>1297</v>
      </c>
      <c r="E360" s="18">
        <f t="shared" si="62"/>
        <v>-12.5</v>
      </c>
      <c r="F360" s="35">
        <f>+Sheet2!D$9</f>
        <v>1340.25</v>
      </c>
      <c r="G360" s="17">
        <f t="shared" si="63"/>
        <v>43.25</v>
      </c>
      <c r="H360" s="17">
        <f>C360*G360/200+E360</f>
        <v>2150</v>
      </c>
      <c r="I360" s="19"/>
    </row>
    <row r="361" spans="1:9" hidden="1">
      <c r="A361" s="1" t="s">
        <v>49</v>
      </c>
      <c r="B361" s="15">
        <v>36244</v>
      </c>
      <c r="C361" s="16">
        <v>-10000</v>
      </c>
      <c r="D361" s="35">
        <v>1302.5</v>
      </c>
      <c r="E361" s="18">
        <f t="shared" si="62"/>
        <v>-12.5</v>
      </c>
      <c r="F361" s="35">
        <f>+Sheet2!D$9</f>
        <v>1340.25</v>
      </c>
      <c r="G361" s="17">
        <f t="shared" si="63"/>
        <v>-37.75</v>
      </c>
      <c r="H361" s="17">
        <f>-C361*G361/200+E361</f>
        <v>-1900</v>
      </c>
      <c r="I361" s="19"/>
    </row>
    <row r="362" spans="1:9" hidden="1">
      <c r="A362" s="1" t="s">
        <v>49</v>
      </c>
      <c r="B362" s="15">
        <v>36244</v>
      </c>
      <c r="C362" s="16">
        <v>-10000</v>
      </c>
      <c r="D362" s="35">
        <v>1303</v>
      </c>
      <c r="E362" s="18">
        <f t="shared" si="62"/>
        <v>-12.5</v>
      </c>
      <c r="F362" s="35">
        <f>+Sheet2!D$9</f>
        <v>1340.25</v>
      </c>
      <c r="G362" s="17">
        <f t="shared" si="63"/>
        <v>-37.25</v>
      </c>
      <c r="H362" s="17">
        <f>-C362*G362/200+E362</f>
        <v>-1875</v>
      </c>
      <c r="I362" s="19"/>
    </row>
    <row r="363" spans="1:9" hidden="1">
      <c r="A363" s="1" t="s">
        <v>49</v>
      </c>
      <c r="B363" s="15">
        <v>36245</v>
      </c>
      <c r="C363" s="16">
        <v>-10000</v>
      </c>
      <c r="D363" s="35">
        <v>1296</v>
      </c>
      <c r="E363" s="18">
        <f t="shared" si="62"/>
        <v>-12.5</v>
      </c>
      <c r="F363" s="35">
        <f>+Sheet2!D$9</f>
        <v>1340.25</v>
      </c>
      <c r="G363" s="17">
        <f t="shared" si="63"/>
        <v>-44.25</v>
      </c>
      <c r="H363" s="17">
        <f>-C363*G363/200+E363</f>
        <v>-2225</v>
      </c>
      <c r="I363" s="19"/>
    </row>
    <row r="364" spans="1:9" hidden="1">
      <c r="A364" s="1" t="s">
        <v>49</v>
      </c>
      <c r="B364" s="15">
        <v>36245</v>
      </c>
      <c r="C364" s="16">
        <v>-10000</v>
      </c>
      <c r="D364" s="35">
        <v>1298.5</v>
      </c>
      <c r="E364" s="18">
        <f t="shared" si="62"/>
        <v>-12.5</v>
      </c>
      <c r="F364" s="35">
        <f>+Sheet2!D$9</f>
        <v>1340.25</v>
      </c>
      <c r="G364" s="17">
        <f t="shared" si="63"/>
        <v>-41.75</v>
      </c>
      <c r="H364" s="17">
        <f>-C364*G364/200+E364</f>
        <v>-2100</v>
      </c>
      <c r="I364" s="19"/>
    </row>
    <row r="365" spans="1:9" hidden="1">
      <c r="A365" s="1" t="s">
        <v>49</v>
      </c>
      <c r="B365" s="15">
        <v>36245</v>
      </c>
      <c r="C365" s="16">
        <v>-10000</v>
      </c>
      <c r="D365" s="35">
        <v>1293.75</v>
      </c>
      <c r="E365" s="18">
        <f t="shared" si="62"/>
        <v>-12.5</v>
      </c>
      <c r="F365" s="35">
        <f>+Sheet2!D$9</f>
        <v>1340.25</v>
      </c>
      <c r="G365" s="17">
        <f t="shared" si="63"/>
        <v>-46.5</v>
      </c>
      <c r="H365" s="17">
        <f>-C365*G365/200+E365</f>
        <v>-2337.5</v>
      </c>
      <c r="I365" s="19"/>
    </row>
    <row r="366" spans="1:9" hidden="1">
      <c r="A366" s="1" t="s">
        <v>49</v>
      </c>
      <c r="B366" s="15">
        <v>36245</v>
      </c>
      <c r="C366" s="16">
        <v>10000</v>
      </c>
      <c r="D366" s="35">
        <v>1297.75</v>
      </c>
      <c r="E366" s="18">
        <f t="shared" si="62"/>
        <v>-12.5</v>
      </c>
      <c r="F366" s="35">
        <f>+Sheet2!D$9</f>
        <v>1340.25</v>
      </c>
      <c r="G366" s="17">
        <f t="shared" si="63"/>
        <v>42.5</v>
      </c>
      <c r="H366" s="17">
        <f>C366*G366/200+E366</f>
        <v>2112.5</v>
      </c>
      <c r="I366" s="19"/>
    </row>
    <row r="367" spans="1:9" hidden="1">
      <c r="A367" s="1" t="s">
        <v>49</v>
      </c>
      <c r="B367" s="15">
        <v>36245</v>
      </c>
      <c r="C367" s="16">
        <v>20000</v>
      </c>
      <c r="D367" s="35">
        <v>1298.75</v>
      </c>
      <c r="E367" s="18">
        <f t="shared" ref="E367:E372" si="64">IF(C367&gt;0,-C367/10000*12.5,C367/10000*12.5)</f>
        <v>-25</v>
      </c>
      <c r="F367" s="35">
        <f>+Sheet2!D$9</f>
        <v>1340.25</v>
      </c>
      <c r="G367" s="17">
        <f t="shared" ref="G367:G372" si="65">IF(C367&gt;0,F367-D367,D367-F367)</f>
        <v>41.5</v>
      </c>
      <c r="H367" s="17">
        <f>C367*G367/200+E367</f>
        <v>4125</v>
      </c>
      <c r="I367" s="19"/>
    </row>
    <row r="368" spans="1:9" hidden="1">
      <c r="A368" s="1" t="s">
        <v>49</v>
      </c>
      <c r="B368" s="15">
        <v>36249</v>
      </c>
      <c r="C368" s="16">
        <v>-20000</v>
      </c>
      <c r="D368" s="35">
        <v>1315.75</v>
      </c>
      <c r="E368" s="18">
        <f t="shared" si="64"/>
        <v>-25</v>
      </c>
      <c r="F368" s="35">
        <f>+Sheet2!D$9</f>
        <v>1340.25</v>
      </c>
      <c r="G368" s="17">
        <f t="shared" si="65"/>
        <v>-24.5</v>
      </c>
      <c r="H368" s="17">
        <f>-C368*G368/200+E368</f>
        <v>-2475</v>
      </c>
      <c r="I368" s="19"/>
    </row>
    <row r="369" spans="1:9" hidden="1">
      <c r="A369" s="1" t="s">
        <v>49</v>
      </c>
      <c r="B369" s="15">
        <v>36249</v>
      </c>
      <c r="C369" s="16">
        <v>-10000</v>
      </c>
      <c r="D369" s="35">
        <v>1315.5</v>
      </c>
      <c r="E369" s="18">
        <f t="shared" si="64"/>
        <v>-12.5</v>
      </c>
      <c r="F369" s="35">
        <f>+Sheet2!D$9</f>
        <v>1340.25</v>
      </c>
      <c r="G369" s="17">
        <f t="shared" si="65"/>
        <v>-24.75</v>
      </c>
      <c r="H369" s="17">
        <f>-C369*G369/200+E369</f>
        <v>-1250</v>
      </c>
      <c r="I369" s="19"/>
    </row>
    <row r="370" spans="1:9" hidden="1">
      <c r="A370" s="1" t="s">
        <v>49</v>
      </c>
      <c r="B370" s="15">
        <v>36249</v>
      </c>
      <c r="C370" s="16">
        <v>10000</v>
      </c>
      <c r="D370" s="35">
        <v>1321</v>
      </c>
      <c r="E370" s="18">
        <f t="shared" si="64"/>
        <v>-12.5</v>
      </c>
      <c r="F370" s="35">
        <f>+Sheet2!D$9</f>
        <v>1340.25</v>
      </c>
      <c r="G370" s="17">
        <f t="shared" si="65"/>
        <v>19.25</v>
      </c>
      <c r="H370" s="17">
        <f>C370*G370/200+E370</f>
        <v>950</v>
      </c>
      <c r="I370" s="19"/>
    </row>
    <row r="371" spans="1:9" hidden="1">
      <c r="A371" s="1" t="s">
        <v>49</v>
      </c>
      <c r="B371" s="15">
        <v>36249</v>
      </c>
      <c r="C371" s="16">
        <v>-20000</v>
      </c>
      <c r="D371" s="35">
        <v>1312.5</v>
      </c>
      <c r="E371" s="18">
        <f t="shared" si="64"/>
        <v>-25</v>
      </c>
      <c r="F371" s="35">
        <f>+Sheet2!D$9</f>
        <v>1340.25</v>
      </c>
      <c r="G371" s="17">
        <f t="shared" si="65"/>
        <v>-27.75</v>
      </c>
      <c r="H371" s="17">
        <f>-C371*G371/200+E371</f>
        <v>-2800</v>
      </c>
      <c r="I371" s="19"/>
    </row>
    <row r="372" spans="1:9" hidden="1">
      <c r="A372" s="1" t="s">
        <v>49</v>
      </c>
      <c r="B372" s="15">
        <v>36249</v>
      </c>
      <c r="C372" s="16">
        <v>20000</v>
      </c>
      <c r="D372" s="35">
        <v>1316</v>
      </c>
      <c r="E372" s="18">
        <f t="shared" si="64"/>
        <v>-25</v>
      </c>
      <c r="F372" s="35">
        <f>+Sheet2!D$9</f>
        <v>1340.25</v>
      </c>
      <c r="G372" s="17">
        <f t="shared" si="65"/>
        <v>24.25</v>
      </c>
      <c r="H372" s="17">
        <f>C372*G372/200+E372</f>
        <v>2400</v>
      </c>
      <c r="I372" s="19"/>
    </row>
    <row r="373" spans="1:9" hidden="1">
      <c r="A373" s="1" t="s">
        <v>49</v>
      </c>
      <c r="B373" s="15">
        <v>36250</v>
      </c>
      <c r="C373" s="16">
        <v>20000</v>
      </c>
      <c r="D373" s="35">
        <v>1321.75</v>
      </c>
      <c r="E373" s="18">
        <f t="shared" ref="E373:E380" si="66">IF(C373&gt;0,-C373/10000*12.5,C373/10000*12.5)</f>
        <v>-25</v>
      </c>
      <c r="F373" s="35">
        <f>+Sheet2!D$9</f>
        <v>1340.25</v>
      </c>
      <c r="G373" s="17">
        <f t="shared" ref="G373:G380" si="67">IF(C373&gt;0,F373-D373,D373-F373)</f>
        <v>18.5</v>
      </c>
      <c r="H373" s="17">
        <f>C373*G373/200+E373</f>
        <v>1825</v>
      </c>
      <c r="I373" s="19"/>
    </row>
    <row r="374" spans="1:9" hidden="1">
      <c r="A374" s="1" t="s">
        <v>49</v>
      </c>
      <c r="B374" s="15">
        <v>36250</v>
      </c>
      <c r="C374" s="16">
        <v>-20000</v>
      </c>
      <c r="D374" s="35">
        <v>1309</v>
      </c>
      <c r="E374" s="18">
        <f t="shared" si="66"/>
        <v>-25</v>
      </c>
      <c r="F374" s="35">
        <f>+Sheet2!D$9</f>
        <v>1340.25</v>
      </c>
      <c r="G374" s="17">
        <f t="shared" si="67"/>
        <v>-31.25</v>
      </c>
      <c r="H374" s="17">
        <f>-C374*G374/200+E374</f>
        <v>-3150</v>
      </c>
      <c r="I374" s="19"/>
    </row>
    <row r="375" spans="1:9" hidden="1">
      <c r="A375" s="1" t="s">
        <v>49</v>
      </c>
      <c r="B375" s="15">
        <v>36251</v>
      </c>
      <c r="C375" s="16">
        <v>10000</v>
      </c>
      <c r="D375" s="35">
        <v>1303</v>
      </c>
      <c r="E375" s="18">
        <f t="shared" si="66"/>
        <v>-12.5</v>
      </c>
      <c r="F375" s="35">
        <f>+Sheet2!D$9</f>
        <v>1340.25</v>
      </c>
      <c r="G375" s="17">
        <f t="shared" si="67"/>
        <v>37.25</v>
      </c>
      <c r="H375" s="17">
        <f>C375*G375/200+E375</f>
        <v>1850</v>
      </c>
      <c r="I375" s="19"/>
    </row>
    <row r="376" spans="1:9" hidden="1">
      <c r="A376" s="1" t="s">
        <v>49</v>
      </c>
      <c r="B376" s="15">
        <v>36251</v>
      </c>
      <c r="C376" s="16">
        <v>10000</v>
      </c>
      <c r="D376" s="35">
        <v>1302.5</v>
      </c>
      <c r="E376" s="18">
        <f t="shared" si="66"/>
        <v>-12.5</v>
      </c>
      <c r="F376" s="35">
        <f>+Sheet2!D$9</f>
        <v>1340.25</v>
      </c>
      <c r="G376" s="17">
        <f t="shared" si="67"/>
        <v>37.75</v>
      </c>
      <c r="H376" s="17">
        <f>C376*G376/200+E376</f>
        <v>1875</v>
      </c>
      <c r="I376" s="19"/>
    </row>
    <row r="377" spans="1:9">
      <c r="A377" s="1" t="s">
        <v>49</v>
      </c>
      <c r="B377" s="15">
        <v>36256</v>
      </c>
      <c r="C377" s="16">
        <v>-20000</v>
      </c>
      <c r="D377" s="35">
        <v>1325.5</v>
      </c>
      <c r="E377" s="18">
        <f t="shared" si="66"/>
        <v>-25</v>
      </c>
      <c r="F377" s="35">
        <f>+Sheet2!D$9</f>
        <v>1340.25</v>
      </c>
      <c r="G377" s="17">
        <f t="shared" si="67"/>
        <v>-14.75</v>
      </c>
      <c r="H377" s="17">
        <f>-C377*G377/200+E377</f>
        <v>-1500</v>
      </c>
      <c r="I377" s="19"/>
    </row>
    <row r="378" spans="1:9">
      <c r="A378" s="1" t="s">
        <v>49</v>
      </c>
      <c r="B378" s="15">
        <v>36256</v>
      </c>
      <c r="C378" s="16">
        <v>20000</v>
      </c>
      <c r="D378" s="35">
        <v>1326.75</v>
      </c>
      <c r="E378" s="18">
        <f t="shared" si="66"/>
        <v>-25</v>
      </c>
      <c r="F378" s="35">
        <f>+Sheet2!D$9</f>
        <v>1340.25</v>
      </c>
      <c r="G378" s="17">
        <f t="shared" si="67"/>
        <v>13.5</v>
      </c>
      <c r="H378" s="17">
        <f>C378*G378/200+E378</f>
        <v>1325</v>
      </c>
      <c r="I378" s="19"/>
    </row>
    <row r="379" spans="1:9">
      <c r="A379" s="1" t="s">
        <v>49</v>
      </c>
      <c r="B379" s="15">
        <v>36256</v>
      </c>
      <c r="C379" s="16">
        <v>20000</v>
      </c>
      <c r="D379" s="35">
        <v>1330.75</v>
      </c>
      <c r="E379" s="18">
        <f t="shared" si="66"/>
        <v>-25</v>
      </c>
      <c r="F379" s="35">
        <f>+Sheet2!D$9</f>
        <v>1340.25</v>
      </c>
      <c r="G379" s="17">
        <f t="shared" si="67"/>
        <v>9.5</v>
      </c>
      <c r="H379" s="17">
        <f>C379*G379/200+E379</f>
        <v>925</v>
      </c>
      <c r="I379" s="19"/>
    </row>
    <row r="380" spans="1:9">
      <c r="A380" s="1" t="s">
        <v>49</v>
      </c>
      <c r="B380" s="15">
        <v>36256</v>
      </c>
      <c r="C380" s="16">
        <v>-20000</v>
      </c>
      <c r="D380" s="35">
        <v>1330</v>
      </c>
      <c r="E380" s="18">
        <f t="shared" si="66"/>
        <v>-25</v>
      </c>
      <c r="F380" s="35">
        <f>+Sheet2!D$9</f>
        <v>1340.25</v>
      </c>
      <c r="G380" s="17">
        <f t="shared" si="67"/>
        <v>-10.25</v>
      </c>
      <c r="H380" s="17">
        <f>-C380*G380/200+E380</f>
        <v>-1050</v>
      </c>
      <c r="I380" s="19"/>
    </row>
    <row r="381" spans="1:9">
      <c r="A381" s="1" t="s">
        <v>49</v>
      </c>
      <c r="B381" s="15">
        <v>36257</v>
      </c>
      <c r="C381" s="16">
        <v>-20000</v>
      </c>
      <c r="D381" s="35">
        <v>1338.5</v>
      </c>
      <c r="E381" s="18">
        <f t="shared" ref="E381:E388" si="68">IF(C381&gt;0,-C381/10000*12.5,C381/10000*12.5)</f>
        <v>-25</v>
      </c>
      <c r="F381" s="35">
        <f>+Sheet2!D$9</f>
        <v>1340.25</v>
      </c>
      <c r="G381" s="17">
        <f t="shared" ref="G381:G388" si="69">IF(C381&gt;0,F381-D381,D381-F381)</f>
        <v>-1.75</v>
      </c>
      <c r="H381" s="17">
        <f>-C381*G381/200+E381</f>
        <v>-200</v>
      </c>
      <c r="I381" s="19"/>
    </row>
    <row r="382" spans="1:9">
      <c r="A382" s="1" t="s">
        <v>49</v>
      </c>
      <c r="B382" s="15">
        <v>36256</v>
      </c>
      <c r="C382" s="16">
        <v>20000</v>
      </c>
      <c r="D382" s="35">
        <v>1338.5</v>
      </c>
      <c r="E382" s="18">
        <f t="shared" si="68"/>
        <v>-25</v>
      </c>
      <c r="F382" s="35">
        <f>+Sheet2!D$9</f>
        <v>1340.25</v>
      </c>
      <c r="G382" s="17">
        <f t="shared" si="69"/>
        <v>1.75</v>
      </c>
      <c r="H382" s="17">
        <f>C382*G382/200+E382</f>
        <v>150</v>
      </c>
      <c r="I382" s="19"/>
    </row>
    <row r="383" spans="1:9">
      <c r="A383" s="1" t="s">
        <v>49</v>
      </c>
      <c r="B383" s="15">
        <v>36259</v>
      </c>
      <c r="C383" s="16">
        <v>-20000</v>
      </c>
      <c r="D383" s="35">
        <v>1350.75</v>
      </c>
      <c r="E383" s="18">
        <f t="shared" si="68"/>
        <v>-25</v>
      </c>
      <c r="F383" s="35">
        <f>+Sheet2!D$9</f>
        <v>1340.25</v>
      </c>
      <c r="G383" s="17">
        <f t="shared" si="69"/>
        <v>10.5</v>
      </c>
      <c r="H383" s="17">
        <f>-C383*G383/200+E383</f>
        <v>1025</v>
      </c>
      <c r="I383" s="19"/>
    </row>
    <row r="384" spans="1:9">
      <c r="A384" s="1" t="s">
        <v>49</v>
      </c>
      <c r="B384" s="15">
        <v>36259</v>
      </c>
      <c r="C384" s="16">
        <v>20000</v>
      </c>
      <c r="D384" s="35">
        <v>1357.5</v>
      </c>
      <c r="E384" s="18">
        <f t="shared" si="68"/>
        <v>-25</v>
      </c>
      <c r="F384" s="35">
        <f>+Sheet2!D$9</f>
        <v>1340.25</v>
      </c>
      <c r="G384" s="17">
        <f t="shared" si="69"/>
        <v>-17.25</v>
      </c>
      <c r="H384" s="17">
        <f>C384*G384/200+E384</f>
        <v>-1750</v>
      </c>
      <c r="I384" s="19"/>
    </row>
    <row r="385" spans="1:11">
      <c r="A385" s="1" t="s">
        <v>49</v>
      </c>
      <c r="B385" s="15">
        <v>36269</v>
      </c>
      <c r="C385" s="16">
        <v>-20000</v>
      </c>
      <c r="D385" s="35">
        <v>1320</v>
      </c>
      <c r="E385" s="18">
        <f t="shared" si="68"/>
        <v>-25</v>
      </c>
      <c r="F385" s="35">
        <f>+Sheet2!D$9</f>
        <v>1340.25</v>
      </c>
      <c r="G385" s="17">
        <f t="shared" si="69"/>
        <v>-20.25</v>
      </c>
      <c r="H385" s="17">
        <f>-C385*G385/200+E385</f>
        <v>-2050</v>
      </c>
      <c r="I385" s="19"/>
    </row>
    <row r="386" spans="1:11">
      <c r="A386" s="1" t="s">
        <v>49</v>
      </c>
      <c r="B386" s="15">
        <v>36269</v>
      </c>
      <c r="C386" s="16">
        <v>-20000</v>
      </c>
      <c r="D386" s="35">
        <v>1313.75</v>
      </c>
      <c r="E386" s="18">
        <f t="shared" si="68"/>
        <v>-25</v>
      </c>
      <c r="F386" s="35">
        <f>+Sheet2!D$9</f>
        <v>1340.25</v>
      </c>
      <c r="G386" s="17">
        <f t="shared" si="69"/>
        <v>-26.5</v>
      </c>
      <c r="H386" s="17">
        <f>-C386*G386/200+E386</f>
        <v>-2675</v>
      </c>
      <c r="I386" s="19"/>
    </row>
    <row r="387" spans="1:11">
      <c r="A387" s="1" t="s">
        <v>49</v>
      </c>
      <c r="B387" s="15">
        <v>36269</v>
      </c>
      <c r="C387" s="16">
        <v>20000</v>
      </c>
      <c r="D387" s="35">
        <v>1300</v>
      </c>
      <c r="E387" s="18">
        <f t="shared" si="68"/>
        <v>-25</v>
      </c>
      <c r="F387" s="35">
        <f>+Sheet2!D$9</f>
        <v>1340.25</v>
      </c>
      <c r="G387" s="17">
        <f t="shared" si="69"/>
        <v>40.25</v>
      </c>
      <c r="H387" s="17">
        <f>C387*G387/200+E387</f>
        <v>4000</v>
      </c>
      <c r="I387" s="19"/>
    </row>
    <row r="388" spans="1:11">
      <c r="A388" s="1" t="s">
        <v>49</v>
      </c>
      <c r="B388" s="15">
        <v>36270</v>
      </c>
      <c r="C388" s="16">
        <v>-20000</v>
      </c>
      <c r="D388" s="35">
        <v>1300.75</v>
      </c>
      <c r="E388" s="18">
        <f t="shared" si="68"/>
        <v>-25</v>
      </c>
      <c r="F388" s="35">
        <f>+Sheet2!D$9</f>
        <v>1340.25</v>
      </c>
      <c r="G388" s="17">
        <f t="shared" si="69"/>
        <v>-39.5</v>
      </c>
      <c r="H388" s="17">
        <f>-C388*G388/200+E388</f>
        <v>-3975</v>
      </c>
      <c r="I388" s="19"/>
    </row>
    <row r="389" spans="1:11">
      <c r="A389" s="1" t="s">
        <v>49</v>
      </c>
      <c r="B389" s="15">
        <v>36270</v>
      </c>
      <c r="C389" s="16">
        <v>-20000</v>
      </c>
      <c r="D389" s="35">
        <v>1310.25</v>
      </c>
      <c r="E389" s="18">
        <f t="shared" ref="E389:E397" si="70">IF(C389&gt;0,-C389/10000*12.5,C389/10000*12.5)</f>
        <v>-25</v>
      </c>
      <c r="F389" s="35">
        <f>+Sheet2!D$9</f>
        <v>1340.25</v>
      </c>
      <c r="G389" s="17">
        <f t="shared" ref="G389:G397" si="71">IF(C389&gt;0,F389-D389,D389-F389)</f>
        <v>-30</v>
      </c>
      <c r="H389" s="17">
        <f>-C389*G389/200+E389</f>
        <v>-3025</v>
      </c>
      <c r="I389" s="19"/>
    </row>
    <row r="390" spans="1:11">
      <c r="A390" s="1" t="s">
        <v>49</v>
      </c>
      <c r="B390" s="15">
        <v>36270</v>
      </c>
      <c r="C390" s="16">
        <v>20000</v>
      </c>
      <c r="D390" s="35">
        <v>1311.75</v>
      </c>
      <c r="E390" s="18">
        <f t="shared" si="70"/>
        <v>-25</v>
      </c>
      <c r="F390" s="35">
        <f>+Sheet2!D$9</f>
        <v>1340.25</v>
      </c>
      <c r="G390" s="17">
        <f t="shared" si="71"/>
        <v>28.5</v>
      </c>
      <c r="H390" s="17">
        <f>C390*G390/200+E390</f>
        <v>2825</v>
      </c>
      <c r="I390" s="19"/>
    </row>
    <row r="391" spans="1:11">
      <c r="A391" s="1" t="s">
        <v>49</v>
      </c>
      <c r="B391" s="15">
        <v>36270</v>
      </c>
      <c r="C391" s="16">
        <v>20000</v>
      </c>
      <c r="D391" s="35">
        <v>1316.75</v>
      </c>
      <c r="E391" s="18">
        <f t="shared" si="70"/>
        <v>-25</v>
      </c>
      <c r="F391" s="35">
        <f>+Sheet2!D$9</f>
        <v>1340.25</v>
      </c>
      <c r="G391" s="17">
        <f t="shared" si="71"/>
        <v>23.5</v>
      </c>
      <c r="H391" s="17">
        <f>C391*G391/200+E391</f>
        <v>2325</v>
      </c>
      <c r="I391" s="19"/>
    </row>
    <row r="392" spans="1:11">
      <c r="A392" s="1" t="s">
        <v>49</v>
      </c>
      <c r="B392" s="15">
        <v>36270</v>
      </c>
      <c r="C392" s="16">
        <v>20000</v>
      </c>
      <c r="D392" s="35">
        <v>1315.75</v>
      </c>
      <c r="E392" s="18">
        <f t="shared" si="70"/>
        <v>-25</v>
      </c>
      <c r="F392" s="35">
        <f>+Sheet2!D$9</f>
        <v>1340.25</v>
      </c>
      <c r="G392" s="17">
        <f t="shared" si="71"/>
        <v>24.5</v>
      </c>
      <c r="H392" s="17">
        <f>C392*G392/200+E392</f>
        <v>2425</v>
      </c>
      <c r="I392" s="19"/>
    </row>
    <row r="393" spans="1:11">
      <c r="A393" s="1" t="s">
        <v>49</v>
      </c>
      <c r="B393" s="15">
        <v>36280</v>
      </c>
      <c r="C393" s="16">
        <v>-20000</v>
      </c>
      <c r="D393" s="35">
        <v>1334.75</v>
      </c>
      <c r="E393" s="18">
        <f t="shared" si="70"/>
        <v>-25</v>
      </c>
      <c r="F393" s="35">
        <f>+Sheet2!D$9</f>
        <v>1340.25</v>
      </c>
      <c r="G393" s="17">
        <f t="shared" si="71"/>
        <v>-5.5</v>
      </c>
      <c r="H393" s="17">
        <f>-C393*G393/200+E393</f>
        <v>-575</v>
      </c>
      <c r="I393" s="19"/>
    </row>
    <row r="394" spans="1:11">
      <c r="A394" s="1" t="s">
        <v>49</v>
      </c>
      <c r="B394" s="15">
        <v>36283</v>
      </c>
      <c r="C394" s="16">
        <v>20000</v>
      </c>
      <c r="D394" s="35">
        <v>1339.25</v>
      </c>
      <c r="E394" s="18">
        <f t="shared" si="70"/>
        <v>-25</v>
      </c>
      <c r="F394" s="35">
        <f>+Sheet2!D$9</f>
        <v>1340.25</v>
      </c>
      <c r="G394" s="17">
        <f t="shared" si="71"/>
        <v>1</v>
      </c>
      <c r="H394" s="17">
        <f>C394*G394/200+E394</f>
        <v>75</v>
      </c>
      <c r="I394" s="19"/>
    </row>
    <row r="395" spans="1:11">
      <c r="A395" s="1" t="s">
        <v>49</v>
      </c>
      <c r="B395" s="15">
        <v>36283</v>
      </c>
      <c r="C395" s="16">
        <v>20000</v>
      </c>
      <c r="D395" s="35">
        <v>1344</v>
      </c>
      <c r="E395" s="18">
        <f t="shared" si="70"/>
        <v>-25</v>
      </c>
      <c r="F395" s="35">
        <f>+Sheet2!D$9</f>
        <v>1340.25</v>
      </c>
      <c r="G395" s="17">
        <f t="shared" si="71"/>
        <v>-3.75</v>
      </c>
      <c r="H395" s="17">
        <f>C395*G395/200+E395</f>
        <v>-400</v>
      </c>
      <c r="I395" s="19"/>
    </row>
    <row r="396" spans="1:11">
      <c r="A396" s="1" t="s">
        <v>49</v>
      </c>
      <c r="B396" s="15">
        <v>36283</v>
      </c>
      <c r="C396" s="16">
        <v>20000</v>
      </c>
      <c r="D396" s="35">
        <v>1347</v>
      </c>
      <c r="E396" s="18">
        <f t="shared" si="70"/>
        <v>-25</v>
      </c>
      <c r="F396" s="35">
        <f>+Sheet2!D$9</f>
        <v>1340.25</v>
      </c>
      <c r="G396" s="17">
        <f t="shared" si="71"/>
        <v>-6.75</v>
      </c>
      <c r="H396" s="17">
        <f>C396*G396/200+E396</f>
        <v>-700</v>
      </c>
      <c r="I396" s="19"/>
    </row>
    <row r="397" spans="1:11">
      <c r="A397" s="1" t="s">
        <v>49</v>
      </c>
      <c r="B397" s="15">
        <v>36283</v>
      </c>
      <c r="C397" s="16">
        <v>-40000</v>
      </c>
      <c r="D397" s="35">
        <v>1347</v>
      </c>
      <c r="E397" s="18">
        <f t="shared" si="70"/>
        <v>-50</v>
      </c>
      <c r="F397" s="35">
        <f>+Sheet2!D$9</f>
        <v>1340.25</v>
      </c>
      <c r="G397" s="17">
        <f t="shared" si="71"/>
        <v>6.75</v>
      </c>
      <c r="H397" s="17">
        <f>-C397*G397/200+E397</f>
        <v>1300</v>
      </c>
      <c r="I397" s="19"/>
    </row>
    <row r="398" spans="1:11">
      <c r="A398" s="1" t="s">
        <v>49</v>
      </c>
      <c r="B398" s="15">
        <v>36291</v>
      </c>
      <c r="C398" s="16">
        <v>-20000</v>
      </c>
      <c r="D398" s="35">
        <v>1352</v>
      </c>
      <c r="E398" s="18">
        <f>IF(C398&gt;0,-C398/10000*12.5,C398/10000*12.5)</f>
        <v>-25</v>
      </c>
      <c r="F398" s="35">
        <f>+Sheet2!D$9</f>
        <v>1340.25</v>
      </c>
      <c r="G398" s="17">
        <f>IF(C398&gt;0,F398-D398,D398-F398)</f>
        <v>11.75</v>
      </c>
      <c r="H398" s="17">
        <f>-C398*G398/200+E398</f>
        <v>1150</v>
      </c>
      <c r="I398" s="19"/>
    </row>
    <row r="399" spans="1:11">
      <c r="A399" s="1" t="s">
        <v>49</v>
      </c>
      <c r="B399" s="15">
        <v>36291</v>
      </c>
      <c r="C399" s="16">
        <v>20000</v>
      </c>
      <c r="D399" s="35">
        <v>1360</v>
      </c>
      <c r="E399" s="18">
        <f>IF(C399&gt;0,-C399/10000*12.5,C399/10000*12.5)</f>
        <v>-25</v>
      </c>
      <c r="F399" s="35">
        <f>+Sheet2!D$9</f>
        <v>1340.25</v>
      </c>
      <c r="G399" s="17">
        <f>IF(C399&gt;0,F399-D399,D399-F399)</f>
        <v>-19.75</v>
      </c>
      <c r="H399" s="17">
        <f>C399*G399/200+E399</f>
        <v>-2000</v>
      </c>
      <c r="I399" s="19"/>
    </row>
    <row r="400" spans="1:11">
      <c r="J400" s="33">
        <f>SUM(H229:H400)</f>
        <v>-8150</v>
      </c>
      <c r="K400" s="32" t="s">
        <v>24</v>
      </c>
    </row>
    <row r="401" spans="6:11">
      <c r="J401" s="40">
        <f>SUM(C229:C400)/10000</f>
        <v>0</v>
      </c>
      <c r="K401" s="32" t="s">
        <v>45</v>
      </c>
    </row>
    <row r="405" spans="6:11">
      <c r="H405" s="26">
        <f>+H407-H408</f>
        <v>-4842.4999999999591</v>
      </c>
    </row>
    <row r="406" spans="6:11">
      <c r="G406" s="31" t="s">
        <v>20</v>
      </c>
      <c r="H406" s="34">
        <f>SUM(H7:H402)</f>
        <v>-15969.549999999959</v>
      </c>
    </row>
    <row r="407" spans="6:11">
      <c r="F407" s="31" t="s">
        <v>44</v>
      </c>
      <c r="G407" s="31"/>
      <c r="H407" s="34">
        <f>15000+H406+2481.55</f>
        <v>1512.0000000000409</v>
      </c>
      <c r="I407" s="26"/>
    </row>
    <row r="408" spans="6:11">
      <c r="H408" s="26">
        <v>6354.5</v>
      </c>
    </row>
  </sheetData>
  <pageMargins left="0.75" right="0.75" top="1" bottom="1" header="0.5" footer="0.5"/>
  <pageSetup scale="3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X15"/>
  <sheetViews>
    <sheetView tabSelected="1" zoomScaleNormal="100" workbookViewId="0"/>
  </sheetViews>
  <sheetFormatPr defaultRowHeight="12.75"/>
  <cols>
    <col min="1" max="4" width="10.7109375" style="44" customWidth="1"/>
    <col min="5" max="6" width="10.7109375" style="44" hidden="1" customWidth="1"/>
    <col min="7" max="7" width="10.7109375" style="44" customWidth="1"/>
    <col min="8" max="8" width="10.7109375" style="44" hidden="1" customWidth="1"/>
    <col min="9" max="9" width="10.7109375" style="44" customWidth="1"/>
    <col min="10" max="13" width="10.7109375" style="44" hidden="1" customWidth="1"/>
    <col min="14" max="16" width="10.7109375" style="44" customWidth="1"/>
    <col min="17" max="16384" width="9.140625" style="44"/>
  </cols>
  <sheetData>
    <row r="1" spans="1:24">
      <c r="A1" s="66">
        <f>Sheet1!$H$405</f>
        <v>-4842.4999999999591</v>
      </c>
      <c r="D1" s="50"/>
    </row>
    <row r="2" spans="1:24" s="45" customFormat="1">
      <c r="A2" s="67">
        <f>+O2</f>
        <v>1512.0000000000409</v>
      </c>
      <c r="B2" s="45">
        <f>IF(B3&lt;0,B3*1080,-B3*1080)</f>
        <v>0</v>
      </c>
      <c r="C2" s="45">
        <f>IF(C3&lt;0,C3*2700,-C3*2700)</f>
        <v>0</v>
      </c>
      <c r="D2" s="45">
        <f>IF(D3&lt;0,D3*4125,-D3*4125)</f>
        <v>0</v>
      </c>
      <c r="E2" s="45">
        <f>IF(E3&lt;0,E3*1000,-E3*1000)</f>
        <v>0</v>
      </c>
      <c r="F2" s="45">
        <f>IF(F3&lt;0,F3*1000,-F3*1000)</f>
        <v>0</v>
      </c>
      <c r="G2" s="45">
        <f>IF(G3&lt;0,G3*405,-G3*405)</f>
        <v>0</v>
      </c>
      <c r="H2" s="45">
        <f>IF(H3&lt;0,H3*540,-H3*540)</f>
        <v>0</v>
      </c>
      <c r="I2" s="45">
        <f>IF(I3&lt;0,I3*777,-I3*777)</f>
        <v>0</v>
      </c>
      <c r="J2" s="45">
        <f>IF(J3&lt;0,J3*560,-J3*560)</f>
        <v>0</v>
      </c>
      <c r="K2" s="45">
        <f>IF(K3&lt;0,K3*560,-K3*560)</f>
        <v>0</v>
      </c>
      <c r="L2" s="45">
        <f>IF(L3&lt;0,L3*1114,-L3*1114)</f>
        <v>0</v>
      </c>
      <c r="M2" s="45">
        <f>IF(M3&lt;0,M3*1620,-M3*1620)</f>
        <v>0</v>
      </c>
      <c r="N2" s="45">
        <f>SUM(B2:M2)</f>
        <v>0</v>
      </c>
      <c r="O2" s="45">
        <f>+Sheet1!H407</f>
        <v>1512.0000000000409</v>
      </c>
      <c r="P2" s="45">
        <f>+O2+N2</f>
        <v>1512.0000000000409</v>
      </c>
    </row>
    <row r="3" spans="1:24">
      <c r="A3" s="68"/>
      <c r="B3" s="45">
        <f>+Sheet1!J28</f>
        <v>0</v>
      </c>
      <c r="C3" s="45">
        <f>+Sheet1!J228</f>
        <v>0</v>
      </c>
      <c r="D3" s="45">
        <f>+Sheet1!J401</f>
        <v>0</v>
      </c>
      <c r="E3" s="45">
        <f>+Sheet1!J103</f>
        <v>0</v>
      </c>
      <c r="F3" s="45">
        <f>+Sheet1!J108</f>
        <v>0</v>
      </c>
      <c r="G3" s="45">
        <f>+Sheet1!J68</f>
        <v>0</v>
      </c>
      <c r="H3" s="45">
        <f>+Sheet1!J33</f>
        <v>0</v>
      </c>
      <c r="I3" s="45">
        <f>+Sheet1!J152</f>
        <v>0</v>
      </c>
      <c r="J3" s="45">
        <f>+Sheet1!J85</f>
        <v>0</v>
      </c>
      <c r="K3" s="45">
        <v>0</v>
      </c>
      <c r="L3" s="45">
        <f>+Sheet1!J164</f>
        <v>0</v>
      </c>
      <c r="M3" s="45">
        <f>+Sheet1!J157</f>
        <v>0</v>
      </c>
      <c r="T3" s="81"/>
      <c r="U3" s="82" t="s">
        <v>68</v>
      </c>
      <c r="V3" s="83"/>
      <c r="W3" s="81"/>
      <c r="X3" s="85" t="s">
        <v>69</v>
      </c>
    </row>
    <row r="4" spans="1:24">
      <c r="B4" s="53" t="s">
        <v>71</v>
      </c>
      <c r="C4" s="53" t="s">
        <v>46</v>
      </c>
      <c r="D4" s="53" t="s">
        <v>53</v>
      </c>
      <c r="E4" s="53" t="s">
        <v>47</v>
      </c>
      <c r="F4" s="53" t="s">
        <v>50</v>
      </c>
      <c r="G4" s="53" t="s">
        <v>72</v>
      </c>
      <c r="H4" s="53" t="s">
        <v>52</v>
      </c>
      <c r="I4" s="53" t="s">
        <v>54</v>
      </c>
      <c r="J4" s="53" t="s">
        <v>55</v>
      </c>
      <c r="K4" s="53" t="s">
        <v>59</v>
      </c>
      <c r="L4" s="53" t="s">
        <v>60</v>
      </c>
      <c r="M4" s="53" t="s">
        <v>61</v>
      </c>
      <c r="P4" s="53" t="s">
        <v>73</v>
      </c>
      <c r="Q4" s="53" t="s">
        <v>74</v>
      </c>
      <c r="R4" s="53" t="s">
        <v>79</v>
      </c>
      <c r="T4" s="76" t="s">
        <v>2</v>
      </c>
      <c r="U4" s="77">
        <v>231</v>
      </c>
      <c r="V4" s="83"/>
      <c r="W4" s="76" t="s">
        <v>2</v>
      </c>
      <c r="X4" s="77">
        <v>2.39</v>
      </c>
    </row>
    <row r="5" spans="1:24">
      <c r="A5" s="46" t="s">
        <v>0</v>
      </c>
      <c r="B5" s="55">
        <f>[1]!'SN9.CB CLOSE'</f>
        <v>469.25</v>
      </c>
      <c r="C5" s="47">
        <f>[1]!'USM9.CB CLOSE'</f>
        <v>117.46875</v>
      </c>
      <c r="D5" s="48">
        <f>[1]!'ES.1.IM CLOSE'</f>
        <v>1341</v>
      </c>
      <c r="E5" s="48" t="str">
        <f>[1]!'CTK9.NC CLOSE'</f>
        <v>+NA+</v>
      </c>
      <c r="F5" s="48">
        <f>[1]!'FCK9.CM CLOSE'</f>
        <v>70.775000000000006</v>
      </c>
      <c r="G5" s="48">
        <f>[1]!'C.2.CB CLOSE'</f>
        <v>221.75</v>
      </c>
      <c r="H5" s="48">
        <f>[1]!'W.1.CB CLOSE'</f>
        <v>253</v>
      </c>
      <c r="I5" s="59">
        <f>[1]!'LC.1.CM CLOSE'</f>
        <v>61.9</v>
      </c>
      <c r="J5" s="48">
        <f>[1]!'SB11.1.CS CLOSE'</f>
        <v>4.9000000000000004</v>
      </c>
      <c r="K5" s="48">
        <f>[1]!'SF.1.IM CLOSE'*100</f>
        <v>66.73</v>
      </c>
      <c r="L5" s="70">
        <f>[1]!'DMM9.IM CLOSE'</f>
        <v>0.54649999999999999</v>
      </c>
      <c r="M5" s="59">
        <f>[1]!'SI.1.CO CLOSE'</f>
        <v>5.3639999999999999</v>
      </c>
      <c r="O5" s="54"/>
      <c r="P5" s="59">
        <f>[1]!'NGM9.NY CLOSE'</f>
        <v>2.343</v>
      </c>
      <c r="Q5" s="59">
        <f>[1]!'NGN9.NY CLOSE'</f>
        <v>2.3719999999999999</v>
      </c>
      <c r="R5" s="59">
        <f>[1]!'NGQ9.NY CLOSE'</f>
        <v>2.39</v>
      </c>
      <c r="T5" s="76" t="s">
        <v>3</v>
      </c>
      <c r="U5" s="77">
        <v>217</v>
      </c>
      <c r="V5" s="83"/>
      <c r="W5" s="76" t="s">
        <v>3</v>
      </c>
      <c r="X5" s="77">
        <v>2.2050000000000001</v>
      </c>
    </row>
    <row r="6" spans="1:24">
      <c r="A6" s="46" t="s">
        <v>1</v>
      </c>
      <c r="B6" s="56">
        <f>[1]!'SN9.CB OPEN'</f>
        <v>471</v>
      </c>
      <c r="C6" s="49">
        <f>[1]!'USM9.CB OPEN'</f>
        <v>117.25</v>
      </c>
      <c r="D6" s="48">
        <f>[1]!'ES.1.IM OPEN'</f>
        <v>1341.25</v>
      </c>
      <c r="E6" s="48" t="str">
        <f>[1]!'CTK9.NC OPEN'</f>
        <v>+NA+</v>
      </c>
      <c r="F6" s="48">
        <f>[1]!'FCK9.CM OPEN'</f>
        <v>70.974999999999994</v>
      </c>
      <c r="G6" s="48">
        <f>[1]!'C.2.CB OPEN'</f>
        <v>222</v>
      </c>
      <c r="H6" s="48">
        <f>[1]!'WK9.CB OPEN'</f>
        <v>253</v>
      </c>
      <c r="I6" s="59">
        <f>[1]!'LC.1.CM OPEN'</f>
        <v>62.125</v>
      </c>
      <c r="J6" s="48">
        <f>[1]!'SB11.1.CS OPEN'</f>
        <v>4.91</v>
      </c>
      <c r="K6" s="48">
        <f>[1]!'SF.1.IM OPEN'*100</f>
        <v>66.75</v>
      </c>
      <c r="L6" s="70">
        <f>[1]!'DMM9.IM OPEN'</f>
        <v>0.5464</v>
      </c>
      <c r="M6" s="59">
        <f>[1]!'SI.1.CO OPEN'</f>
        <v>0</v>
      </c>
      <c r="O6" s="54"/>
      <c r="P6" s="59">
        <f>[1]!'NGM9.NY OPEN'</f>
        <v>2.34</v>
      </c>
      <c r="Q6" s="59">
        <f>[1]!'NGN9.NY OPEN'</f>
        <v>2.36</v>
      </c>
      <c r="R6" s="59">
        <f>[1]!'NGQ9.NY OPEN'</f>
        <v>2.38</v>
      </c>
      <c r="T6" s="76" t="s">
        <v>70</v>
      </c>
      <c r="U6" s="77">
        <f>+U4-U5</f>
        <v>14</v>
      </c>
      <c r="V6" s="84"/>
      <c r="W6" s="76" t="s">
        <v>70</v>
      </c>
      <c r="X6" s="77">
        <f>+X4-X5</f>
        <v>0.18500000000000005</v>
      </c>
    </row>
    <row r="7" spans="1:24">
      <c r="A7" s="46" t="s">
        <v>2</v>
      </c>
      <c r="B7" s="55">
        <f>[1]!'SN9.CB HIGH'</f>
        <v>473</v>
      </c>
      <c r="C7" s="47">
        <f>[1]!'USM9.CB HIGH'</f>
        <v>117.71875</v>
      </c>
      <c r="D7" s="48">
        <f>[1]!'ES.1.IM HIGH'</f>
        <v>1341.25</v>
      </c>
      <c r="E7" s="48" t="str">
        <f>[1]!'CTK9.NC HIGH'</f>
        <v>+NA+</v>
      </c>
      <c r="F7" s="48">
        <f>[1]!'FCK9.CM HIGH'</f>
        <v>71.099999999999994</v>
      </c>
      <c r="G7" s="48">
        <f>[1]!'C.2.CB HIGH'</f>
        <v>225</v>
      </c>
      <c r="H7" s="48">
        <f>[1]!'WK9.CB HIGH'</f>
        <v>256.5</v>
      </c>
      <c r="I7" s="59">
        <f>[1]!'LC.1.CM HIGH'</f>
        <v>62.3</v>
      </c>
      <c r="J7" s="48">
        <f>[1]!'SB11.1.CS HIGH'</f>
        <v>5.05</v>
      </c>
      <c r="K7" s="48">
        <f>[1]!'SF.1.IM HIGH'*100</f>
        <v>66.75</v>
      </c>
      <c r="L7" s="70">
        <f>[1]!'DMM9.IM HIGH'</f>
        <v>0.54659999999999997</v>
      </c>
      <c r="M7" s="59">
        <f>[1]!'SI.1.CO HIGH'</f>
        <v>0</v>
      </c>
      <c r="P7" s="59">
        <f>[1]!'NGM9.NY HIGH'</f>
        <v>2.34</v>
      </c>
      <c r="Q7" s="59">
        <f>[1]!'NGN9.NY HIGH'</f>
        <v>2.3639999999999999</v>
      </c>
      <c r="R7" s="59">
        <f>[1]!'NGQ9.NY HIGH'</f>
        <v>2.3820000000000001</v>
      </c>
      <c r="T7" s="76"/>
      <c r="U7" s="77"/>
      <c r="V7" s="83"/>
      <c r="W7" s="76"/>
      <c r="X7" s="77"/>
    </row>
    <row r="8" spans="1:24">
      <c r="A8" s="46" t="s">
        <v>3</v>
      </c>
      <c r="B8" s="55">
        <f>[1]!'SN9.CB LOW'</f>
        <v>469</v>
      </c>
      <c r="C8" s="47">
        <f>[1]!'USM9.CB LOW'</f>
        <v>117.21875</v>
      </c>
      <c r="D8" s="48">
        <f>[1]!'ES.1.IM LOW'</f>
        <v>1339</v>
      </c>
      <c r="E8" s="48" t="str">
        <f>[1]!'CTK9.NC LOW'</f>
        <v>+NA+</v>
      </c>
      <c r="F8" s="48">
        <f>[1]!'FCK9.CM LOW'</f>
        <v>70.5</v>
      </c>
      <c r="G8" s="48">
        <f>[1]!'C.2.CB LOW'</f>
        <v>222</v>
      </c>
      <c r="H8" s="48">
        <f>[1]!'WK9.CB LOW'</f>
        <v>253</v>
      </c>
      <c r="I8" s="59">
        <f>[1]!'LC.1.CM LOW'</f>
        <v>61.825000000000003</v>
      </c>
      <c r="J8" s="48">
        <f>[1]!'SB11.1.CS LOW'</f>
        <v>4.6100000000000003</v>
      </c>
      <c r="K8" s="48">
        <f>[1]!'SF.1.IM LOW'*100</f>
        <v>66.73</v>
      </c>
      <c r="L8" s="70">
        <f>[1]!'DMM9.IM LOW'</f>
        <v>0.5464</v>
      </c>
      <c r="M8" s="59">
        <f>[1]!'SI.1.CO LOW'</f>
        <v>0</v>
      </c>
      <c r="P8" s="59">
        <f>[1]!'NGM9.NY LOW'</f>
        <v>2.3149999999999999</v>
      </c>
      <c r="Q8" s="59">
        <f>[1]!'NGN9.NY LOW'</f>
        <v>2.3410000000000002</v>
      </c>
      <c r="R8" s="59">
        <f>[1]!'NGQ9.NY LOW'</f>
        <v>2.375</v>
      </c>
      <c r="T8" s="78">
        <v>0.23599999999999999</v>
      </c>
      <c r="U8" s="77">
        <f>(U$6*T8)+U$5</f>
        <v>220.304</v>
      </c>
      <c r="V8" s="83"/>
      <c r="W8" s="78">
        <v>0.23599999999999999</v>
      </c>
      <c r="X8" s="77">
        <f>+X$4-(X$6*W8)</f>
        <v>2.3463400000000001</v>
      </c>
    </row>
    <row r="9" spans="1:24">
      <c r="A9" s="46" t="s">
        <v>17</v>
      </c>
      <c r="B9" s="57">
        <f>[1]!'SN9.CB LAST'</f>
        <v>470.75</v>
      </c>
      <c r="C9" s="43">
        <f>[1]!'USM9.CB LAST'</f>
        <v>117.53125</v>
      </c>
      <c r="D9" s="94">
        <f>[1]!'ES.1.IM LAST'</f>
        <v>1340.25</v>
      </c>
      <c r="E9" s="42">
        <v>25</v>
      </c>
      <c r="F9" s="42">
        <v>25</v>
      </c>
      <c r="G9" s="57">
        <f>[1]!'C.2.CB LAST'</f>
        <v>223.75</v>
      </c>
      <c r="H9" s="42">
        <v>265</v>
      </c>
      <c r="I9" s="69">
        <f>[1]!'LC.1.CM LAST'</f>
        <v>62.15</v>
      </c>
      <c r="J9" s="42">
        <v>25</v>
      </c>
      <c r="K9" s="42">
        <v>25</v>
      </c>
      <c r="L9" s="71">
        <f>[1]!'DMM9.IM LAST'</f>
        <v>0.54649999999999999</v>
      </c>
      <c r="M9" s="60">
        <v>25</v>
      </c>
      <c r="N9" s="72"/>
      <c r="O9" s="86"/>
      <c r="P9" s="69">
        <f>[1]!'NGM9.NY LAST'</f>
        <v>2.33</v>
      </c>
      <c r="Q9" s="69">
        <f>[1]!'NGN9.NY LAST'</f>
        <v>2.3570000000000002</v>
      </c>
      <c r="R9" s="69">
        <f>[1]!'NGQ9.NY LAST'</f>
        <v>2.375</v>
      </c>
      <c r="T9" s="78">
        <v>0.38200000000000001</v>
      </c>
      <c r="U9" s="77">
        <f>(U$6*T9)+U$5</f>
        <v>222.34800000000001</v>
      </c>
      <c r="V9" s="83"/>
      <c r="W9" s="78">
        <v>0.38200000000000001</v>
      </c>
      <c r="X9" s="77">
        <f>+X$4-(X$6*W9)</f>
        <v>2.3193299999999999</v>
      </c>
    </row>
    <row r="10" spans="1:24">
      <c r="A10" s="46" t="s">
        <v>4</v>
      </c>
      <c r="B10" s="58">
        <f>[1]!'SN9.CB NET_CHNG'</f>
        <v>1.5</v>
      </c>
      <c r="C10" s="95">
        <f>[1]!'USM9.CB NET_CHNG'</f>
        <v>6.25E-2</v>
      </c>
      <c r="D10" s="50">
        <f>[1]!'ES.1.IM NET_CHNG'</f>
        <v>-0.75</v>
      </c>
      <c r="E10" s="48" t="str">
        <f>[1]!'CTK9.NC NET_CHNG'</f>
        <v>+NA+</v>
      </c>
      <c r="F10" s="48">
        <f>[1]!'FCK9.CM NET_CHNG'</f>
        <v>0.15</v>
      </c>
      <c r="G10" s="48">
        <f>[1]!'C.2.CB NET_CHNG'</f>
        <v>2</v>
      </c>
      <c r="H10" s="48">
        <f>[1]!'WK9.CB NET_CHNG'</f>
        <v>2.25</v>
      </c>
      <c r="I10" s="59">
        <f>[1]!'LC.1.CM NET_CHNG'</f>
        <v>0.25</v>
      </c>
      <c r="J10" s="48">
        <f>[1]!'SB11.1.CS NET_CHNG'</f>
        <v>-0.27</v>
      </c>
      <c r="K10" s="48">
        <f>[1]!'SF.1.IM NET_CHNG'*100</f>
        <v>0.01</v>
      </c>
      <c r="L10" s="70">
        <f>[1]!'DMM9.IM NET_CHNG'</f>
        <v>0</v>
      </c>
      <c r="M10" s="59">
        <f>[1]!'SI.1.CO NET_CHNG'</f>
        <v>0</v>
      </c>
      <c r="O10" s="73"/>
      <c r="P10" s="59">
        <f>[1]!'NGM9.NY NET_CHNG'</f>
        <v>-1.2999999999999999E-2</v>
      </c>
      <c r="Q10" s="59">
        <f>[1]!'NGN9.NY NET_CHNG'</f>
        <v>-1.4999999999999999E-2</v>
      </c>
      <c r="R10" s="59">
        <f>[1]!'NGQ9.NY NET_CHNG'</f>
        <v>-1.4999999999999999E-2</v>
      </c>
      <c r="T10" s="78">
        <v>0.5</v>
      </c>
      <c r="U10" s="77">
        <f>(U$6*T10)+U$5</f>
        <v>224</v>
      </c>
      <c r="V10" s="83"/>
      <c r="W10" s="78">
        <v>0.5</v>
      </c>
      <c r="X10" s="77">
        <f>+X$4-(X$6*W10)</f>
        <v>2.2975000000000003</v>
      </c>
    </row>
    <row r="11" spans="1:24">
      <c r="A11" s="45"/>
      <c r="B11" s="45"/>
      <c r="C11" s="54"/>
      <c r="D11" s="88"/>
      <c r="E11" s="45"/>
      <c r="F11" s="54"/>
      <c r="G11" s="45"/>
      <c r="H11" s="54"/>
      <c r="I11" s="45"/>
      <c r="L11" s="45"/>
      <c r="T11" s="78">
        <v>0.61799999999999999</v>
      </c>
      <c r="U11" s="77">
        <f>(U$6*T11)+U$5</f>
        <v>225.65199999999999</v>
      </c>
      <c r="V11" s="83"/>
      <c r="W11" s="78">
        <v>0.61799999999999999</v>
      </c>
      <c r="X11" s="77">
        <f>+X$4-(X$6*W11)</f>
        <v>2.2756700000000003</v>
      </c>
    </row>
    <row r="12" spans="1:24">
      <c r="B12" s="73"/>
      <c r="C12" s="90"/>
      <c r="D12" s="89"/>
      <c r="E12" s="65"/>
      <c r="G12" s="73"/>
      <c r="H12" s="89"/>
      <c r="I12" s="73"/>
      <c r="M12" s="51">
        <f>Sheet1!$H$405</f>
        <v>-4842.4999999999591</v>
      </c>
      <c r="T12" s="79">
        <v>0.76400000000000001</v>
      </c>
      <c r="U12" s="80">
        <f>(U$6*T12)+U$5</f>
        <v>227.696</v>
      </c>
      <c r="V12" s="83"/>
      <c r="W12" s="79">
        <v>0.76400000000000001</v>
      </c>
      <c r="X12" s="80">
        <f>+X$4-(X$6*W12)</f>
        <v>2.2486600000000001</v>
      </c>
    </row>
    <row r="13" spans="1:24">
      <c r="B13" s="91"/>
      <c r="C13" s="89"/>
      <c r="D13" s="89"/>
      <c r="G13" s="50"/>
      <c r="H13" s="89"/>
      <c r="I13" s="89"/>
      <c r="M13" s="64" t="str">
        <f>IF(L8&lt;54.95,"****"," ")</f>
        <v>****</v>
      </c>
    </row>
    <row r="14" spans="1:24">
      <c r="E14" s="52"/>
    </row>
    <row r="15" spans="1:24">
      <c r="D15" s="51"/>
    </row>
  </sheetData>
  <pageMargins left="0.75" right="0.75" top="1" bottom="1" header="0.5" footer="0.5"/>
  <pageSetup scale="49" orientation="portrait" horizontalDpi="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9:J43"/>
  <sheetViews>
    <sheetView workbookViewId="0"/>
  </sheetViews>
  <sheetFormatPr defaultRowHeight="12.75"/>
  <cols>
    <col min="1" max="16384" width="9.140625" style="38"/>
  </cols>
  <sheetData>
    <row r="9" spans="4:10">
      <c r="D9" s="36" t="s">
        <v>25</v>
      </c>
      <c r="E9" s="36">
        <v>300</v>
      </c>
      <c r="F9" s="37">
        <v>11.125</v>
      </c>
      <c r="G9" s="36">
        <f>+F9*E9</f>
        <v>3337.5</v>
      </c>
      <c r="H9" s="36">
        <f>-E9</f>
        <v>-300</v>
      </c>
      <c r="I9" s="37">
        <v>11.125</v>
      </c>
      <c r="J9" s="36">
        <f>+I9*H9</f>
        <v>-3337.5</v>
      </c>
    </row>
    <row r="10" spans="4:10">
      <c r="D10" s="36" t="s">
        <v>26</v>
      </c>
      <c r="E10" s="36">
        <v>200</v>
      </c>
      <c r="F10" s="37">
        <v>102.625</v>
      </c>
      <c r="G10" s="36">
        <f t="shared" ref="G10:G26" si="0">+F10*E10</f>
        <v>20525</v>
      </c>
      <c r="H10" s="36"/>
      <c r="I10" s="37"/>
      <c r="J10" s="36">
        <f t="shared" ref="J10:J26" si="1">+I10*H10</f>
        <v>0</v>
      </c>
    </row>
    <row r="11" spans="4:10">
      <c r="D11" s="36" t="s">
        <v>27</v>
      </c>
      <c r="E11" s="36">
        <v>100</v>
      </c>
      <c r="F11" s="37">
        <v>165</v>
      </c>
      <c r="G11" s="36">
        <f t="shared" si="0"/>
        <v>16500</v>
      </c>
      <c r="H11" s="36"/>
      <c r="I11" s="37"/>
      <c r="J11" s="36">
        <f t="shared" si="1"/>
        <v>0</v>
      </c>
    </row>
    <row r="12" spans="4:10">
      <c r="D12" s="36" t="s">
        <v>28</v>
      </c>
      <c r="E12" s="36">
        <v>200</v>
      </c>
      <c r="F12" s="37">
        <v>14.1875</v>
      </c>
      <c r="G12" s="36">
        <f t="shared" si="0"/>
        <v>2837.5</v>
      </c>
      <c r="H12" s="36">
        <f>-E12</f>
        <v>-200</v>
      </c>
      <c r="I12" s="37">
        <v>12.375</v>
      </c>
      <c r="J12" s="36">
        <f t="shared" si="1"/>
        <v>-2475</v>
      </c>
    </row>
    <row r="13" spans="4:10">
      <c r="D13" s="36" t="s">
        <v>29</v>
      </c>
      <c r="E13" s="36">
        <v>200</v>
      </c>
      <c r="F13" s="37">
        <v>43.625</v>
      </c>
      <c r="G13" s="36">
        <f t="shared" si="0"/>
        <v>8725</v>
      </c>
      <c r="H13" s="36"/>
      <c r="I13" s="37"/>
      <c r="J13" s="36">
        <f t="shared" si="1"/>
        <v>0</v>
      </c>
    </row>
    <row r="14" spans="4:10">
      <c r="D14" s="36" t="s">
        <v>30</v>
      </c>
      <c r="E14" s="36">
        <v>200</v>
      </c>
      <c r="F14" s="37">
        <v>100.4375</v>
      </c>
      <c r="G14" s="36">
        <f t="shared" si="0"/>
        <v>20087.5</v>
      </c>
      <c r="H14" s="36"/>
      <c r="I14" s="37"/>
      <c r="J14" s="36">
        <f t="shared" si="1"/>
        <v>0</v>
      </c>
    </row>
    <row r="15" spans="4:10">
      <c r="D15" s="36" t="s">
        <v>31</v>
      </c>
      <c r="E15" s="36">
        <v>100</v>
      </c>
      <c r="F15" s="37">
        <v>7.625</v>
      </c>
      <c r="G15" s="36">
        <f t="shared" si="0"/>
        <v>762.5</v>
      </c>
      <c r="H15" s="36">
        <f>-E15</f>
        <v>-100</v>
      </c>
      <c r="I15" s="37">
        <v>7.6875</v>
      </c>
      <c r="J15" s="36">
        <f t="shared" si="1"/>
        <v>-768.75</v>
      </c>
    </row>
    <row r="16" spans="4:10">
      <c r="D16" s="36" t="s">
        <v>32</v>
      </c>
      <c r="E16" s="36">
        <v>200</v>
      </c>
      <c r="F16" s="37">
        <v>48.125</v>
      </c>
      <c r="G16" s="36">
        <f t="shared" si="0"/>
        <v>9625</v>
      </c>
      <c r="H16" s="36"/>
      <c r="I16" s="37"/>
      <c r="J16" s="36">
        <f t="shared" si="1"/>
        <v>0</v>
      </c>
    </row>
    <row r="17" spans="4:10">
      <c r="D17" s="36" t="s">
        <v>33</v>
      </c>
      <c r="E17" s="36">
        <v>1500</v>
      </c>
      <c r="F17" s="37">
        <v>5.0625</v>
      </c>
      <c r="G17" s="36">
        <f t="shared" si="0"/>
        <v>7593.75</v>
      </c>
      <c r="H17" s="36">
        <f>-E17</f>
        <v>-1500</v>
      </c>
      <c r="I17" s="37">
        <v>4.875</v>
      </c>
      <c r="J17" s="36">
        <f t="shared" si="1"/>
        <v>-7312.5</v>
      </c>
    </row>
    <row r="18" spans="4:10">
      <c r="D18" s="36" t="s">
        <v>34</v>
      </c>
      <c r="E18" s="36">
        <v>200</v>
      </c>
      <c r="F18" s="37">
        <v>25.375</v>
      </c>
      <c r="G18" s="36">
        <f t="shared" si="0"/>
        <v>5075</v>
      </c>
      <c r="H18" s="36"/>
      <c r="I18" s="37"/>
      <c r="J18" s="36">
        <f t="shared" si="1"/>
        <v>0</v>
      </c>
    </row>
    <row r="19" spans="4:10">
      <c r="D19" s="36" t="s">
        <v>35</v>
      </c>
      <c r="E19" s="36">
        <v>1000</v>
      </c>
      <c r="F19" s="37">
        <v>6.875</v>
      </c>
      <c r="G19" s="36">
        <f t="shared" si="0"/>
        <v>6875</v>
      </c>
      <c r="H19" s="36">
        <v>-1000</v>
      </c>
      <c r="I19" s="37">
        <v>6.875</v>
      </c>
      <c r="J19" s="36">
        <f t="shared" si="1"/>
        <v>-6875</v>
      </c>
    </row>
    <row r="20" spans="4:10">
      <c r="D20" s="36" t="s">
        <v>36</v>
      </c>
      <c r="E20" s="36">
        <v>200</v>
      </c>
      <c r="F20" s="37">
        <v>99.875</v>
      </c>
      <c r="G20" s="36">
        <f t="shared" si="0"/>
        <v>19975</v>
      </c>
      <c r="H20" s="36"/>
      <c r="I20" s="37"/>
      <c r="J20" s="36">
        <f t="shared" si="1"/>
        <v>0</v>
      </c>
    </row>
    <row r="21" spans="4:10">
      <c r="D21" s="36" t="s">
        <v>37</v>
      </c>
      <c r="E21" s="36">
        <v>200</v>
      </c>
      <c r="F21" s="37">
        <v>70.75</v>
      </c>
      <c r="G21" s="36">
        <f t="shared" si="0"/>
        <v>14150</v>
      </c>
      <c r="H21" s="36"/>
      <c r="I21" s="37"/>
      <c r="J21" s="36">
        <f t="shared" si="1"/>
        <v>0</v>
      </c>
    </row>
    <row r="22" spans="4:10">
      <c r="D22" s="36" t="s">
        <v>38</v>
      </c>
      <c r="E22" s="36">
        <v>300</v>
      </c>
      <c r="F22" s="37">
        <v>43.625</v>
      </c>
      <c r="G22" s="36">
        <f t="shared" si="0"/>
        <v>13087.5</v>
      </c>
      <c r="H22" s="36"/>
      <c r="I22" s="37"/>
      <c r="J22" s="36">
        <f t="shared" si="1"/>
        <v>0</v>
      </c>
    </row>
    <row r="23" spans="4:10">
      <c r="D23" s="36" t="s">
        <v>39</v>
      </c>
      <c r="E23" s="36">
        <v>200</v>
      </c>
      <c r="F23" s="37">
        <v>42.5</v>
      </c>
      <c r="G23" s="36">
        <f t="shared" si="0"/>
        <v>8500</v>
      </c>
      <c r="H23" s="36"/>
      <c r="I23" s="37"/>
      <c r="J23" s="36">
        <f t="shared" si="1"/>
        <v>0</v>
      </c>
    </row>
    <row r="24" spans="4:10">
      <c r="D24" s="36" t="s">
        <v>40</v>
      </c>
      <c r="E24" s="36">
        <v>500</v>
      </c>
      <c r="F24" s="37">
        <v>34.1875</v>
      </c>
      <c r="G24" s="36">
        <f t="shared" si="0"/>
        <v>17093.75</v>
      </c>
      <c r="H24" s="36">
        <v>-200</v>
      </c>
      <c r="I24" s="37">
        <v>34.9375</v>
      </c>
      <c r="J24" s="36">
        <f t="shared" si="1"/>
        <v>-6987.5</v>
      </c>
    </row>
    <row r="25" spans="4:10">
      <c r="D25" s="36" t="s">
        <v>41</v>
      </c>
      <c r="E25" s="36">
        <v>500</v>
      </c>
      <c r="F25" s="37">
        <v>7.8125</v>
      </c>
      <c r="G25" s="36">
        <f t="shared" si="0"/>
        <v>3906.25</v>
      </c>
      <c r="H25" s="36">
        <v>-500</v>
      </c>
      <c r="I25" s="37">
        <v>7.625</v>
      </c>
      <c r="J25" s="36">
        <f t="shared" si="1"/>
        <v>-3812.5</v>
      </c>
    </row>
    <row r="26" spans="4:10">
      <c r="D26" s="36" t="s">
        <v>42</v>
      </c>
      <c r="E26" s="36">
        <v>100</v>
      </c>
      <c r="F26" s="37">
        <f>345/2</f>
        <v>172.5</v>
      </c>
      <c r="G26" s="36">
        <f t="shared" si="0"/>
        <v>17250</v>
      </c>
      <c r="H26" s="36"/>
      <c r="I26" s="37"/>
      <c r="J26" s="36">
        <f t="shared" si="1"/>
        <v>0</v>
      </c>
    </row>
    <row r="27" spans="4:10">
      <c r="D27" s="36" t="s">
        <v>43</v>
      </c>
      <c r="E27" s="36">
        <v>3</v>
      </c>
      <c r="F27" s="37">
        <v>5.25</v>
      </c>
      <c r="G27" s="36">
        <f>+F27*E27*100</f>
        <v>1575</v>
      </c>
      <c r="H27" s="36">
        <v>-3</v>
      </c>
      <c r="I27" s="37">
        <v>5.125</v>
      </c>
      <c r="J27" s="36">
        <f>+I27*H27*100</f>
        <v>-1537.5</v>
      </c>
    </row>
    <row r="28" spans="4:10">
      <c r="D28" s="36"/>
      <c r="E28" s="36"/>
      <c r="F28" s="36"/>
      <c r="G28" s="36"/>
      <c r="H28" s="36"/>
      <c r="I28" s="36"/>
      <c r="J28" s="36"/>
    </row>
    <row r="29" spans="4:10">
      <c r="D29" s="36"/>
      <c r="E29" s="36"/>
      <c r="F29" s="36">
        <f>+G29+J29</f>
        <v>164375</v>
      </c>
      <c r="G29" s="36">
        <f>SUM(G9:G28)</f>
        <v>197481.25</v>
      </c>
      <c r="H29" s="36"/>
      <c r="I29" s="36"/>
      <c r="J29" s="36">
        <f>SUM(J9:J28)</f>
        <v>-33106.25</v>
      </c>
    </row>
    <row r="30" spans="4:10">
      <c r="D30" s="36"/>
      <c r="E30" s="36"/>
      <c r="F30" s="36"/>
      <c r="G30" s="36"/>
      <c r="H30" s="36"/>
      <c r="I30" s="36"/>
      <c r="J30" s="36"/>
    </row>
    <row r="31" spans="4:10">
      <c r="D31" s="36" t="str">
        <f>+D10</f>
        <v>AIG</v>
      </c>
      <c r="E31" s="36">
        <f t="shared" ref="E31:J32" si="2">+E10</f>
        <v>200</v>
      </c>
      <c r="F31" s="37">
        <f t="shared" si="2"/>
        <v>102.625</v>
      </c>
      <c r="G31" s="36">
        <f t="shared" si="2"/>
        <v>20525</v>
      </c>
      <c r="H31" s="36">
        <f t="shared" si="2"/>
        <v>0</v>
      </c>
      <c r="I31" s="36">
        <f t="shared" si="2"/>
        <v>0</v>
      </c>
      <c r="J31" s="36">
        <f t="shared" si="2"/>
        <v>0</v>
      </c>
    </row>
    <row r="32" spans="4:10">
      <c r="D32" s="36" t="str">
        <f>+D11</f>
        <v>AOL</v>
      </c>
      <c r="E32" s="36">
        <f t="shared" si="2"/>
        <v>100</v>
      </c>
      <c r="F32" s="37">
        <f t="shared" si="2"/>
        <v>165</v>
      </c>
      <c r="G32" s="36">
        <f t="shared" si="2"/>
        <v>16500</v>
      </c>
      <c r="H32" s="36">
        <f t="shared" si="2"/>
        <v>0</v>
      </c>
      <c r="I32" s="36">
        <f t="shared" si="2"/>
        <v>0</v>
      </c>
      <c r="J32" s="36">
        <f t="shared" si="2"/>
        <v>0</v>
      </c>
    </row>
    <row r="33" spans="4:10">
      <c r="D33" s="36" t="str">
        <f>+D13</f>
        <v>CPQ</v>
      </c>
      <c r="E33" s="36">
        <f t="shared" ref="E33:J34" si="3">+E13</f>
        <v>200</v>
      </c>
      <c r="F33" s="37">
        <f t="shared" si="3"/>
        <v>43.625</v>
      </c>
      <c r="G33" s="36">
        <f t="shared" si="3"/>
        <v>8725</v>
      </c>
      <c r="H33" s="36">
        <f t="shared" si="3"/>
        <v>0</v>
      </c>
      <c r="I33" s="36">
        <f t="shared" si="3"/>
        <v>0</v>
      </c>
      <c r="J33" s="36">
        <f t="shared" si="3"/>
        <v>0</v>
      </c>
    </row>
    <row r="34" spans="4:10">
      <c r="D34" s="36" t="str">
        <f>+D14</f>
        <v>DELL</v>
      </c>
      <c r="E34" s="36">
        <f t="shared" si="3"/>
        <v>200</v>
      </c>
      <c r="F34" s="37">
        <f t="shared" si="3"/>
        <v>100.4375</v>
      </c>
      <c r="G34" s="36">
        <f t="shared" si="3"/>
        <v>20087.5</v>
      </c>
      <c r="H34" s="36">
        <f t="shared" si="3"/>
        <v>0</v>
      </c>
      <c r="I34" s="36">
        <f t="shared" si="3"/>
        <v>0</v>
      </c>
      <c r="J34" s="36">
        <f t="shared" si="3"/>
        <v>0</v>
      </c>
    </row>
    <row r="35" spans="4:10">
      <c r="D35" s="36" t="str">
        <f>+D16</f>
        <v>EDS</v>
      </c>
      <c r="E35" s="36">
        <f t="shared" ref="E35:J35" si="4">+E16</f>
        <v>200</v>
      </c>
      <c r="F35" s="37">
        <f t="shared" si="4"/>
        <v>48.125</v>
      </c>
      <c r="G35" s="36">
        <f t="shared" si="4"/>
        <v>9625</v>
      </c>
      <c r="H35" s="36">
        <f t="shared" si="4"/>
        <v>0</v>
      </c>
      <c r="I35" s="36">
        <f t="shared" si="4"/>
        <v>0</v>
      </c>
      <c r="J35" s="36">
        <f t="shared" si="4"/>
        <v>0</v>
      </c>
    </row>
    <row r="36" spans="4:10">
      <c r="D36" s="36" t="str">
        <f>+D18</f>
        <v>ENMD</v>
      </c>
      <c r="E36" s="36">
        <f t="shared" ref="E36:J36" si="5">+E18</f>
        <v>200</v>
      </c>
      <c r="F36" s="37">
        <f t="shared" si="5"/>
        <v>25.375</v>
      </c>
      <c r="G36" s="36">
        <f t="shared" si="5"/>
        <v>5075</v>
      </c>
      <c r="H36" s="36">
        <f t="shared" si="5"/>
        <v>0</v>
      </c>
      <c r="I36" s="36">
        <f t="shared" si="5"/>
        <v>0</v>
      </c>
      <c r="J36" s="36">
        <f t="shared" si="5"/>
        <v>0</v>
      </c>
    </row>
    <row r="37" spans="4:10">
      <c r="D37" s="36" t="str">
        <f>+D20</f>
        <v>LU</v>
      </c>
      <c r="E37" s="36">
        <f t="shared" ref="E37:J37" si="6">+E20</f>
        <v>200</v>
      </c>
      <c r="F37" s="37">
        <f t="shared" si="6"/>
        <v>99.875</v>
      </c>
      <c r="G37" s="36">
        <f t="shared" si="6"/>
        <v>19975</v>
      </c>
      <c r="H37" s="36">
        <f t="shared" si="6"/>
        <v>0</v>
      </c>
      <c r="I37" s="36">
        <f t="shared" si="6"/>
        <v>0</v>
      </c>
      <c r="J37" s="36">
        <f t="shared" si="6"/>
        <v>0</v>
      </c>
    </row>
    <row r="38" spans="4:10">
      <c r="D38" s="36" t="str">
        <f t="shared" ref="D38:J40" si="7">+D21</f>
        <v>MER</v>
      </c>
      <c r="E38" s="36">
        <f t="shared" si="7"/>
        <v>200</v>
      </c>
      <c r="F38" s="37">
        <f t="shared" si="7"/>
        <v>70.75</v>
      </c>
      <c r="G38" s="36">
        <f t="shared" si="7"/>
        <v>14150</v>
      </c>
      <c r="H38" s="36">
        <f t="shared" si="7"/>
        <v>0</v>
      </c>
      <c r="I38" s="36">
        <f t="shared" si="7"/>
        <v>0</v>
      </c>
      <c r="J38" s="36">
        <f t="shared" si="7"/>
        <v>0</v>
      </c>
    </row>
    <row r="39" spans="4:10">
      <c r="D39" s="36" t="str">
        <f t="shared" si="7"/>
        <v>ONSL</v>
      </c>
      <c r="E39" s="36">
        <f t="shared" si="7"/>
        <v>300</v>
      </c>
      <c r="F39" s="37">
        <f t="shared" si="7"/>
        <v>43.625</v>
      </c>
      <c r="G39" s="36">
        <f t="shared" si="7"/>
        <v>13087.5</v>
      </c>
      <c r="H39" s="36">
        <f t="shared" si="7"/>
        <v>0</v>
      </c>
      <c r="I39" s="36">
        <f t="shared" si="7"/>
        <v>0</v>
      </c>
      <c r="J39" s="36">
        <f t="shared" si="7"/>
        <v>0</v>
      </c>
    </row>
    <row r="40" spans="4:10">
      <c r="D40" s="36" t="str">
        <f t="shared" si="7"/>
        <v>SFE</v>
      </c>
      <c r="E40" s="36">
        <f t="shared" si="7"/>
        <v>200</v>
      </c>
      <c r="F40" s="37">
        <f t="shared" si="7"/>
        <v>42.5</v>
      </c>
      <c r="G40" s="36">
        <f t="shared" si="7"/>
        <v>8500</v>
      </c>
      <c r="H40" s="36">
        <f t="shared" si="7"/>
        <v>0</v>
      </c>
      <c r="I40" s="36">
        <f t="shared" si="7"/>
        <v>0</v>
      </c>
      <c r="J40" s="36">
        <f t="shared" si="7"/>
        <v>0</v>
      </c>
    </row>
    <row r="41" spans="4:10">
      <c r="D41" s="36" t="str">
        <f>+D26</f>
        <v>YHOO</v>
      </c>
      <c r="E41" s="36">
        <f t="shared" ref="E41:J41" si="8">+E26</f>
        <v>100</v>
      </c>
      <c r="F41" s="37">
        <f t="shared" si="8"/>
        <v>172.5</v>
      </c>
      <c r="G41" s="36">
        <f t="shared" si="8"/>
        <v>17250</v>
      </c>
      <c r="H41" s="36">
        <f t="shared" si="8"/>
        <v>0</v>
      </c>
      <c r="I41" s="36">
        <f t="shared" si="8"/>
        <v>0</v>
      </c>
      <c r="J41" s="36">
        <f t="shared" si="8"/>
        <v>0</v>
      </c>
    </row>
    <row r="42" spans="4:10">
      <c r="D42" s="39"/>
      <c r="E42" s="39"/>
      <c r="F42" s="39"/>
      <c r="G42" s="39"/>
      <c r="H42" s="39"/>
      <c r="I42" s="39"/>
      <c r="J42" s="39"/>
    </row>
    <row r="43" spans="4:10">
      <c r="D43" s="39"/>
      <c r="E43" s="39"/>
      <c r="F43" s="39"/>
      <c r="G43" s="36">
        <f>SUM(G31:G42)</f>
        <v>153500</v>
      </c>
      <c r="H43" s="39"/>
      <c r="I43" s="39"/>
      <c r="J43" s="3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Sturm</dc:creator>
  <cp:lastModifiedBy>Jan Havlíček</cp:lastModifiedBy>
  <dcterms:created xsi:type="dcterms:W3CDTF">1999-01-04T21:08:28Z</dcterms:created>
  <dcterms:modified xsi:type="dcterms:W3CDTF">2023-09-15T15:53:18Z</dcterms:modified>
</cp:coreProperties>
</file>