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0649C6-312D-4A99-98FA-1CDCF4B056D6}" xr6:coauthVersionLast="47" xr6:coauthVersionMax="47" xr10:uidLastSave="{00000000-0000-0000-0000-000000000000}"/>
  <bookViews>
    <workbookView xWindow="-120" yWindow="-120" windowWidth="38640" windowHeight="15720"/>
  </bookViews>
  <sheets>
    <sheet name="Results" sheetId="2" r:id="rId1"/>
    <sheet name="AG drivers" sheetId="5" r:id="rId2"/>
    <sheet name="Contiguity" sheetId="4" r:id="rId3"/>
    <sheet name="Headcuts" sheetId="6" r:id="rId4"/>
    <sheet name="CS" sheetId="7" r:id="rId5"/>
    <sheet name="O&amp;M data" sheetId="1" r:id="rId6"/>
  </sheets>
  <calcPr calcId="0"/>
</workbook>
</file>

<file path=xl/calcChain.xml><?xml version="1.0" encoding="utf-8"?>
<calcChain xmlns="http://schemas.openxmlformats.org/spreadsheetml/2006/main">
  <c r="B7" i="5" l="1"/>
  <c r="C7" i="5"/>
  <c r="H7" i="5"/>
  <c r="K7" i="5"/>
  <c r="B8" i="5"/>
  <c r="C8" i="5"/>
  <c r="H8" i="5"/>
  <c r="K8" i="5"/>
  <c r="B11" i="5"/>
  <c r="C11" i="5"/>
  <c r="E11" i="5"/>
  <c r="B12" i="5"/>
  <c r="C12" i="5"/>
  <c r="E12" i="5"/>
  <c r="E13" i="5"/>
  <c r="B16" i="5"/>
  <c r="C16" i="5"/>
  <c r="E16" i="5"/>
  <c r="B17" i="5"/>
  <c r="C17" i="5"/>
  <c r="E17" i="5"/>
  <c r="E18" i="5"/>
  <c r="H20" i="5"/>
  <c r="B21" i="5"/>
  <c r="C21" i="5"/>
  <c r="E21" i="5"/>
  <c r="H21" i="5"/>
  <c r="B22" i="5"/>
  <c r="C22" i="5"/>
  <c r="E22" i="5"/>
  <c r="H22" i="5"/>
  <c r="E23" i="5"/>
  <c r="H23" i="5"/>
  <c r="H24" i="5"/>
  <c r="H25" i="5"/>
  <c r="B26" i="5"/>
  <c r="C26" i="5"/>
  <c r="E26" i="5"/>
  <c r="H26" i="5"/>
  <c r="B27" i="5"/>
  <c r="C27" i="5"/>
  <c r="E27" i="5"/>
  <c r="G27" i="5"/>
  <c r="H27" i="5"/>
  <c r="E28" i="5"/>
  <c r="H28" i="5"/>
  <c r="H29" i="5"/>
  <c r="H30" i="5"/>
  <c r="B31" i="5"/>
  <c r="C31" i="5"/>
  <c r="E31" i="5"/>
  <c r="H31" i="5"/>
  <c r="B32" i="5"/>
  <c r="C32" i="5"/>
  <c r="E32" i="5"/>
  <c r="H32" i="5"/>
  <c r="E33" i="5"/>
  <c r="H33" i="5"/>
  <c r="H34" i="5"/>
  <c r="G35" i="5"/>
  <c r="H35" i="5"/>
  <c r="B36" i="5"/>
  <c r="C36" i="5"/>
  <c r="E36" i="5"/>
  <c r="G36" i="5"/>
  <c r="H36" i="5"/>
  <c r="B37" i="5"/>
  <c r="C37" i="5"/>
  <c r="E37" i="5"/>
  <c r="E38" i="5"/>
  <c r="I41" i="5"/>
  <c r="B42" i="5"/>
  <c r="C42" i="5"/>
  <c r="E42" i="5"/>
  <c r="I42" i="5"/>
  <c r="B43" i="5"/>
  <c r="C43" i="5"/>
  <c r="E43" i="5"/>
  <c r="I43" i="5"/>
  <c r="E44" i="5"/>
  <c r="I44" i="5"/>
  <c r="I45" i="5"/>
  <c r="I47" i="5"/>
  <c r="B51" i="5"/>
  <c r="C51" i="5"/>
  <c r="B52" i="5"/>
  <c r="C52" i="5"/>
  <c r="B55" i="5"/>
  <c r="E55" i="5"/>
  <c r="B56" i="5"/>
  <c r="E56" i="5"/>
  <c r="E57" i="5"/>
  <c r="B58" i="5"/>
  <c r="E58" i="5"/>
  <c r="B59" i="5"/>
  <c r="E59" i="5"/>
  <c r="B60" i="5"/>
  <c r="E60" i="5"/>
  <c r="K10" i="4"/>
  <c r="K11" i="4"/>
  <c r="K12" i="4"/>
  <c r="K13" i="4"/>
  <c r="K14" i="4"/>
  <c r="K15" i="4"/>
  <c r="K16" i="4"/>
  <c r="K17" i="4"/>
  <c r="N23" i="4"/>
  <c r="N24" i="4"/>
  <c r="H65" i="4"/>
  <c r="H77" i="4"/>
  <c r="H89" i="4"/>
  <c r="H96" i="4"/>
  <c r="H103" i="4"/>
  <c r="H111" i="4"/>
  <c r="H128" i="4"/>
  <c r="H137" i="4"/>
  <c r="H146" i="4"/>
  <c r="G2" i="7"/>
  <c r="G3" i="7"/>
  <c r="G4" i="7"/>
  <c r="G5" i="7"/>
  <c r="G6" i="7"/>
  <c r="G7" i="7"/>
  <c r="G8" i="7"/>
  <c r="G9" i="7"/>
  <c r="G10" i="7"/>
  <c r="G11" i="7"/>
  <c r="G14" i="7"/>
  <c r="G15" i="7"/>
  <c r="G16" i="7"/>
  <c r="G17" i="7"/>
  <c r="G18" i="7"/>
  <c r="G19" i="7"/>
  <c r="G20" i="7"/>
  <c r="G21" i="7"/>
  <c r="G22" i="7"/>
  <c r="G23" i="7"/>
  <c r="G24" i="7"/>
  <c r="G27" i="7"/>
  <c r="G28" i="7"/>
  <c r="G29" i="7"/>
  <c r="G30" i="7"/>
  <c r="G31" i="7"/>
  <c r="G32" i="7"/>
  <c r="G33" i="7"/>
  <c r="G34" i="7"/>
  <c r="G35" i="7"/>
  <c r="G36" i="7"/>
  <c r="G37" i="7"/>
  <c r="G40" i="7"/>
  <c r="G41" i="7"/>
  <c r="G42" i="7"/>
  <c r="G43" i="7"/>
  <c r="G44" i="7"/>
  <c r="G45" i="7"/>
  <c r="G46" i="7"/>
  <c r="G47" i="7"/>
  <c r="G48" i="7"/>
  <c r="G49" i="7"/>
  <c r="G50" i="7"/>
  <c r="G53" i="7"/>
  <c r="G54" i="7"/>
  <c r="G55" i="7"/>
  <c r="G56" i="7"/>
  <c r="G57" i="7"/>
  <c r="G58" i="7"/>
  <c r="G59" i="7"/>
  <c r="G60" i="7"/>
  <c r="G61" i="7"/>
  <c r="G62" i="7"/>
  <c r="G63" i="7"/>
  <c r="D14" i="6"/>
  <c r="E14" i="6"/>
  <c r="F14" i="6"/>
  <c r="D15" i="6"/>
  <c r="E15" i="6"/>
  <c r="I15" i="6"/>
  <c r="J15" i="6"/>
  <c r="D16" i="6"/>
  <c r="E16" i="6"/>
  <c r="F16" i="6"/>
  <c r="I16" i="6"/>
  <c r="J16" i="6"/>
  <c r="D17" i="6"/>
  <c r="E17" i="6"/>
  <c r="F17" i="6"/>
  <c r="D18" i="6"/>
  <c r="E18" i="6"/>
  <c r="I20" i="6"/>
  <c r="J20" i="6"/>
  <c r="I21" i="6"/>
  <c r="J21" i="6"/>
  <c r="E23" i="6"/>
  <c r="E24" i="6"/>
  <c r="E25" i="6"/>
  <c r="I25" i="6"/>
  <c r="J25" i="6"/>
  <c r="I26" i="6"/>
  <c r="J26" i="6"/>
  <c r="E27" i="6"/>
  <c r="I27" i="6"/>
  <c r="J27" i="6"/>
  <c r="E28" i="6"/>
  <c r="E29" i="6"/>
  <c r="E31" i="6"/>
  <c r="H31" i="6"/>
  <c r="E32" i="6"/>
  <c r="H32" i="6"/>
  <c r="E33" i="6"/>
  <c r="E35" i="6"/>
  <c r="E36" i="6"/>
  <c r="E37" i="6"/>
  <c r="E39" i="6"/>
  <c r="E40" i="6"/>
  <c r="E41" i="6"/>
  <c r="C43" i="6"/>
  <c r="D43" i="6"/>
  <c r="E43" i="6"/>
  <c r="D51" i="6"/>
  <c r="F51" i="6"/>
  <c r="H51" i="6"/>
  <c r="D52" i="6"/>
  <c r="F52" i="6"/>
  <c r="H52" i="6"/>
  <c r="D53" i="6"/>
  <c r="F53" i="6"/>
  <c r="H53" i="6"/>
  <c r="D54" i="6"/>
  <c r="F54" i="6"/>
  <c r="H54" i="6"/>
  <c r="D55" i="6"/>
  <c r="F55" i="6"/>
  <c r="H55" i="6"/>
  <c r="D56" i="6"/>
  <c r="F56" i="6"/>
  <c r="H56" i="6"/>
  <c r="K56" i="6"/>
  <c r="L56" i="6"/>
  <c r="M56" i="6"/>
  <c r="N56" i="6"/>
  <c r="O56" i="6"/>
  <c r="D57" i="6"/>
  <c r="F57" i="6"/>
  <c r="H57" i="6"/>
  <c r="K57" i="6"/>
  <c r="L57" i="6"/>
  <c r="M57" i="6"/>
  <c r="N57" i="6"/>
  <c r="O57" i="6"/>
  <c r="C58" i="6"/>
  <c r="F58" i="6"/>
  <c r="H58" i="6"/>
  <c r="K58" i="6"/>
  <c r="L58" i="6"/>
  <c r="M58" i="6"/>
  <c r="N58" i="6"/>
  <c r="O58" i="6"/>
  <c r="D59" i="6"/>
  <c r="F59" i="6"/>
  <c r="H59" i="6"/>
  <c r="D60" i="6"/>
  <c r="F60" i="6"/>
  <c r="H60" i="6"/>
  <c r="K60" i="6"/>
  <c r="D61" i="6"/>
  <c r="F61" i="6"/>
  <c r="H61" i="6"/>
  <c r="D62" i="6"/>
  <c r="F62" i="6"/>
  <c r="H62" i="6"/>
  <c r="D63" i="6"/>
  <c r="F63" i="6"/>
  <c r="H63" i="6"/>
  <c r="D64" i="6"/>
  <c r="F64" i="6"/>
  <c r="H64" i="6"/>
  <c r="D65" i="6"/>
  <c r="F65" i="6"/>
  <c r="H65" i="6"/>
  <c r="C66" i="6"/>
  <c r="D66" i="6"/>
  <c r="F66" i="6"/>
  <c r="H66" i="6"/>
  <c r="F67" i="6"/>
  <c r="B109" i="6"/>
  <c r="C109" i="6"/>
  <c r="D109" i="6"/>
  <c r="F109" i="6"/>
  <c r="G109" i="6"/>
  <c r="J110" i="6"/>
  <c r="K110" i="6"/>
  <c r="L110" i="6"/>
  <c r="J111" i="6"/>
  <c r="K111" i="6"/>
  <c r="L111" i="6"/>
  <c r="B112" i="6"/>
  <c r="C112" i="6"/>
  <c r="D112" i="6"/>
  <c r="F112" i="6"/>
  <c r="G112" i="6"/>
  <c r="J112" i="6"/>
  <c r="K112" i="6"/>
  <c r="L112" i="6"/>
  <c r="B113" i="6"/>
  <c r="C113" i="6"/>
  <c r="D113" i="6"/>
  <c r="F113" i="6"/>
  <c r="G113" i="6"/>
  <c r="J113" i="6"/>
  <c r="K113" i="6"/>
  <c r="L113" i="6"/>
  <c r="B114" i="6"/>
  <c r="C114" i="6"/>
  <c r="D114" i="6"/>
  <c r="F114" i="6"/>
  <c r="G114" i="6"/>
  <c r="B118" i="6"/>
  <c r="C118" i="6"/>
  <c r="D118" i="6"/>
  <c r="F118" i="6"/>
  <c r="G118" i="6"/>
  <c r="B119" i="6"/>
  <c r="C119" i="6"/>
  <c r="D119" i="6"/>
  <c r="F119" i="6"/>
  <c r="G119" i="6"/>
  <c r="B120" i="6"/>
  <c r="C120" i="6"/>
  <c r="D120" i="6"/>
  <c r="F120" i="6"/>
  <c r="G120" i="6"/>
  <c r="Y4" i="1"/>
  <c r="Z4" i="1"/>
  <c r="AE4" i="1"/>
  <c r="Y5" i="1"/>
  <c r="Z5" i="1"/>
  <c r="AE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Y8" i="1"/>
  <c r="Z8" i="1"/>
  <c r="AE8" i="1"/>
  <c r="Y9" i="1"/>
  <c r="Z9" i="1"/>
  <c r="AE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Y13" i="1"/>
  <c r="Z13" i="1"/>
  <c r="AE13" i="1"/>
  <c r="Y14" i="1"/>
  <c r="Z14" i="1"/>
  <c r="AE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B15" i="1"/>
  <c r="AC15" i="1"/>
  <c r="AD15" i="1"/>
  <c r="AE15" i="1"/>
  <c r="Y17" i="1"/>
  <c r="Z17" i="1"/>
  <c r="AE17" i="1"/>
  <c r="Y18" i="1"/>
  <c r="Z18" i="1"/>
  <c r="AE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B19" i="1"/>
  <c r="AC19" i="1"/>
  <c r="AD19" i="1"/>
  <c r="AE19" i="1"/>
  <c r="Y22" i="1"/>
  <c r="Z22" i="1"/>
  <c r="AE22" i="1"/>
  <c r="Y23" i="1"/>
  <c r="Z23" i="1"/>
  <c r="AE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B24" i="1"/>
  <c r="AC24" i="1"/>
  <c r="AD24" i="1"/>
  <c r="AE24" i="1"/>
  <c r="Y26" i="1"/>
  <c r="Z26" i="1"/>
  <c r="AE26" i="1"/>
  <c r="Y27" i="1"/>
  <c r="Z27" i="1"/>
  <c r="AE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B28" i="1"/>
  <c r="AC28" i="1"/>
  <c r="AD28" i="1"/>
  <c r="AE28" i="1"/>
  <c r="Y31" i="1"/>
  <c r="Z31" i="1"/>
  <c r="AE31" i="1"/>
  <c r="Y32" i="1"/>
  <c r="Z32" i="1"/>
  <c r="AE32" i="1"/>
  <c r="Y33" i="1"/>
  <c r="Z33" i="1"/>
  <c r="AE33" i="1"/>
  <c r="Y34" i="1"/>
  <c r="Z34" i="1"/>
  <c r="AE34" i="1"/>
  <c r="Y35" i="1"/>
  <c r="Z35" i="1"/>
  <c r="AE35" i="1"/>
  <c r="Y36" i="1"/>
  <c r="Z36" i="1"/>
  <c r="AE36" i="1"/>
  <c r="B40" i="1"/>
  <c r="C40" i="1"/>
  <c r="D40" i="1"/>
  <c r="B41" i="1"/>
  <c r="C41" i="1"/>
  <c r="D41" i="1"/>
  <c r="J41" i="1"/>
  <c r="B42" i="1"/>
  <c r="C42" i="1"/>
  <c r="D42" i="1"/>
  <c r="J42" i="1"/>
  <c r="B43" i="1"/>
  <c r="J43" i="1"/>
  <c r="J44" i="1"/>
  <c r="B45" i="1"/>
  <c r="C45" i="1"/>
  <c r="D45" i="1"/>
  <c r="J45" i="1"/>
  <c r="B46" i="1"/>
  <c r="C46" i="1"/>
  <c r="D46" i="1"/>
  <c r="J46" i="1"/>
  <c r="B47" i="1"/>
  <c r="C47" i="1"/>
  <c r="D47" i="1"/>
  <c r="J47" i="1"/>
  <c r="B48" i="1"/>
  <c r="J48" i="1"/>
  <c r="J49" i="1"/>
  <c r="J50" i="1"/>
  <c r="B51" i="1"/>
  <c r="C51" i="1"/>
  <c r="D51" i="1"/>
  <c r="J51" i="1"/>
  <c r="B52" i="1"/>
  <c r="J52" i="1"/>
  <c r="J53" i="1"/>
  <c r="J54" i="1"/>
  <c r="J55" i="1"/>
  <c r="J57" i="1"/>
  <c r="J58" i="1"/>
  <c r="J59" i="1"/>
  <c r="J60" i="1"/>
  <c r="J61" i="1"/>
  <c r="J62" i="1"/>
  <c r="J63" i="1"/>
  <c r="J66" i="1"/>
  <c r="K66" i="1"/>
  <c r="L66" i="1"/>
  <c r="J67" i="1"/>
  <c r="K67" i="1"/>
  <c r="L67" i="1"/>
  <c r="J68" i="1"/>
  <c r="K68" i="1"/>
  <c r="L68" i="1"/>
  <c r="C6" i="2"/>
  <c r="D6" i="2"/>
  <c r="C7" i="2"/>
  <c r="F31" i="2"/>
  <c r="I31" i="2"/>
  <c r="K31" i="2"/>
  <c r="D32" i="2"/>
  <c r="E32" i="2"/>
  <c r="F32" i="2"/>
  <c r="G32" i="2"/>
  <c r="H32" i="2"/>
  <c r="I32" i="2"/>
  <c r="K32" i="2"/>
  <c r="D33" i="2"/>
  <c r="E33" i="2"/>
  <c r="F33" i="2"/>
  <c r="G33" i="2"/>
  <c r="H33" i="2"/>
  <c r="I33" i="2"/>
  <c r="K33" i="2"/>
  <c r="D34" i="2"/>
  <c r="E34" i="2"/>
  <c r="F34" i="2"/>
  <c r="G34" i="2"/>
  <c r="H34" i="2"/>
  <c r="I34" i="2"/>
  <c r="K34" i="2"/>
  <c r="F35" i="2"/>
  <c r="I35" i="2"/>
  <c r="K35" i="2"/>
  <c r="D36" i="2"/>
  <c r="E36" i="2"/>
  <c r="F36" i="2"/>
  <c r="G36" i="2"/>
  <c r="H36" i="2"/>
  <c r="I36" i="2"/>
  <c r="K36" i="2"/>
  <c r="D37" i="2"/>
  <c r="E37" i="2"/>
  <c r="F37" i="2"/>
  <c r="G37" i="2"/>
  <c r="H37" i="2"/>
  <c r="I37" i="2"/>
  <c r="K37" i="2"/>
  <c r="D38" i="2"/>
  <c r="E38" i="2"/>
  <c r="F38" i="2"/>
  <c r="G38" i="2"/>
  <c r="H38" i="2"/>
  <c r="I38" i="2"/>
  <c r="K38" i="2"/>
  <c r="D39" i="2"/>
  <c r="E39" i="2"/>
  <c r="F39" i="2"/>
  <c r="G39" i="2"/>
  <c r="H39" i="2"/>
  <c r="I39" i="2"/>
  <c r="K39" i="2"/>
  <c r="D40" i="2"/>
  <c r="E40" i="2"/>
  <c r="F40" i="2"/>
  <c r="G40" i="2"/>
  <c r="H40" i="2"/>
  <c r="I40" i="2"/>
  <c r="K40" i="2"/>
  <c r="C48" i="2"/>
  <c r="D48" i="2"/>
  <c r="E48" i="2"/>
  <c r="F48" i="2"/>
  <c r="G48" i="2"/>
  <c r="H48" i="2"/>
  <c r="I48" i="2"/>
  <c r="J48" i="2"/>
  <c r="K48" i="2"/>
  <c r="L48" i="2"/>
  <c r="M48" i="2"/>
  <c r="F56" i="2"/>
  <c r="I56" i="2"/>
  <c r="L56" i="2"/>
  <c r="O56" i="2"/>
  <c r="R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D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D60" i="2"/>
  <c r="F60" i="2"/>
  <c r="G60" i="2"/>
  <c r="I60" i="2"/>
  <c r="J60" i="2"/>
  <c r="L60" i="2"/>
  <c r="M60" i="2"/>
  <c r="O60" i="2"/>
  <c r="P60" i="2"/>
  <c r="R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D62" i="2"/>
  <c r="E62" i="2"/>
  <c r="F62" i="2"/>
  <c r="H62" i="2"/>
  <c r="I62" i="2"/>
  <c r="J62" i="2"/>
  <c r="K62" i="2"/>
  <c r="L62" i="2"/>
  <c r="M62" i="2"/>
  <c r="N62" i="2"/>
  <c r="O62" i="2"/>
  <c r="P62" i="2"/>
  <c r="Q62" i="2"/>
  <c r="R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</calcChain>
</file>

<file path=xl/sharedStrings.xml><?xml version="1.0" encoding="utf-8"?>
<sst xmlns="http://schemas.openxmlformats.org/spreadsheetml/2006/main" count="1307" uniqueCount="307">
  <si>
    <t>CMS Panhandle Eastern Pipe Line Co.</t>
  </si>
  <si>
    <t>CMS Trunkline Gas Co.</t>
  </si>
  <si>
    <t>Florida Gas Transmission Co.</t>
  </si>
  <si>
    <t>Northern Border Pipeline Co.</t>
  </si>
  <si>
    <t>Northern Natural Gas Co.</t>
  </si>
  <si>
    <t>Transwestern Pipeline Co.</t>
  </si>
  <si>
    <t>Entity Name</t>
  </si>
  <si>
    <t>Year</t>
  </si>
  <si>
    <t>Und O: Tot $</t>
  </si>
  <si>
    <t>Und M: Tot $</t>
  </si>
  <si>
    <t>Oth O: Tot $</t>
  </si>
  <si>
    <t>Oth M: Tot $</t>
  </si>
  <si>
    <t>Tran O: Super &amp; Engin $</t>
  </si>
  <si>
    <t>Tran O: Load Disp $</t>
  </si>
  <si>
    <t>Tran O: Comm Sys Exp $</t>
  </si>
  <si>
    <t>Tran O: Comp Sta Labor &amp; Exp $</t>
  </si>
  <si>
    <t>Tran O: Comp Sta Fuel $</t>
  </si>
  <si>
    <t>Tran O: Other Fuel &amp; Pwr $</t>
  </si>
  <si>
    <t>Tran O: Mains Exp $</t>
  </si>
  <si>
    <t>Tran O: Meas &amp; Reg Sta Exp $</t>
  </si>
  <si>
    <t>Tran O: Trans by Others $</t>
  </si>
  <si>
    <t>Tran O: Other Exp $</t>
  </si>
  <si>
    <t>Tran O: Rents $</t>
  </si>
  <si>
    <t>Tran M: Super &amp; Engin $</t>
  </si>
  <si>
    <t>Tran M: Struc &amp; Impr $</t>
  </si>
  <si>
    <t>Tran M: Mains $</t>
  </si>
  <si>
    <t>Tran M: Comp Sta Eq $</t>
  </si>
  <si>
    <t>Tran M: Meas &amp; Reg Sta Eq $</t>
  </si>
  <si>
    <t>Tran M: Comm Eq $</t>
  </si>
  <si>
    <t>Tran M: Other Eq $</t>
  </si>
  <si>
    <t>CA: Tot $</t>
  </si>
  <si>
    <t>CSI: Tot $</t>
  </si>
  <si>
    <t>SA: Tot $</t>
  </si>
  <si>
    <t>Total Enron</t>
  </si>
  <si>
    <t>Driver</t>
  </si>
  <si>
    <t>Corporate Development</t>
  </si>
  <si>
    <t>Finance</t>
  </si>
  <si>
    <t>Total CMS</t>
  </si>
  <si>
    <t>Pipeline Co Name</t>
  </si>
  <si>
    <t>State with Miles</t>
  </si>
  <si>
    <t>Offshore</t>
  </si>
  <si>
    <t>Owned</t>
  </si>
  <si>
    <t>Operated</t>
  </si>
  <si>
    <t>Total Line Miles</t>
  </si>
  <si>
    <t>IL</t>
  </si>
  <si>
    <t>N</t>
  </si>
  <si>
    <t>Y</t>
  </si>
  <si>
    <t>IN</t>
  </si>
  <si>
    <t>KS</t>
  </si>
  <si>
    <t>MI</t>
  </si>
  <si>
    <t>MO</t>
  </si>
  <si>
    <t>OH</t>
  </si>
  <si>
    <t>OK</t>
  </si>
  <si>
    <t>TX</t>
  </si>
  <si>
    <t>AR</t>
  </si>
  <si>
    <t>KY</t>
  </si>
  <si>
    <t>LA</t>
  </si>
  <si>
    <t>MS</t>
  </si>
  <si>
    <t>TN</t>
  </si>
  <si>
    <t>AL</t>
  </si>
  <si>
    <t>FL</t>
  </si>
  <si>
    <t>IA</t>
  </si>
  <si>
    <t>MN</t>
  </si>
  <si>
    <t>MT</t>
  </si>
  <si>
    <t>ND</t>
  </si>
  <si>
    <t>SD</t>
  </si>
  <si>
    <t>NE</t>
  </si>
  <si>
    <t>NM</t>
  </si>
  <si>
    <t>WI</t>
  </si>
  <si>
    <t>AZ</t>
  </si>
  <si>
    <t>CA</t>
  </si>
  <si>
    <t>CO</t>
  </si>
  <si>
    <t>Texas</t>
  </si>
  <si>
    <t>Pipe miles</t>
  </si>
  <si>
    <t>McK</t>
  </si>
  <si>
    <t>MIS</t>
  </si>
  <si>
    <t>Administrative</t>
  </si>
  <si>
    <t>Rates &amp; Regulatory Affairs</t>
  </si>
  <si>
    <t>Legal</t>
  </si>
  <si>
    <t>Other (including executive)</t>
  </si>
  <si>
    <t>Revenues Cycle Services</t>
  </si>
  <si>
    <t>Insurance</t>
  </si>
  <si>
    <t>NNG</t>
  </si>
  <si>
    <t>TWP</t>
  </si>
  <si>
    <t>Transportation ("marketing")</t>
  </si>
  <si>
    <t>Miles (McK)</t>
  </si>
  <si>
    <r>
      <t xml:space="preserve">HR </t>
    </r>
    <r>
      <rPr>
        <sz val="10"/>
        <rFont val="Arial"/>
        <family val="2"/>
      </rPr>
      <t>(already embedded in Admin)</t>
    </r>
  </si>
  <si>
    <t>Headcount (McK)</t>
  </si>
  <si>
    <t>Expense (check)</t>
  </si>
  <si>
    <t>TOTAL CA/CSI/SA</t>
  </si>
  <si>
    <t>(based on $000/mile)</t>
  </si>
  <si>
    <t>Transmission O&amp;M Data</t>
  </si>
  <si>
    <t>Total Tx O&amp;M</t>
  </si>
  <si>
    <t>Controllable Tx O&amp;M</t>
  </si>
  <si>
    <t>Controllable O&amp;M/mile</t>
  </si>
  <si>
    <t>Note</t>
  </si>
  <si>
    <t>Used 1997 miles for 1998</t>
  </si>
  <si>
    <t>Total ENE</t>
  </si>
  <si>
    <t>Total ENE Three Year Average</t>
  </si>
  <si>
    <t>Total CMS Three Year Average</t>
  </si>
  <si>
    <t>3-year average Controllable O&amp;M/mile</t>
  </si>
  <si>
    <t>Cristobal "A"</t>
  </si>
  <si>
    <t>Cristobal "B"</t>
  </si>
  <si>
    <t>Efficiency Savings</t>
  </si>
  <si>
    <t>Controllable O&amp;M</t>
  </si>
  <si>
    <t>CNG Transmission Corp.</t>
  </si>
  <si>
    <t>MD</t>
  </si>
  <si>
    <t>NY</t>
  </si>
  <si>
    <t>PA</t>
  </si>
  <si>
    <t>VA</t>
  </si>
  <si>
    <t>WV</t>
  </si>
  <si>
    <t>Tot Storage, Terminaling &amp; Processing $</t>
  </si>
  <si>
    <t>Tran O&amp;M Tot $</t>
  </si>
  <si>
    <t>Total CNG</t>
  </si>
  <si>
    <t>Total CNG Three Year Average</t>
  </si>
  <si>
    <t>Miles</t>
  </si>
  <si>
    <t>?</t>
  </si>
  <si>
    <t>BDT Miles (McK)</t>
  </si>
  <si>
    <t>(based on $/BDT miles)</t>
  </si>
  <si>
    <t>MMcfD (McK)</t>
  </si>
  <si>
    <t>(by $000/mmcfd)</t>
  </si>
  <si>
    <t>Revenues</t>
  </si>
  <si>
    <t>Expense/$revenue</t>
  </si>
  <si>
    <t>CMS P</t>
  </si>
  <si>
    <t>CMS T</t>
  </si>
  <si>
    <t>CNG</t>
  </si>
  <si>
    <t>Revenues (RDI)</t>
  </si>
  <si>
    <t>Driver = revenues</t>
  </si>
  <si>
    <t>Expense/HC</t>
  </si>
  <si>
    <t>Employees</t>
  </si>
  <si>
    <t>CAGR</t>
  </si>
  <si>
    <t>Annual cut</t>
  </si>
  <si>
    <t>Rev/Emp</t>
  </si>
  <si>
    <t>Assume a continuation of CAGR cuts</t>
  </si>
  <si>
    <t>Expense/Customer</t>
  </si>
  <si>
    <t>TOTAL</t>
  </si>
  <si>
    <t>CA: Uncollect Acct $</t>
  </si>
  <si>
    <t>Total sans Uncollectibles</t>
  </si>
  <si>
    <t>CS/CA/CSI sans uncollectibles</t>
  </si>
  <si>
    <t>AEP</t>
  </si>
  <si>
    <t>Appalachian Power Co.</t>
  </si>
  <si>
    <t>Columbus Southern Power Co.</t>
  </si>
  <si>
    <t>Indiana Michigan Power Co.</t>
  </si>
  <si>
    <t>Kentucky Power Co.</t>
  </si>
  <si>
    <t>Kingsport Power Co.</t>
  </si>
  <si>
    <t>Ohio Power Co.</t>
  </si>
  <si>
    <t>Wheeling Power Co.</t>
  </si>
  <si>
    <t>Cleveland Electric Illuminating Co.</t>
  </si>
  <si>
    <t>Ohio Edison Co.</t>
  </si>
  <si>
    <t>Pennsylvania Power Co.</t>
  </si>
  <si>
    <t>Toledo Edison Co.</t>
  </si>
  <si>
    <t>Virginia Electric &amp; Power Co.</t>
  </si>
  <si>
    <t>Consumers Energy Co</t>
  </si>
  <si>
    <t>CMS</t>
  </si>
  <si>
    <t>Company Name</t>
  </si>
  <si>
    <t>Holding Company Name</t>
  </si>
  <si>
    <t>American Electric Power Co., Inc.</t>
  </si>
  <si>
    <t>CMS Energy Corp.</t>
  </si>
  <si>
    <t>Dominion Resources, Inc.</t>
  </si>
  <si>
    <t>DTE Energy Co.</t>
  </si>
  <si>
    <t>FirstEnergy Corp.</t>
  </si>
  <si>
    <t>Detroit Edison Co.</t>
  </si>
  <si>
    <t>Consumers Energy Co.</t>
  </si>
  <si>
    <t>Cristobal "C"</t>
  </si>
  <si>
    <t>Cristobal "D"</t>
  </si>
  <si>
    <t>Cristobal "E"</t>
  </si>
  <si>
    <t>Tot: Quantity Dth</t>
  </si>
  <si>
    <t>Controllable O&amp;M/DTH</t>
  </si>
  <si>
    <t>THREE YEAR AVG</t>
  </si>
  <si>
    <t>ENE</t>
  </si>
  <si>
    <t>Current O&amp;M expense</t>
  </si>
  <si>
    <t>O&amp;M expense at Texas rate</t>
  </si>
  <si>
    <t>Transportation</t>
  </si>
  <si>
    <t>Item</t>
  </si>
  <si>
    <t>Texas cost driver</t>
  </si>
  <si>
    <t>Expense/$ revenue</t>
  </si>
  <si>
    <t>Expense/employee</t>
  </si>
  <si>
    <t>Expense/customer</t>
  </si>
  <si>
    <t>Deal flow</t>
  </si>
  <si>
    <t>Rate cases</t>
  </si>
  <si>
    <t>Initial incremental cost to Texas</t>
  </si>
  <si>
    <t>Equals total incremental cost to Texas</t>
  </si>
  <si>
    <t>A&amp;G: Pipes to Pipes Summary</t>
  </si>
  <si>
    <t>A&amp;G</t>
  </si>
  <si>
    <t>Pipes to Pipes</t>
  </si>
  <si>
    <t>O&amp;M</t>
  </si>
  <si>
    <t>Texas A&amp;G base cost (existing Texas pipes)</t>
  </si>
  <si>
    <t>O&amp;M: Pipes to Pipes Summary</t>
  </si>
  <si>
    <t>A&amp;G: Pipes to Wires Summary</t>
  </si>
  <si>
    <t>A</t>
  </si>
  <si>
    <t>B</t>
  </si>
  <si>
    <t>C</t>
  </si>
  <si>
    <t>D</t>
  </si>
  <si>
    <t>E</t>
  </si>
  <si>
    <t>First Energy</t>
  </si>
  <si>
    <t>Dominion Resources</t>
  </si>
  <si>
    <t>Detroit Edision</t>
  </si>
  <si>
    <t>LEGEND</t>
  </si>
  <si>
    <t>Pipes to Wires</t>
  </si>
  <si>
    <t>O&amp;M Efficiency cut</t>
  </si>
  <si>
    <t xml:space="preserve">Expense </t>
  </si>
  <si>
    <t>Derivation of expenses from McK Report</t>
  </si>
  <si>
    <t>Controllable Tx O&amp;M per FTE</t>
  </si>
  <si>
    <t>Controllable O&amp;M/FTE</t>
  </si>
  <si>
    <t>Texas Average</t>
  </si>
  <si>
    <t>Customers (RDI)</t>
  </si>
  <si>
    <t>Driver = # deals</t>
  </si>
  <si>
    <t>Driver = Customers</t>
  </si>
  <si>
    <t>Driver = headcount</t>
  </si>
  <si>
    <t>Driver = rate filings</t>
  </si>
  <si>
    <t>Driver = customers</t>
  </si>
  <si>
    <t>(McK categories)</t>
  </si>
  <si>
    <t>ID</t>
  </si>
  <si>
    <t>Total miles (check)</t>
  </si>
  <si>
    <t>Total</t>
  </si>
  <si>
    <t>Overlap</t>
  </si>
  <si>
    <t>Overlap in KS, OK, TX</t>
  </si>
  <si>
    <t>% overlap</t>
  </si>
  <si>
    <t>% CMS P that overlaps with Texas pipe</t>
  </si>
  <si>
    <t>% CMS T that overlaps with Texas pipe</t>
  </si>
  <si>
    <t>% CNG that overlaps with Texas pipe</t>
  </si>
  <si>
    <t>Miles check</t>
  </si>
  <si>
    <t>Tot Salaries &amp; Wages $</t>
  </si>
  <si>
    <t>1995 FTE</t>
  </si>
  <si>
    <t>Salary /FTE</t>
  </si>
  <si>
    <t>Avg Sal/FTE</t>
  </si>
  <si>
    <t>P-P O&amp;M Savings</t>
  </si>
  <si>
    <t>From Pax</t>
  </si>
  <si>
    <t>%</t>
  </si>
  <si>
    <t>Gas: O&amp;M TX Salaries</t>
  </si>
  <si>
    <t>Sal as % of Tx O&amp;M</t>
  </si>
  <si>
    <t>One year salary</t>
  </si>
  <si>
    <t>Total separation cost</t>
  </si>
  <si>
    <t>1998 CMS Avg</t>
  </si>
  <si>
    <t>1998 CNG Avg</t>
  </si>
  <si>
    <t>Pipes Headcut</t>
  </si>
  <si>
    <t>Percentage O&amp;M expense from labor</t>
  </si>
  <si>
    <t>Allocated Tx FTE (based on salary ratio)</t>
  </si>
  <si>
    <t>Gas</t>
  </si>
  <si>
    <t>Electric</t>
  </si>
  <si>
    <t>Embd Cost Trans $ (rev. proxy)</t>
  </si>
  <si>
    <t>Driver Recap</t>
  </si>
  <si>
    <t>Calculation</t>
  </si>
  <si>
    <t>A&amp;G drivers</t>
  </si>
  <si>
    <t>Three year total</t>
  </si>
  <si>
    <t xml:space="preserve">PIPES </t>
  </si>
  <si>
    <t>WIRES</t>
  </si>
  <si>
    <t>Various calculations to determine 1998 gas FTE level based on continuing trends</t>
  </si>
  <si>
    <t>FIRST ENERGY TOTAL</t>
  </si>
  <si>
    <t>% outplacement cost</t>
  </si>
  <si>
    <t>% headcut</t>
  </si>
  <si>
    <t>AEP TOTAL</t>
  </si>
  <si>
    <t>Avg Tx Wage</t>
  </si>
  <si>
    <t>Sal: Elec Total Dept O&amp;M $</t>
  </si>
  <si>
    <t>Allocated Tx FTE (by wage ratio)</t>
  </si>
  <si>
    <t>Sal: Elec O&amp;M Transmission $</t>
  </si>
  <si>
    <t>Tot Admin &amp; General $</t>
  </si>
  <si>
    <t>AG O: Rents $</t>
  </si>
  <si>
    <t>AG O: Misc $</t>
  </si>
  <si>
    <t>AG O: Gen Advertising $</t>
  </si>
  <si>
    <t>AG O: Regulatory $</t>
  </si>
  <si>
    <t>AG O: Pens &amp; Ben $</t>
  </si>
  <si>
    <t>AG O: Injury &amp; Dam $</t>
  </si>
  <si>
    <t>AG O: Property Insur $</t>
  </si>
  <si>
    <t>AG O: Outside Serv $</t>
  </si>
  <si>
    <t>AG O: Office Supply $</t>
  </si>
  <si>
    <t>AG O: Salaries $</t>
  </si>
  <si>
    <t>McK Calculation</t>
  </si>
  <si>
    <t>RDI Calculation</t>
  </si>
  <si>
    <t>1997 A&amp;G (NNG &amp; TWP)</t>
  </si>
  <si>
    <t>Check that McK numbers match RDI numbers</t>
  </si>
  <si>
    <t>O&amp;M Cost Savings</t>
  </si>
  <si>
    <t>Pipes-Pipes</t>
  </si>
  <si>
    <t>Pipes-Wires</t>
  </si>
  <si>
    <t>Participants</t>
  </si>
  <si>
    <t>Cristobal A (electric)</t>
  </si>
  <si>
    <t>Cristobal B (electric)</t>
  </si>
  <si>
    <t>Cristobal B (gas)</t>
  </si>
  <si>
    <t>Cristobal C (electric)</t>
  </si>
  <si>
    <t>Cristobal D (electric)</t>
  </si>
  <si>
    <t>Cristobal D (gas)</t>
  </si>
  <si>
    <t>Cristobal E (electric</t>
  </si>
  <si>
    <t xml:space="preserve">Total Incremental A&amp;G Costs </t>
  </si>
  <si>
    <t>(Enter 1 if yes, 0 if no)</t>
  </si>
  <si>
    <t>SUMMARY RESULTS (with participant options)</t>
  </si>
  <si>
    <t>GRAND TOTAL</t>
  </si>
  <si>
    <t>Wage Ratio-Tx (%)</t>
  </si>
  <si>
    <t>FTE</t>
  </si>
  <si>
    <t>Cristobal A</t>
  </si>
  <si>
    <t>Cristobal B</t>
  </si>
  <si>
    <t>Cristobal C</t>
  </si>
  <si>
    <t>Cristobal D</t>
  </si>
  <si>
    <t>Cristobal E</t>
  </si>
  <si>
    <t>Wires Personnel Separation Costs</t>
  </si>
  <si>
    <t>Outplacement/other</t>
  </si>
  <si>
    <t>Outplacement/other)</t>
  </si>
  <si>
    <t>Pipes Personnel Separation Costs</t>
  </si>
  <si>
    <t>Plus efficiency savings</t>
  </si>
  <si>
    <t>Other</t>
  </si>
  <si>
    <t>Corp Dev</t>
  </si>
  <si>
    <t>Rates &amp; Reg Affairs</t>
  </si>
  <si>
    <t>Revenues Cycle Svces</t>
  </si>
  <si>
    <t>Efficiency savings</t>
  </si>
  <si>
    <t>NA: 100% elimination</t>
  </si>
  <si>
    <t xml:space="preserve">Input options for discretionary efficiencies </t>
  </si>
  <si>
    <t>NA: 100% elimination  for pipes; 0% for wires</t>
  </si>
  <si>
    <t>Per O&amp;M efficencies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</si>
</sst>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&quot;$&quot;#,##0.000"/>
    <numFmt numFmtId="170" formatCode="0.000"/>
    <numFmt numFmtId="171" formatCode="0.0%"/>
    <numFmt numFmtId="180" formatCode="#,##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8" fillId="0" borderId="0" applyNumberFormat="0" applyFill="0" applyBorder="0" applyAlignment="0" applyProtection="0"/>
    <xf numFmtId="44" fontId="8" fillId="0" borderId="0" applyNumberFormat="0" applyFill="0" applyBorder="0" applyAlignment="0" applyProtection="0"/>
    <xf numFmtId="9" fontId="8" fillId="0" borderId="0" applyNumberFormat="0" applyFill="0" applyBorder="0" applyAlignment="0" applyProtection="0"/>
  </cellStyleXfs>
  <cellXfs count="340">
    <xf numFmtId="0" fontId="0" fillId="0" borderId="0" xfId="0"/>
    <xf numFmtId="0" fontId="1" fillId="0" borderId="0" xfId="0" applyFont="1"/>
    <xf numFmtId="164" fontId="8" fillId="0" borderId="0" xfId="1" applyNumberFormat="1"/>
    <xf numFmtId="164" fontId="1" fillId="0" borderId="0" xfId="1" applyNumberFormat="1" applyFont="1"/>
    <xf numFmtId="164" fontId="0" fillId="0" borderId="0" xfId="1" applyNumberFormat="1" applyFont="1"/>
    <xf numFmtId="1" fontId="8" fillId="0" borderId="0" xfId="2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164" fontId="1" fillId="0" borderId="0" xfId="0" applyNumberFormat="1" applyFont="1"/>
    <xf numFmtId="164" fontId="8" fillId="0" borderId="9" xfId="1" applyNumberFormat="1" applyBorder="1"/>
    <xf numFmtId="1" fontId="8" fillId="0" borderId="9" xfId="2" applyNumberFormat="1" applyBorder="1"/>
    <xf numFmtId="1" fontId="1" fillId="0" borderId="0" xfId="2" applyNumberFormat="1" applyFont="1"/>
    <xf numFmtId="164" fontId="2" fillId="0" borderId="0" xfId="1" applyNumberFormat="1" applyFont="1"/>
    <xf numFmtId="42" fontId="1" fillId="0" borderId="0" xfId="0" applyNumberFormat="1" applyFont="1" applyBorder="1"/>
    <xf numFmtId="0" fontId="0" fillId="0" borderId="0" xfId="0" applyAlignment="1">
      <alignment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8" fillId="0" borderId="0" xfId="1" applyNumberFormat="1"/>
    <xf numFmtId="0" fontId="0" fillId="0" borderId="0" xfId="0" applyBorder="1" applyAlignment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 applyBorder="1"/>
    <xf numFmtId="16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0" applyNumberFormat="1"/>
    <xf numFmtId="164" fontId="8" fillId="0" borderId="0" xfId="1" applyNumberFormat="1" applyBorder="1"/>
    <xf numFmtId="164" fontId="0" fillId="0" borderId="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Border="1"/>
    <xf numFmtId="0" fontId="1" fillId="0" borderId="9" xfId="0" applyFont="1" applyBorder="1"/>
    <xf numFmtId="0" fontId="3" fillId="0" borderId="0" xfId="0" applyFont="1"/>
    <xf numFmtId="164" fontId="0" fillId="0" borderId="12" xfId="0" applyNumberFormat="1" applyBorder="1"/>
    <xf numFmtId="164" fontId="8" fillId="0" borderId="0" xfId="2" applyNumberFormat="1" applyBorder="1"/>
    <xf numFmtId="42" fontId="0" fillId="0" borderId="0" xfId="0" applyNumberFormat="1" applyBorder="1"/>
    <xf numFmtId="3" fontId="8" fillId="0" borderId="0" xfId="1" applyNumberFormat="1" applyBorder="1" applyAlignment="1">
      <alignment horizontal="right"/>
    </xf>
    <xf numFmtId="164" fontId="2" fillId="0" borderId="0" xfId="2" applyNumberFormat="1" applyFont="1" applyBorder="1"/>
    <xf numFmtId="3" fontId="8" fillId="0" borderId="0" xfId="1" applyNumberFormat="1" applyBorder="1"/>
    <xf numFmtId="165" fontId="2" fillId="0" borderId="0" xfId="2" applyNumberFormat="1" applyFont="1" applyBorder="1"/>
    <xf numFmtId="164" fontId="1" fillId="0" borderId="13" xfId="1" applyNumberFormat="1" applyFont="1" applyBorder="1"/>
    <xf numFmtId="164" fontId="0" fillId="0" borderId="0" xfId="2" applyNumberFormat="1" applyFont="1" applyBorder="1"/>
    <xf numFmtId="164" fontId="0" fillId="0" borderId="5" xfId="1" applyNumberFormat="1" applyFont="1" applyBorder="1"/>
    <xf numFmtId="164" fontId="1" fillId="0" borderId="0" xfId="2" applyNumberFormat="1" applyFont="1" applyBorder="1"/>
    <xf numFmtId="1" fontId="8" fillId="0" borderId="0" xfId="2" applyNumberFormat="1" applyBorder="1"/>
    <xf numFmtId="164" fontId="8" fillId="0" borderId="2" xfId="1" applyNumberFormat="1" applyBorder="1"/>
    <xf numFmtId="164" fontId="8" fillId="0" borderId="3" xfId="1" applyNumberFormat="1" applyBorder="1"/>
    <xf numFmtId="166" fontId="8" fillId="0" borderId="5" xfId="1" applyNumberFormat="1" applyBorder="1"/>
    <xf numFmtId="166" fontId="8" fillId="0" borderId="8" xfId="1" applyNumberFormat="1" applyBorder="1"/>
    <xf numFmtId="0" fontId="0" fillId="0" borderId="10" xfId="0" applyBorder="1" applyAlignment="1">
      <alignment horizontal="center" vertical="center" wrapText="1"/>
    </xf>
    <xf numFmtId="164" fontId="8" fillId="0" borderId="14" xfId="1" applyNumberFormat="1" applyBorder="1"/>
    <xf numFmtId="164" fontId="0" fillId="0" borderId="10" xfId="0" applyNumberFormat="1" applyBorder="1"/>
    <xf numFmtId="164" fontId="0" fillId="0" borderId="14" xfId="0" applyNumberFormat="1" applyBorder="1"/>
    <xf numFmtId="166" fontId="8" fillId="0" borderId="9" xfId="2" applyNumberFormat="1" applyBorder="1"/>
    <xf numFmtId="42" fontId="0" fillId="0" borderId="9" xfId="0" applyNumberFormat="1" applyBorder="1"/>
    <xf numFmtId="3" fontId="8" fillId="0" borderId="9" xfId="1" applyNumberFormat="1" applyBorder="1" applyAlignment="1">
      <alignment horizontal="right"/>
    </xf>
    <xf numFmtId="164" fontId="2" fillId="0" borderId="9" xfId="2" applyNumberFormat="1" applyFont="1" applyBorder="1"/>
    <xf numFmtId="42" fontId="1" fillId="0" borderId="9" xfId="0" applyNumberFormat="1" applyFont="1" applyBorder="1"/>
    <xf numFmtId="3" fontId="8" fillId="0" borderId="9" xfId="1" applyNumberFormat="1" applyBorder="1"/>
    <xf numFmtId="0" fontId="3" fillId="0" borderId="0" xfId="0" applyFont="1" applyBorder="1" applyAlignment="1">
      <alignment horizontal="left"/>
    </xf>
    <xf numFmtId="0" fontId="2" fillId="0" borderId="15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/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164" fontId="0" fillId="0" borderId="20" xfId="0" applyNumberFormat="1" applyBorder="1"/>
    <xf numFmtId="164" fontId="8" fillId="0" borderId="20" xfId="1" applyNumberFormat="1" applyBorder="1"/>
    <xf numFmtId="0" fontId="0" fillId="0" borderId="21" xfId="0" applyBorder="1" applyAlignment="1">
      <alignment horizontal="center" vertical="center" wrapText="1"/>
    </xf>
    <xf numFmtId="164" fontId="8" fillId="0" borderId="17" xfId="1" applyNumberFormat="1" applyBorder="1"/>
    <xf numFmtId="164" fontId="0" fillId="0" borderId="17" xfId="0" applyNumberFormat="1" applyBorder="1"/>
    <xf numFmtId="0" fontId="0" fillId="0" borderId="12" xfId="0" applyBorder="1"/>
    <xf numFmtId="0" fontId="0" fillId="0" borderId="22" xfId="0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164" fontId="8" fillId="0" borderId="27" xfId="2" applyNumberFormat="1" applyBorder="1" applyAlignment="1">
      <alignment horizontal="center"/>
    </xf>
    <xf numFmtId="0" fontId="1" fillId="0" borderId="28" xfId="0" applyFont="1" applyBorder="1" applyAlignment="1">
      <alignment horizontal="center" vertical="center" wrapText="1"/>
    </xf>
    <xf numFmtId="42" fontId="0" fillId="0" borderId="29" xfId="0" applyNumberFormat="1" applyBorder="1"/>
    <xf numFmtId="3" fontId="8" fillId="0" borderId="30" xfId="1" applyNumberFormat="1" applyBorder="1" applyAlignment="1">
      <alignment horizontal="center"/>
    </xf>
    <xf numFmtId="164" fontId="8" fillId="0" borderId="30" xfId="2" applyNumberFormat="1" applyBorder="1" applyAlignment="1">
      <alignment horizontal="center"/>
    </xf>
    <xf numFmtId="164" fontId="2" fillId="0" borderId="30" xfId="2" applyNumberFormat="1" applyFont="1" applyBorder="1" applyAlignment="1">
      <alignment horizontal="center"/>
    </xf>
    <xf numFmtId="42" fontId="0" fillId="0" borderId="29" xfId="0" applyNumberFormat="1" applyBorder="1" applyAlignment="1">
      <alignment horizontal="center"/>
    </xf>
    <xf numFmtId="42" fontId="1" fillId="0" borderId="3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2" xfId="0" applyBorder="1" applyAlignment="1">
      <alignment horizontal="center"/>
    </xf>
    <xf numFmtId="165" fontId="0" fillId="0" borderId="2" xfId="0" applyNumberFormat="1" applyBorder="1"/>
    <xf numFmtId="0" fontId="0" fillId="0" borderId="33" xfId="0" applyBorder="1"/>
    <xf numFmtId="0" fontId="0" fillId="0" borderId="34" xfId="0" applyBorder="1"/>
    <xf numFmtId="0" fontId="1" fillId="0" borderId="0" xfId="0" applyFont="1" applyBorder="1"/>
    <xf numFmtId="0" fontId="0" fillId="0" borderId="12" xfId="0" applyBorder="1" applyAlignment="1"/>
    <xf numFmtId="0" fontId="0" fillId="0" borderId="22" xfId="0" applyBorder="1" applyAlignment="1"/>
    <xf numFmtId="0" fontId="2" fillId="0" borderId="28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right"/>
    </xf>
    <xf numFmtId="164" fontId="0" fillId="0" borderId="33" xfId="0" applyNumberFormat="1" applyBorder="1" applyAlignment="1">
      <alignment horizontal="center"/>
    </xf>
    <xf numFmtId="164" fontId="0" fillId="0" borderId="33" xfId="0" applyNumberFormat="1" applyBorder="1" applyAlignment="1">
      <alignment horizontal="right"/>
    </xf>
    <xf numFmtId="164" fontId="0" fillId="0" borderId="20" xfId="0" applyNumberFormat="1" applyBorder="1" applyAlignment="1">
      <alignment horizontal="center"/>
    </xf>
    <xf numFmtId="164" fontId="2" fillId="0" borderId="24" xfId="0" applyNumberFormat="1" applyFont="1" applyBorder="1"/>
    <xf numFmtId="165" fontId="0" fillId="0" borderId="0" xfId="0" applyNumberFormat="1" applyBorder="1"/>
    <xf numFmtId="0" fontId="4" fillId="0" borderId="17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3" fillId="0" borderId="9" xfId="0" applyFont="1" applyBorder="1" applyAlignment="1">
      <alignment horizontal="left"/>
    </xf>
    <xf numFmtId="0" fontId="0" fillId="0" borderId="38" xfId="0" applyBorder="1" applyAlignment="1">
      <alignment horizontal="center" vertical="center" wrapText="1"/>
    </xf>
    <xf numFmtId="164" fontId="0" fillId="0" borderId="39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2" fillId="0" borderId="24" xfId="0" applyNumberFormat="1" applyFon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164" fontId="0" fillId="0" borderId="4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164" fontId="2" fillId="0" borderId="12" xfId="0" applyNumberFormat="1" applyFont="1" applyBorder="1" applyAlignment="1">
      <alignment horizontal="right"/>
    </xf>
    <xf numFmtId="164" fontId="1" fillId="0" borderId="31" xfId="0" applyNumberFormat="1" applyFont="1" applyBorder="1" applyAlignment="1">
      <alignment horizontal="right"/>
    </xf>
    <xf numFmtId="164" fontId="1" fillId="0" borderId="24" xfId="0" applyNumberFormat="1" applyFont="1" applyBorder="1" applyAlignment="1">
      <alignment horizontal="right"/>
    </xf>
    <xf numFmtId="164" fontId="1" fillId="0" borderId="41" xfId="0" applyNumberFormat="1" applyFont="1" applyBorder="1" applyAlignment="1">
      <alignment horizontal="right"/>
    </xf>
    <xf numFmtId="164" fontId="0" fillId="0" borderId="42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1" fillId="0" borderId="12" xfId="0" applyFont="1" applyBorder="1" applyAlignment="1">
      <alignment horizontal="left"/>
    </xf>
    <xf numFmtId="164" fontId="0" fillId="0" borderId="7" xfId="0" applyNumberFormat="1" applyBorder="1"/>
    <xf numFmtId="164" fontId="0" fillId="0" borderId="9" xfId="0" applyNumberFormat="1" applyBorder="1" applyAlignment="1">
      <alignment horizontal="center"/>
    </xf>
    <xf numFmtId="166" fontId="1" fillId="0" borderId="10" xfId="0" applyNumberFormat="1" applyFont="1" applyBorder="1"/>
    <xf numFmtId="166" fontId="0" fillId="0" borderId="10" xfId="0" applyNumberFormat="1" applyBorder="1"/>
    <xf numFmtId="0" fontId="0" fillId="0" borderId="43" xfId="0" applyBorder="1"/>
    <xf numFmtId="0" fontId="0" fillId="0" borderId="44" xfId="0" applyBorder="1"/>
    <xf numFmtId="0" fontId="0" fillId="0" borderId="36" xfId="0" applyBorder="1"/>
    <xf numFmtId="0" fontId="1" fillId="0" borderId="45" xfId="0" applyFont="1" applyBorder="1"/>
    <xf numFmtId="0" fontId="1" fillId="0" borderId="35" xfId="0" applyFont="1" applyBorder="1"/>
    <xf numFmtId="0" fontId="1" fillId="0" borderId="37" xfId="0" applyFont="1" applyBorder="1"/>
    <xf numFmtId="9" fontId="8" fillId="0" borderId="0" xfId="3" applyNumberFormat="1"/>
    <xf numFmtId="9" fontId="0" fillId="0" borderId="3" xfId="0" applyNumberFormat="1" applyBorder="1"/>
    <xf numFmtId="9" fontId="0" fillId="0" borderId="5" xfId="0" applyNumberFormat="1" applyBorder="1"/>
    <xf numFmtId="9" fontId="0" fillId="0" borderId="8" xfId="0" applyNumberFormat="1" applyBorder="1"/>
    <xf numFmtId="1" fontId="2" fillId="0" borderId="0" xfId="2" applyNumberFormat="1" applyFont="1"/>
    <xf numFmtId="164" fontId="3" fillId="0" borderId="0" xfId="0" applyNumberFormat="1" applyFont="1"/>
    <xf numFmtId="171" fontId="3" fillId="0" borderId="0" xfId="3" applyNumberFormat="1" applyFont="1"/>
    <xf numFmtId="0" fontId="3" fillId="0" borderId="0" xfId="3" applyNumberFormat="1" applyFont="1"/>
    <xf numFmtId="171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0" xfId="0" applyNumberFormat="1" applyFont="1" applyBorder="1"/>
    <xf numFmtId="164" fontId="3" fillId="0" borderId="5" xfId="0" applyNumberFormat="1" applyFont="1" applyBorder="1"/>
    <xf numFmtId="0" fontId="3" fillId="0" borderId="6" xfId="0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3" fontId="3" fillId="0" borderId="0" xfId="0" applyNumberFormat="1" applyFont="1" applyBorder="1"/>
    <xf numFmtId="3" fontId="3" fillId="0" borderId="5" xfId="0" applyNumberFormat="1" applyFont="1" applyBorder="1"/>
    <xf numFmtId="164" fontId="3" fillId="0" borderId="0" xfId="1" applyNumberFormat="1" applyFont="1"/>
    <xf numFmtId="0" fontId="3" fillId="0" borderId="17" xfId="0" applyFont="1" applyBorder="1"/>
    <xf numFmtId="0" fontId="3" fillId="0" borderId="35" xfId="0" applyFont="1" applyBorder="1" applyAlignment="1">
      <alignment horizontal="center"/>
    </xf>
    <xf numFmtId="9" fontId="3" fillId="0" borderId="0" xfId="1" applyNumberFormat="1" applyFont="1"/>
    <xf numFmtId="164" fontId="3" fillId="0" borderId="35" xfId="0" applyNumberFormat="1" applyFont="1" applyBorder="1"/>
    <xf numFmtId="9" fontId="3" fillId="0" borderId="46" xfId="0" applyNumberFormat="1" applyFont="1" applyBorder="1"/>
    <xf numFmtId="164" fontId="3" fillId="0" borderId="7" xfId="3" applyNumberFormat="1" applyFont="1" applyBorder="1"/>
    <xf numFmtId="164" fontId="3" fillId="0" borderId="47" xfId="3" applyNumberFormat="1" applyFont="1" applyBorder="1"/>
    <xf numFmtId="0" fontId="3" fillId="0" borderId="36" xfId="0" applyFont="1" applyBorder="1"/>
    <xf numFmtId="164" fontId="3" fillId="0" borderId="9" xfId="0" applyNumberFormat="1" applyFont="1" applyBorder="1"/>
    <xf numFmtId="164" fontId="3" fillId="0" borderId="37" xfId="0" applyNumberFormat="1" applyFont="1" applyBorder="1"/>
    <xf numFmtId="9" fontId="6" fillId="0" borderId="31" xfId="3" applyNumberFormat="1" applyFont="1" applyBorder="1"/>
    <xf numFmtId="0" fontId="3" fillId="0" borderId="1" xfId="0" applyFont="1" applyBorder="1"/>
    <xf numFmtId="0" fontId="3" fillId="0" borderId="5" xfId="0" applyFont="1" applyBorder="1"/>
    <xf numFmtId="0" fontId="3" fillId="0" borderId="8" xfId="0" applyFont="1" applyBorder="1"/>
    <xf numFmtId="0" fontId="6" fillId="0" borderId="0" xfId="0" applyFont="1"/>
    <xf numFmtId="0" fontId="3" fillId="0" borderId="9" xfId="0" applyFont="1" applyBorder="1"/>
    <xf numFmtId="0" fontId="6" fillId="0" borderId="0" xfId="0" applyFont="1" applyAlignment="1">
      <alignment horizontal="center"/>
    </xf>
    <xf numFmtId="9" fontId="3" fillId="0" borderId="4" xfId="3" applyNumberFormat="1" applyFont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164" fontId="1" fillId="0" borderId="31" xfId="2" applyNumberFormat="1" applyFont="1" applyBorder="1"/>
    <xf numFmtId="166" fontId="8" fillId="0" borderId="5" xfId="2" applyNumberFormat="1" applyBorder="1"/>
    <xf numFmtId="0" fontId="1" fillId="0" borderId="4" xfId="0" applyFont="1" applyBorder="1"/>
    <xf numFmtId="166" fontId="1" fillId="0" borderId="5" xfId="2" applyNumberFormat="1" applyFont="1" applyBorder="1"/>
    <xf numFmtId="166" fontId="1" fillId="0" borderId="5" xfId="0" applyNumberFormat="1" applyFont="1" applyBorder="1"/>
    <xf numFmtId="0" fontId="1" fillId="0" borderId="6" xfId="0" applyFont="1" applyBorder="1"/>
    <xf numFmtId="166" fontId="1" fillId="0" borderId="8" xfId="0" applyNumberFormat="1" applyFont="1" applyBorder="1"/>
    <xf numFmtId="3" fontId="0" fillId="0" borderId="7" xfId="0" applyNumberFormat="1" applyBorder="1"/>
    <xf numFmtId="0" fontId="4" fillId="0" borderId="0" xfId="0" applyFont="1" applyBorder="1"/>
    <xf numFmtId="3" fontId="1" fillId="0" borderId="0" xfId="0" applyNumberFormat="1" applyFont="1" applyBorder="1"/>
    <xf numFmtId="3" fontId="0" fillId="0" borderId="0" xfId="0" applyNumberFormat="1" applyBorder="1"/>
    <xf numFmtId="164" fontId="1" fillId="0" borderId="0" xfId="0" applyNumberFormat="1" applyFont="1" applyBorder="1"/>
    <xf numFmtId="164" fontId="8" fillId="0" borderId="7" xfId="1" applyNumberFormat="1" applyBorder="1"/>
    <xf numFmtId="1" fontId="8" fillId="0" borderId="7" xfId="2" applyNumberFormat="1" applyBorder="1"/>
    <xf numFmtId="164" fontId="0" fillId="0" borderId="7" xfId="1" applyNumberFormat="1" applyFont="1" applyBorder="1"/>
    <xf numFmtId="164" fontId="2" fillId="0" borderId="7" xfId="1" applyNumberFormat="1" applyFont="1" applyBorder="1"/>
    <xf numFmtId="164" fontId="1" fillId="0" borderId="48" xfId="1" applyNumberFormat="1" applyFont="1" applyBorder="1"/>
    <xf numFmtId="1" fontId="8" fillId="0" borderId="49" xfId="2" applyNumberFormat="1" applyBorder="1"/>
    <xf numFmtId="1" fontId="8" fillId="0" borderId="49" xfId="1" applyNumberFormat="1" applyBorder="1"/>
    <xf numFmtId="164" fontId="0" fillId="0" borderId="45" xfId="1" applyNumberFormat="1" applyFont="1" applyBorder="1"/>
    <xf numFmtId="164" fontId="0" fillId="0" borderId="35" xfId="1" applyNumberFormat="1" applyFont="1" applyBorder="1"/>
    <xf numFmtId="164" fontId="8" fillId="0" borderId="35" xfId="1" applyNumberFormat="1" applyBorder="1"/>
    <xf numFmtId="164" fontId="0" fillId="0" borderId="17" xfId="1" applyNumberFormat="1" applyFont="1" applyBorder="1"/>
    <xf numFmtId="164" fontId="1" fillId="0" borderId="17" xfId="1" applyNumberFormat="1" applyFont="1" applyBorder="1"/>
    <xf numFmtId="164" fontId="1" fillId="0" borderId="36" xfId="1" applyNumberFormat="1" applyFont="1" applyBorder="1"/>
    <xf numFmtId="164" fontId="0" fillId="0" borderId="9" xfId="2" applyNumberFormat="1" applyFont="1" applyBorder="1"/>
    <xf numFmtId="164" fontId="8" fillId="0" borderId="9" xfId="2" applyNumberFormat="1" applyBorder="1"/>
    <xf numFmtId="164" fontId="8" fillId="0" borderId="37" xfId="1" applyNumberFormat="1" applyBorder="1"/>
    <xf numFmtId="0" fontId="0" fillId="0" borderId="2" xfId="0" applyBorder="1" applyAlignment="1">
      <alignment horizontal="right"/>
    </xf>
    <xf numFmtId="0" fontId="1" fillId="0" borderId="1" xfId="0" applyFont="1" applyBorder="1"/>
    <xf numFmtId="3" fontId="0" fillId="0" borderId="4" xfId="0" applyNumberFormat="1" applyBorder="1"/>
    <xf numFmtId="3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64" fontId="0" fillId="0" borderId="6" xfId="0" applyNumberFormat="1" applyBorder="1"/>
    <xf numFmtId="1" fontId="0" fillId="0" borderId="8" xfId="0" applyNumberForma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3" fontId="1" fillId="0" borderId="7" xfId="0" applyNumberFormat="1" applyFont="1" applyBorder="1"/>
    <xf numFmtId="3" fontId="0" fillId="0" borderId="8" xfId="0" applyNumberFormat="1" applyBorder="1"/>
    <xf numFmtId="0" fontId="2" fillId="0" borderId="0" xfId="0" applyFont="1" applyBorder="1"/>
    <xf numFmtId="0" fontId="2" fillId="0" borderId="6" xfId="0" applyFont="1" applyBorder="1"/>
    <xf numFmtId="0" fontId="2" fillId="0" borderId="4" xfId="0" applyFont="1" applyBorder="1"/>
    <xf numFmtId="170" fontId="0" fillId="0" borderId="5" xfId="0" applyNumberFormat="1" applyBorder="1"/>
    <xf numFmtId="170" fontId="0" fillId="0" borderId="8" xfId="0" applyNumberForma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" xfId="0" applyNumberFormat="1" applyBorder="1"/>
    <xf numFmtId="0" fontId="0" fillId="0" borderId="50" xfId="0" applyBorder="1" applyAlignment="1">
      <alignment horizontal="center"/>
    </xf>
    <xf numFmtId="166" fontId="0" fillId="0" borderId="5" xfId="0" applyNumberFormat="1" applyBorder="1"/>
    <xf numFmtId="164" fontId="8" fillId="0" borderId="5" xfId="2" applyNumberFormat="1" applyBorder="1"/>
    <xf numFmtId="164" fontId="0" fillId="0" borderId="5" xfId="0" applyNumberFormat="1" applyBorder="1"/>
    <xf numFmtId="165" fontId="0" fillId="0" borderId="8" xfId="0" applyNumberFormat="1" applyBorder="1"/>
    <xf numFmtId="9" fontId="3" fillId="0" borderId="10" xfId="1" applyNumberFormat="1" applyFont="1" applyBorder="1"/>
    <xf numFmtId="9" fontId="3" fillId="0" borderId="9" xfId="1" applyNumberFormat="1" applyFont="1" applyBorder="1"/>
    <xf numFmtId="9" fontId="7" fillId="0" borderId="0" xfId="1" applyNumberFormat="1" applyFont="1"/>
    <xf numFmtId="9" fontId="3" fillId="0" borderId="0" xfId="1" applyNumberFormat="1" applyFont="1" applyBorder="1"/>
    <xf numFmtId="164" fontId="6" fillId="0" borderId="0" xfId="0" applyNumberFormat="1" applyFont="1"/>
    <xf numFmtId="3" fontId="3" fillId="0" borderId="0" xfId="0" applyNumberFormat="1" applyFont="1" applyBorder="1" applyAlignment="1"/>
    <xf numFmtId="9" fontId="3" fillId="0" borderId="8" xfId="0" applyNumberFormat="1" applyFont="1" applyBorder="1"/>
    <xf numFmtId="9" fontId="3" fillId="0" borderId="3" xfId="0" applyNumberFormat="1" applyFont="1" applyBorder="1"/>
    <xf numFmtId="0" fontId="3" fillId="0" borderId="35" xfId="0" applyFont="1" applyBorder="1"/>
    <xf numFmtId="164" fontId="0" fillId="0" borderId="9" xfId="0" applyNumberFormat="1" applyBorder="1"/>
    <xf numFmtId="165" fontId="0" fillId="0" borderId="9" xfId="0" applyNumberFormat="1" applyBorder="1"/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164" fontId="3" fillId="0" borderId="35" xfId="2" applyNumberFormat="1" applyFont="1" applyBorder="1"/>
    <xf numFmtId="164" fontId="3" fillId="0" borderId="17" xfId="0" applyNumberFormat="1" applyFont="1" applyBorder="1"/>
    <xf numFmtId="0" fontId="3" fillId="0" borderId="46" xfId="0" applyFont="1" applyBorder="1"/>
    <xf numFmtId="0" fontId="3" fillId="0" borderId="47" xfId="0" applyFont="1" applyBorder="1"/>
    <xf numFmtId="164" fontId="6" fillId="0" borderId="31" xfId="2" applyNumberFormat="1" applyFont="1" applyBorder="1"/>
    <xf numFmtId="164" fontId="6" fillId="0" borderId="31" xfId="0" applyNumberFormat="1" applyFont="1" applyBorder="1"/>
    <xf numFmtId="0" fontId="3" fillId="0" borderId="37" xfId="0" applyFont="1" applyBorder="1"/>
    <xf numFmtId="0" fontId="6" fillId="0" borderId="0" xfId="0" applyFont="1" applyBorder="1"/>
    <xf numFmtId="0" fontId="3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1" fillId="0" borderId="10" xfId="0" applyNumberFormat="1" applyFont="1" applyBorder="1"/>
    <xf numFmtId="0" fontId="4" fillId="0" borderId="43" xfId="0" applyFont="1" applyBorder="1"/>
    <xf numFmtId="0" fontId="4" fillId="0" borderId="44" xfId="0" applyFont="1" applyBorder="1"/>
    <xf numFmtId="0" fontId="6" fillId="0" borderId="17" xfId="0" applyFont="1" applyBorder="1"/>
    <xf numFmtId="0" fontId="6" fillId="0" borderId="35" xfId="0" applyFont="1" applyBorder="1" applyAlignment="1">
      <alignment horizontal="center"/>
    </xf>
    <xf numFmtId="0" fontId="6" fillId="0" borderId="17" xfId="0" applyFont="1" applyBorder="1" applyAlignment="1">
      <alignment horizontal="right"/>
    </xf>
    <xf numFmtId="0" fontId="3" fillId="0" borderId="37" xfId="0" applyFont="1" applyBorder="1" applyAlignment="1">
      <alignment horizontal="center"/>
    </xf>
    <xf numFmtId="164" fontId="0" fillId="0" borderId="44" xfId="0" applyNumberFormat="1" applyBorder="1"/>
    <xf numFmtId="164" fontId="0" fillId="0" borderId="45" xfId="0" applyNumberFormat="1" applyBorder="1" applyAlignment="1">
      <alignment horizontal="center"/>
    </xf>
    <xf numFmtId="0" fontId="2" fillId="0" borderId="17" xfId="0" applyFont="1" applyBorder="1"/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3" fontId="3" fillId="0" borderId="0" xfId="0" applyNumberFormat="1" applyFont="1"/>
    <xf numFmtId="180" fontId="3" fillId="0" borderId="0" xfId="0" applyNumberFormat="1" applyFont="1"/>
    <xf numFmtId="180" fontId="6" fillId="0" borderId="0" xfId="0" applyNumberFormat="1" applyFont="1"/>
    <xf numFmtId="3" fontId="6" fillId="0" borderId="0" xfId="0" applyNumberFormat="1" applyFont="1" applyBorder="1" applyAlignment="1"/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/>
    <xf numFmtId="164" fontId="1" fillId="0" borderId="12" xfId="0" applyNumberFormat="1" applyFont="1" applyBorder="1" applyAlignment="1"/>
    <xf numFmtId="164" fontId="1" fillId="0" borderId="35" xfId="0" applyNumberFormat="1" applyFont="1" applyBorder="1" applyAlignment="1"/>
    <xf numFmtId="164" fontId="1" fillId="0" borderId="31" xfId="0" applyNumberFormat="1" applyFont="1" applyBorder="1" applyAlignment="1"/>
    <xf numFmtId="164" fontId="2" fillId="0" borderId="18" xfId="0" applyNumberFormat="1" applyFon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4" fontId="8" fillId="0" borderId="17" xfId="1" applyNumberForma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51" xfId="0" applyFont="1" applyBorder="1" applyAlignment="1">
      <alignment horizontal="center"/>
    </xf>
    <xf numFmtId="9" fontId="3" fillId="0" borderId="51" xfId="0" applyNumberFormat="1" applyFont="1" applyBorder="1" applyAlignment="1">
      <alignment horizontal="center"/>
    </xf>
    <xf numFmtId="171" fontId="3" fillId="0" borderId="51" xfId="0" applyNumberFormat="1" applyFont="1" applyBorder="1" applyAlignment="1">
      <alignment horizontal="center"/>
    </xf>
    <xf numFmtId="0" fontId="3" fillId="0" borderId="52" xfId="0" applyFont="1" applyBorder="1" applyAlignment="1">
      <alignment horizontal="left"/>
    </xf>
    <xf numFmtId="9" fontId="3" fillId="0" borderId="53" xfId="0" applyNumberFormat="1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3" fillId="0" borderId="51" xfId="0" applyFont="1" applyBorder="1" applyAlignment="1">
      <alignment horizontal="center" wrapText="1"/>
    </xf>
    <xf numFmtId="0" fontId="3" fillId="0" borderId="38" xfId="0" applyFont="1" applyBorder="1" applyAlignment="1">
      <alignment horizontal="left" vertic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0" borderId="44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43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9" fontId="6" fillId="0" borderId="45" xfId="0" applyNumberFormat="1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88"/>
  <sheetViews>
    <sheetView tabSelected="1" topLeftCell="B1" workbookViewId="0">
      <selection activeCell="F27" sqref="F27"/>
    </sheetView>
  </sheetViews>
  <sheetFormatPr defaultRowHeight="12.75" x14ac:dyDescent="0.2"/>
  <cols>
    <col min="1" max="1" width="16.7109375" customWidth="1"/>
    <col min="2" max="2" width="23.5703125" customWidth="1"/>
    <col min="3" max="3" width="17.85546875" bestFit="1" customWidth="1"/>
    <col min="4" max="5" width="16.7109375" style="31" customWidth="1"/>
    <col min="6" max="6" width="16.7109375" customWidth="1"/>
    <col min="7" max="7" width="16.85546875" customWidth="1"/>
    <col min="8" max="8" width="17" customWidth="1"/>
    <col min="9" max="18" width="16.7109375" customWidth="1"/>
    <col min="19" max="19" width="9.28515625" bestFit="1" customWidth="1"/>
  </cols>
  <sheetData>
    <row r="2" spans="1:13" x14ac:dyDescent="0.2">
      <c r="A2" s="301" t="s">
        <v>284</v>
      </c>
      <c r="B2" s="301"/>
      <c r="C2" s="301"/>
    </row>
    <row r="3" spans="1:13" ht="13.5" thickBot="1" x14ac:dyDescent="0.25"/>
    <row r="4" spans="1:13" x14ac:dyDescent="0.2">
      <c r="B4" s="259"/>
      <c r="C4" s="260"/>
      <c r="D4" s="265"/>
      <c r="E4" s="266"/>
      <c r="F4" s="34"/>
      <c r="G4" s="290" t="s">
        <v>304</v>
      </c>
      <c r="H4" s="291"/>
      <c r="I4" s="17"/>
      <c r="M4" s="11"/>
    </row>
    <row r="5" spans="1:13" s="42" customFormat="1" ht="11.25" x14ac:dyDescent="0.2">
      <c r="A5" s="268"/>
      <c r="B5" s="261"/>
      <c r="C5" s="257" t="s">
        <v>272</v>
      </c>
      <c r="D5" s="257" t="s">
        <v>273</v>
      </c>
      <c r="E5" s="262"/>
      <c r="F5" s="151"/>
      <c r="G5" s="246" t="s">
        <v>173</v>
      </c>
      <c r="H5" s="247" t="s">
        <v>302</v>
      </c>
    </row>
    <row r="6" spans="1:13" s="42" customFormat="1" x14ac:dyDescent="0.2">
      <c r="A6" s="40"/>
      <c r="B6" s="261" t="s">
        <v>282</v>
      </c>
      <c r="C6" s="258">
        <f>(C13*F40)+(C16*I40)</f>
        <v>91291852.595563054</v>
      </c>
      <c r="D6" s="258">
        <f>(C11*F65)+(C12*I65)+(C14*L65)+(C15*O65)+(C17*R65)</f>
        <v>75126716.063364536</v>
      </c>
      <c r="E6" s="164"/>
      <c r="F6" s="151"/>
      <c r="G6" s="284" t="s">
        <v>299</v>
      </c>
      <c r="H6" s="285" t="s">
        <v>303</v>
      </c>
    </row>
    <row r="7" spans="1:13" s="42" customFormat="1" x14ac:dyDescent="0.2">
      <c r="A7" s="40"/>
      <c r="B7" s="263" t="s">
        <v>271</v>
      </c>
      <c r="C7" s="258">
        <f>(C13*H48)+(C16*M48)</f>
        <v>83668309.258718312</v>
      </c>
      <c r="D7" s="258">
        <v>0</v>
      </c>
      <c r="E7" s="164"/>
      <c r="F7" s="151"/>
      <c r="G7" s="284" t="s">
        <v>36</v>
      </c>
      <c r="H7" s="286">
        <v>0.25</v>
      </c>
    </row>
    <row r="8" spans="1:13" s="42" customFormat="1" ht="11.25" x14ac:dyDescent="0.2">
      <c r="A8" s="40"/>
      <c r="B8" s="263"/>
      <c r="C8" s="255"/>
      <c r="D8" s="40"/>
      <c r="E8" s="164"/>
      <c r="F8" s="151"/>
      <c r="G8" s="284" t="s">
        <v>75</v>
      </c>
      <c r="H8" s="286">
        <v>0</v>
      </c>
    </row>
    <row r="9" spans="1:13" s="42" customFormat="1" ht="12.75" customHeight="1" x14ac:dyDescent="0.2">
      <c r="A9" s="40"/>
      <c r="B9" s="163"/>
      <c r="C9" s="40"/>
      <c r="D9" s="153"/>
      <c r="E9" s="164"/>
      <c r="G9" s="284" t="s">
        <v>76</v>
      </c>
      <c r="H9" s="285" t="s">
        <v>306</v>
      </c>
    </row>
    <row r="10" spans="1:13" s="42" customFormat="1" x14ac:dyDescent="0.2">
      <c r="B10" s="267" t="s">
        <v>274</v>
      </c>
      <c r="C10" s="255" t="s">
        <v>283</v>
      </c>
      <c r="D10" s="153"/>
      <c r="E10" s="164"/>
      <c r="G10" s="293" t="s">
        <v>300</v>
      </c>
      <c r="H10" s="292" t="s">
        <v>305</v>
      </c>
    </row>
    <row r="11" spans="1:13" s="42" customFormat="1" x14ac:dyDescent="0.2">
      <c r="B11" s="267" t="s">
        <v>275</v>
      </c>
      <c r="C11" s="222">
        <v>1</v>
      </c>
      <c r="D11" s="153"/>
      <c r="E11" s="164"/>
      <c r="G11" s="293"/>
      <c r="H11" s="292"/>
    </row>
    <row r="12" spans="1:13" s="42" customFormat="1" x14ac:dyDescent="0.2">
      <c r="B12" s="267" t="s">
        <v>276</v>
      </c>
      <c r="C12" s="222">
        <v>1</v>
      </c>
      <c r="D12" s="153"/>
      <c r="E12" s="164"/>
      <c r="G12" s="284" t="s">
        <v>78</v>
      </c>
      <c r="H12" s="287">
        <v>7.4999999999999997E-2</v>
      </c>
    </row>
    <row r="13" spans="1:13" s="42" customFormat="1" x14ac:dyDescent="0.2">
      <c r="B13" s="267" t="s">
        <v>277</v>
      </c>
      <c r="C13" s="222">
        <v>1</v>
      </c>
      <c r="D13" s="153"/>
      <c r="E13" s="164"/>
      <c r="G13" s="284" t="s">
        <v>172</v>
      </c>
      <c r="H13" s="286">
        <v>0</v>
      </c>
    </row>
    <row r="14" spans="1:13" s="42" customFormat="1" x14ac:dyDescent="0.2">
      <c r="B14" s="267" t="s">
        <v>278</v>
      </c>
      <c r="C14" s="222">
        <v>1</v>
      </c>
      <c r="D14" s="153"/>
      <c r="E14" s="164"/>
      <c r="G14" s="284" t="s">
        <v>298</v>
      </c>
      <c r="H14" s="286">
        <v>0</v>
      </c>
    </row>
    <row r="15" spans="1:13" s="42" customFormat="1" ht="13.5" thickBot="1" x14ac:dyDescent="0.25">
      <c r="B15" s="267" t="s">
        <v>279</v>
      </c>
      <c r="C15" s="222">
        <v>1</v>
      </c>
      <c r="D15" s="153"/>
      <c r="E15" s="164"/>
      <c r="G15" s="288" t="s">
        <v>301</v>
      </c>
      <c r="H15" s="289">
        <v>0</v>
      </c>
    </row>
    <row r="16" spans="1:13" s="42" customFormat="1" ht="13.5" thickBot="1" x14ac:dyDescent="0.25">
      <c r="B16" s="267" t="s">
        <v>280</v>
      </c>
      <c r="C16" s="222">
        <v>1</v>
      </c>
      <c r="D16" s="153"/>
      <c r="E16" s="164"/>
    </row>
    <row r="17" spans="1:30" s="42" customFormat="1" x14ac:dyDescent="0.2">
      <c r="B17" s="267" t="s">
        <v>281</v>
      </c>
      <c r="C17" s="222">
        <v>1</v>
      </c>
      <c r="D17" s="153"/>
      <c r="E17" s="164"/>
      <c r="G17" s="311" t="s">
        <v>197</v>
      </c>
      <c r="H17" s="312"/>
    </row>
    <row r="18" spans="1:30" s="42" customFormat="1" ht="12" thickBot="1" x14ac:dyDescent="0.25">
      <c r="B18" s="170"/>
      <c r="C18" s="178"/>
      <c r="D18" s="256"/>
      <c r="E18" s="264"/>
      <c r="G18" s="110" t="s">
        <v>189</v>
      </c>
      <c r="H18" s="111" t="s">
        <v>139</v>
      </c>
    </row>
    <row r="19" spans="1:30" s="42" customFormat="1" ht="11.25" x14ac:dyDescent="0.2">
      <c r="B19" s="40"/>
      <c r="C19" s="40"/>
      <c r="D19" s="153"/>
      <c r="E19" s="153"/>
      <c r="G19" s="110" t="s">
        <v>190</v>
      </c>
      <c r="H19" s="111" t="s">
        <v>153</v>
      </c>
    </row>
    <row r="20" spans="1:30" s="42" customFormat="1" ht="11.25" x14ac:dyDescent="0.2">
      <c r="B20" s="40"/>
      <c r="C20" s="40"/>
      <c r="D20" s="153"/>
      <c r="E20" s="153"/>
      <c r="G20" s="110" t="s">
        <v>191</v>
      </c>
      <c r="H20" s="111" t="s">
        <v>196</v>
      </c>
    </row>
    <row r="21" spans="1:30" s="42" customFormat="1" ht="11.25" x14ac:dyDescent="0.2">
      <c r="B21" s="40"/>
      <c r="C21" s="40"/>
      <c r="D21" s="153"/>
      <c r="E21" s="153"/>
      <c r="G21" s="110" t="s">
        <v>192</v>
      </c>
      <c r="H21" s="111" t="s">
        <v>195</v>
      </c>
    </row>
    <row r="22" spans="1:30" s="42" customFormat="1" ht="12" thickBot="1" x14ac:dyDescent="0.25">
      <c r="B22" s="40"/>
      <c r="C22" s="40"/>
      <c r="D22" s="153"/>
      <c r="E22" s="153"/>
      <c r="G22" s="112" t="s">
        <v>193</v>
      </c>
      <c r="H22" s="113" t="s">
        <v>194</v>
      </c>
    </row>
    <row r="23" spans="1:30" s="42" customFormat="1" ht="11.25" x14ac:dyDescent="0.2">
      <c r="B23" s="40"/>
      <c r="C23" s="40"/>
      <c r="D23" s="153"/>
      <c r="E23" s="153"/>
    </row>
    <row r="25" spans="1:30" s="178" customFormat="1" ht="12" thickBot="1" x14ac:dyDescent="0.25">
      <c r="D25" s="256"/>
      <c r="E25" s="256"/>
    </row>
    <row r="26" spans="1:30" s="40" customFormat="1" ht="11.25" x14ac:dyDescent="0.2">
      <c r="D26" s="153"/>
      <c r="E26" s="153"/>
    </row>
    <row r="27" spans="1:30" s="42" customFormat="1" ht="12" thickBot="1" x14ac:dyDescent="0.25">
      <c r="D27" s="151"/>
      <c r="E27" s="151"/>
    </row>
    <row r="28" spans="1:30" ht="13.5" thickBot="1" x14ac:dyDescent="0.25">
      <c r="A28" s="1" t="s">
        <v>183</v>
      </c>
      <c r="B28" s="302" t="s">
        <v>182</v>
      </c>
      <c r="C28" s="303"/>
      <c r="D28" s="303"/>
      <c r="E28" s="303"/>
      <c r="F28" s="303"/>
      <c r="G28" s="303"/>
      <c r="H28" s="303"/>
      <c r="I28" s="304"/>
    </row>
    <row r="29" spans="1:30" x14ac:dyDescent="0.2">
      <c r="A29" s="1" t="s">
        <v>184</v>
      </c>
      <c r="B29" s="297" t="s">
        <v>173</v>
      </c>
      <c r="C29" s="307" t="s">
        <v>174</v>
      </c>
      <c r="D29" s="294" t="s">
        <v>102</v>
      </c>
      <c r="E29" s="295"/>
      <c r="F29" s="295"/>
      <c r="G29" s="294" t="s">
        <v>164</v>
      </c>
      <c r="H29" s="295"/>
      <c r="I29" s="296"/>
      <c r="K29" s="25" t="s">
        <v>72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spans="1:30" ht="38.25" x14ac:dyDescent="0.2">
      <c r="B30" s="298"/>
      <c r="C30" s="308"/>
      <c r="D30" s="78" t="s">
        <v>180</v>
      </c>
      <c r="E30" s="270" t="s">
        <v>297</v>
      </c>
      <c r="F30" s="70" t="s">
        <v>181</v>
      </c>
      <c r="G30" s="115" t="s">
        <v>180</v>
      </c>
      <c r="H30" s="270" t="s">
        <v>297</v>
      </c>
      <c r="I30" s="72" t="s">
        <v>181</v>
      </c>
      <c r="J30" s="30"/>
      <c r="K30" s="59" t="s">
        <v>186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 x14ac:dyDescent="0.2">
      <c r="B31" s="73" t="s">
        <v>35</v>
      </c>
      <c r="C31" s="98" t="s">
        <v>178</v>
      </c>
      <c r="D31" s="77">
        <v>0</v>
      </c>
      <c r="E31" s="280">
        <v>0</v>
      </c>
      <c r="F31" s="276">
        <f t="shared" ref="F31:F40" si="0">SUM(D31:E31)</f>
        <v>0</v>
      </c>
      <c r="G31" s="79">
        <v>0</v>
      </c>
      <c r="H31" s="280">
        <v>0</v>
      </c>
      <c r="I31" s="278">
        <f>SUM(G31:H31)</f>
        <v>0</v>
      </c>
      <c r="J31" s="11"/>
      <c r="K31" s="60">
        <f>'AG drivers'!B7+'AG drivers'!B8</f>
        <v>1452460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B32" s="73" t="s">
        <v>36</v>
      </c>
      <c r="C32" s="98" t="s">
        <v>175</v>
      </c>
      <c r="D32" s="76">
        <f>('AG drivers'!H13+'AG drivers'!H14)*('AG drivers'!E13)</f>
        <v>5861287.6741051795</v>
      </c>
      <c r="E32" s="104">
        <f>-D32*$H$7</f>
        <v>-1465321.9185262949</v>
      </c>
      <c r="F32" s="276">
        <f t="shared" si="0"/>
        <v>4395965.7555788849</v>
      </c>
      <c r="G32" s="80">
        <f>'AG drivers'!H15*'AG drivers'!E13</f>
        <v>6401659.2550894041</v>
      </c>
      <c r="H32" s="104">
        <f>-G32*$H$7</f>
        <v>-1600414.813772351</v>
      </c>
      <c r="I32" s="278">
        <f t="shared" ref="I32:I40" si="1">SUM(G32:H32)</f>
        <v>4801244.4413170535</v>
      </c>
      <c r="K32" s="61">
        <f>'AG drivers'!B11+'AG drivers'!B12</f>
        <v>8133679.9999999991</v>
      </c>
    </row>
    <row r="33" spans="1:13" x14ac:dyDescent="0.2">
      <c r="B33" s="73" t="s">
        <v>75</v>
      </c>
      <c r="C33" s="98" t="s">
        <v>175</v>
      </c>
      <c r="D33" s="76">
        <f>'AG drivers'!E18*('AG drivers'!H13+'AG drivers'!H14)</f>
        <v>11289324.547167595</v>
      </c>
      <c r="E33" s="104">
        <f>-D33*$H$8</f>
        <v>0</v>
      </c>
      <c r="F33" s="276">
        <f t="shared" si="0"/>
        <v>11289324.547167595</v>
      </c>
      <c r="G33" s="80">
        <f>'AG drivers'!E18*'AG drivers'!H15</f>
        <v>12330124.878594477</v>
      </c>
      <c r="H33" s="104">
        <f>-G33*$H$8</f>
        <v>0</v>
      </c>
      <c r="I33" s="278">
        <f t="shared" si="1"/>
        <v>12330124.878594477</v>
      </c>
      <c r="K33" s="61">
        <f>'AG drivers'!B16+'AG drivers'!B17</f>
        <v>15666140</v>
      </c>
    </row>
    <row r="34" spans="1:13" x14ac:dyDescent="0.2">
      <c r="B34" s="73" t="s">
        <v>76</v>
      </c>
      <c r="C34" s="98" t="s">
        <v>176</v>
      </c>
      <c r="D34" s="76">
        <f>'AG drivers'!E23*(Headcuts!B107+Headcuts!C107)</f>
        <v>11292820</v>
      </c>
      <c r="E34" s="280">
        <f>-D34*Headcuts!I21</f>
        <v>-4026522.6550881667</v>
      </c>
      <c r="F34" s="275">
        <f t="shared" si="0"/>
        <v>7266297.3449118333</v>
      </c>
      <c r="G34" s="281">
        <f>'AG drivers'!E23*Headcuts!D107</f>
        <v>11300153</v>
      </c>
      <c r="H34" s="280">
        <f>-G34*Headcuts!J21</f>
        <v>-1238572.2490458693</v>
      </c>
      <c r="I34" s="278">
        <f t="shared" si="1"/>
        <v>10061580.750954131</v>
      </c>
      <c r="K34" s="61">
        <f>'AG drivers'!B21+'AG drivers'!B22</f>
        <v>8799600</v>
      </c>
    </row>
    <row r="35" spans="1:13" x14ac:dyDescent="0.2">
      <c r="B35" s="73" t="s">
        <v>77</v>
      </c>
      <c r="C35" s="98" t="s">
        <v>179</v>
      </c>
      <c r="D35" s="77">
        <v>0</v>
      </c>
      <c r="E35" s="280">
        <v>0</v>
      </c>
      <c r="F35" s="275">
        <f t="shared" si="0"/>
        <v>0</v>
      </c>
      <c r="G35" s="282">
        <v>0</v>
      </c>
      <c r="H35" s="280">
        <v>0</v>
      </c>
      <c r="I35" s="278">
        <f t="shared" si="1"/>
        <v>0</v>
      </c>
      <c r="K35" s="61">
        <f>'AG drivers'!B26+'AG drivers'!B27</f>
        <v>2199900</v>
      </c>
    </row>
    <row r="36" spans="1:13" x14ac:dyDescent="0.2">
      <c r="B36" s="73" t="s">
        <v>78</v>
      </c>
      <c r="C36" s="98" t="s">
        <v>175</v>
      </c>
      <c r="D36" s="76">
        <f>'AG drivers'!E33*('AG drivers'!H13+'AG drivers'!H14)</f>
        <v>3489585.0754026286</v>
      </c>
      <c r="E36" s="104">
        <f>-D36*$H$12</f>
        <v>-261718.88065519714</v>
      </c>
      <c r="F36" s="276">
        <f t="shared" si="0"/>
        <v>3227866.1947474317</v>
      </c>
      <c r="G36" s="80">
        <f>'AG drivers'!E33*'AG drivers'!H15</f>
        <v>3811301.5153762307</v>
      </c>
      <c r="H36" s="104">
        <f>-G36*$H$12</f>
        <v>-285847.61365321727</v>
      </c>
      <c r="I36" s="278">
        <f t="shared" si="1"/>
        <v>3525453.9017230133</v>
      </c>
      <c r="K36" s="61">
        <f>'AG drivers'!B31+'AG drivers'!B32</f>
        <v>4842480</v>
      </c>
    </row>
    <row r="37" spans="1:13" x14ac:dyDescent="0.2">
      <c r="B37" s="73" t="s">
        <v>172</v>
      </c>
      <c r="C37" s="98" t="s">
        <v>177</v>
      </c>
      <c r="D37" s="76">
        <f>'AG drivers'!E38*('AG drivers'!I13+'AG drivers'!I14)</f>
        <v>15382457.029702971</v>
      </c>
      <c r="E37" s="104">
        <f>-D37*$H$13</f>
        <v>0</v>
      </c>
      <c r="F37" s="276">
        <f t="shared" si="0"/>
        <v>15382457.029702971</v>
      </c>
      <c r="G37" s="80">
        <f>'AG drivers'!E38*'AG drivers'!I15</f>
        <v>8532456.6336633675</v>
      </c>
      <c r="H37" s="104">
        <f>-G37*$H$13</f>
        <v>0</v>
      </c>
      <c r="I37" s="278">
        <f t="shared" si="1"/>
        <v>8532456.6336633675</v>
      </c>
      <c r="K37" s="61">
        <f>'AG drivers'!B36+'AG drivers'!B37</f>
        <v>12137720</v>
      </c>
    </row>
    <row r="38" spans="1:13" x14ac:dyDescent="0.2">
      <c r="B38" s="73" t="s">
        <v>79</v>
      </c>
      <c r="C38" s="98" t="s">
        <v>175</v>
      </c>
      <c r="D38" s="76">
        <f>'AG drivers'!E44*('AG drivers'!H13+'AG drivers'!H14)</f>
        <v>4210420.6701650741</v>
      </c>
      <c r="E38" s="104">
        <f>-D38*$H$14</f>
        <v>0</v>
      </c>
      <c r="F38" s="276">
        <f t="shared" si="0"/>
        <v>4210420.6701650741</v>
      </c>
      <c r="G38" s="80">
        <f>'AG drivers'!H15*'AG drivers'!E44</f>
        <v>4598593.3381263176</v>
      </c>
      <c r="H38" s="104">
        <f>-G38*$H$14</f>
        <v>0</v>
      </c>
      <c r="I38" s="278">
        <f t="shared" si="1"/>
        <v>4598593.3381263176</v>
      </c>
      <c r="K38" s="61">
        <f>'AG drivers'!B42+'AG drivers'!B43</f>
        <v>5842780</v>
      </c>
    </row>
    <row r="39" spans="1:13" ht="13.5" thickBot="1" x14ac:dyDescent="0.25">
      <c r="B39" s="73" t="s">
        <v>80</v>
      </c>
      <c r="C39" s="99" t="s">
        <v>177</v>
      </c>
      <c r="D39" s="76">
        <f>'AG drivers'!E57*('AG drivers'!I13+'AG drivers'!I14)</f>
        <v>1074214.0198019801</v>
      </c>
      <c r="E39" s="104">
        <f>-D39*$H$15</f>
        <v>0</v>
      </c>
      <c r="F39" s="276">
        <f t="shared" si="0"/>
        <v>1074214.0198019801</v>
      </c>
      <c r="G39" s="80">
        <f>'AG drivers'!E57*'AG drivers'!I15</f>
        <v>595853.08910891088</v>
      </c>
      <c r="H39" s="104">
        <f>-G39*$H$15</f>
        <v>0</v>
      </c>
      <c r="I39" s="278">
        <f t="shared" si="1"/>
        <v>595853.08910891088</v>
      </c>
      <c r="K39" s="61">
        <f>CS!G50+CS!G63</f>
        <v>847622</v>
      </c>
    </row>
    <row r="40" spans="1:13" ht="13.5" thickBot="1" x14ac:dyDescent="0.25">
      <c r="B40" s="81" t="s">
        <v>135</v>
      </c>
      <c r="C40" s="82"/>
      <c r="D40" s="83">
        <f>SUM(D31:D39)</f>
        <v>52600109.016345434</v>
      </c>
      <c r="E40" s="84">
        <f>SUM(E31:E39)</f>
        <v>-5753563.4542696588</v>
      </c>
      <c r="F40" s="277">
        <f t="shared" si="0"/>
        <v>46846545.562075779</v>
      </c>
      <c r="G40" s="43">
        <f>SUM(G31:G39)</f>
        <v>47570141.709958717</v>
      </c>
      <c r="H40" s="84">
        <f>SUM(H31:H39)</f>
        <v>-3124834.6764714378</v>
      </c>
      <c r="I40" s="279">
        <f t="shared" si="1"/>
        <v>44445307.033487283</v>
      </c>
      <c r="K40" s="62">
        <f>SUM(K31:K39)</f>
        <v>59922382</v>
      </c>
    </row>
    <row r="41" spans="1:13" ht="14.25" customHeight="1" x14ac:dyDescent="0.2">
      <c r="C41" s="33"/>
      <c r="D41" s="38"/>
      <c r="E41" s="38"/>
      <c r="F41" s="33"/>
      <c r="G41" s="38"/>
      <c r="H41" s="38"/>
      <c r="I41" s="33"/>
      <c r="J41" s="38"/>
      <c r="K41" s="40"/>
    </row>
    <row r="42" spans="1:13" s="16" customFormat="1" ht="13.5" thickBot="1" x14ac:dyDescent="0.25">
      <c r="D42" s="35"/>
      <c r="E42" s="35"/>
    </row>
    <row r="43" spans="1:13" s="11" customFormat="1" x14ac:dyDescent="0.2">
      <c r="D43" s="269"/>
      <c r="E43" s="269"/>
    </row>
    <row r="44" spans="1:13" ht="13.5" thickBot="1" x14ac:dyDescent="0.25">
      <c r="I44" s="9"/>
    </row>
    <row r="45" spans="1:13" ht="13.5" thickBot="1" x14ac:dyDescent="0.25">
      <c r="A45" s="1" t="s">
        <v>185</v>
      </c>
      <c r="C45" s="302" t="s">
        <v>187</v>
      </c>
      <c r="D45" s="309"/>
      <c r="E45" s="309"/>
      <c r="F45" s="309"/>
      <c r="G45" s="309"/>
      <c r="H45" s="309"/>
      <c r="I45" s="309"/>
      <c r="J45" s="309"/>
      <c r="K45" s="309"/>
      <c r="L45" s="309"/>
      <c r="M45" s="310"/>
    </row>
    <row r="46" spans="1:13" s="11" customFormat="1" ht="12.75" customHeight="1" x14ac:dyDescent="0.2">
      <c r="A46" s="1" t="s">
        <v>184</v>
      </c>
      <c r="B46" s="1"/>
      <c r="C46" s="85" t="s">
        <v>72</v>
      </c>
      <c r="D46" s="294" t="s">
        <v>102</v>
      </c>
      <c r="E46" s="295"/>
      <c r="F46" s="295"/>
      <c r="G46" s="295"/>
      <c r="H46" s="296"/>
      <c r="I46" s="294" t="s">
        <v>164</v>
      </c>
      <c r="J46" s="305"/>
      <c r="K46" s="305"/>
      <c r="L46" s="305"/>
      <c r="M46" s="306"/>
    </row>
    <row r="47" spans="1:13" s="24" customFormat="1" ht="39" thickBot="1" x14ac:dyDescent="0.25">
      <c r="C47" s="86" t="s">
        <v>100</v>
      </c>
      <c r="D47" s="75" t="s">
        <v>170</v>
      </c>
      <c r="E47" s="26" t="s">
        <v>73</v>
      </c>
      <c r="F47" s="27" t="s">
        <v>100</v>
      </c>
      <c r="G47" s="28" t="s">
        <v>171</v>
      </c>
      <c r="H47" s="88" t="s">
        <v>103</v>
      </c>
      <c r="I47" s="75" t="s">
        <v>170</v>
      </c>
      <c r="J47" s="26" t="s">
        <v>73</v>
      </c>
      <c r="K47" s="27" t="s">
        <v>100</v>
      </c>
      <c r="L47" s="28" t="s">
        <v>171</v>
      </c>
      <c r="M47" s="88" t="s">
        <v>103</v>
      </c>
    </row>
    <row r="48" spans="1:13" ht="13.5" thickBot="1" x14ac:dyDescent="0.25">
      <c r="C48" s="87">
        <f>'O&amp;M data'!B43</f>
        <v>6109.6935991005839</v>
      </c>
      <c r="D48" s="89">
        <f>'O&amp;M data'!Z6</f>
        <v>127456533</v>
      </c>
      <c r="E48" s="90">
        <f>Contiguity!H65+Contiguity!H89</f>
        <v>10406</v>
      </c>
      <c r="F48" s="91">
        <f>'O&amp;M data'!B48</f>
        <v>11966.866703216632</v>
      </c>
      <c r="G48" s="92">
        <f>E48*C48</f>
        <v>63577471.592240676</v>
      </c>
      <c r="H48" s="94">
        <f>E48*(F48-C48)</f>
        <v>60949743.3214316</v>
      </c>
      <c r="I48" s="93">
        <f>'O&amp;M data'!J68</f>
        <v>47762200</v>
      </c>
      <c r="J48" s="90">
        <f>'O&amp;M data'!I68</f>
        <v>4099</v>
      </c>
      <c r="K48" s="91">
        <f>'O&amp;M data'!B52</f>
        <v>11350.905905994894</v>
      </c>
      <c r="L48" s="92">
        <f>C48*J48</f>
        <v>25043634.062713295</v>
      </c>
      <c r="M48" s="94">
        <f>I48-L48</f>
        <v>22718565.937286705</v>
      </c>
    </row>
    <row r="49" spans="1:38" x14ac:dyDescent="0.2">
      <c r="B49" s="44"/>
      <c r="C49" s="45"/>
      <c r="D49" s="46"/>
      <c r="E49" s="44"/>
      <c r="F49" s="47"/>
      <c r="G49" s="23"/>
      <c r="H49" s="45"/>
      <c r="I49" s="48"/>
      <c r="J49" s="44"/>
      <c r="K49" s="49"/>
      <c r="L49" s="23"/>
    </row>
    <row r="50" spans="1:38" s="16" customFormat="1" ht="13.5" thickBot="1" x14ac:dyDescent="0.25">
      <c r="B50" s="63"/>
      <c r="C50" s="64"/>
      <c r="D50" s="65"/>
      <c r="E50" s="63"/>
      <c r="F50" s="66"/>
      <c r="G50" s="67"/>
      <c r="H50" s="64"/>
      <c r="I50" s="68"/>
      <c r="J50" s="63"/>
      <c r="K50" s="66"/>
      <c r="L50" s="67"/>
    </row>
    <row r="51" spans="1:38" x14ac:dyDescent="0.2">
      <c r="B51" s="44"/>
      <c r="C51" s="45"/>
      <c r="D51" s="46"/>
      <c r="E51" s="44"/>
      <c r="F51" s="47"/>
      <c r="G51" s="23"/>
      <c r="H51" s="45"/>
      <c r="I51" s="48"/>
      <c r="J51" s="44"/>
      <c r="K51" s="49"/>
      <c r="L51" s="23"/>
    </row>
    <row r="52" spans="1:38" s="16" customFormat="1" ht="13.5" thickBot="1" x14ac:dyDescent="0.25">
      <c r="A52" s="11"/>
      <c r="D52" s="35"/>
      <c r="E52" s="35"/>
    </row>
    <row r="53" spans="1:38" s="11" customFormat="1" ht="13.5" thickBot="1" x14ac:dyDescent="0.25">
      <c r="A53" s="100" t="s">
        <v>183</v>
      </c>
      <c r="B53" s="130" t="s">
        <v>188</v>
      </c>
      <c r="C53" s="95"/>
      <c r="D53" s="95"/>
      <c r="E53" s="95"/>
      <c r="F53" s="95"/>
      <c r="G53" s="95"/>
      <c r="H53" s="95"/>
      <c r="I53" s="96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</row>
    <row r="54" spans="1:38" x14ac:dyDescent="0.2">
      <c r="A54" s="1" t="s">
        <v>198</v>
      </c>
      <c r="B54" s="297" t="s">
        <v>173</v>
      </c>
      <c r="C54" s="299" t="s">
        <v>174</v>
      </c>
      <c r="D54" s="294" t="s">
        <v>101</v>
      </c>
      <c r="E54" s="295"/>
      <c r="F54" s="296"/>
      <c r="G54" s="294" t="s">
        <v>102</v>
      </c>
      <c r="H54" s="295"/>
      <c r="I54" s="296"/>
      <c r="J54" s="294" t="s">
        <v>163</v>
      </c>
      <c r="K54" s="295"/>
      <c r="L54" s="296"/>
      <c r="M54" s="294" t="s">
        <v>164</v>
      </c>
      <c r="N54" s="295"/>
      <c r="O54" s="295"/>
      <c r="P54" s="294" t="s">
        <v>165</v>
      </c>
      <c r="Q54" s="295"/>
      <c r="R54" s="296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38" ht="38.25" x14ac:dyDescent="0.2">
      <c r="B55" s="298"/>
      <c r="C55" s="300"/>
      <c r="D55" s="115" t="s">
        <v>180</v>
      </c>
      <c r="E55" s="39" t="s">
        <v>297</v>
      </c>
      <c r="F55" s="103" t="s">
        <v>181</v>
      </c>
      <c r="G55" s="59" t="s">
        <v>180</v>
      </c>
      <c r="H55" s="39" t="s">
        <v>297</v>
      </c>
      <c r="I55" s="103" t="s">
        <v>181</v>
      </c>
      <c r="J55" s="115" t="s">
        <v>180</v>
      </c>
      <c r="K55" s="39" t="s">
        <v>297</v>
      </c>
      <c r="L55" s="103" t="s">
        <v>181</v>
      </c>
      <c r="M55" s="59" t="s">
        <v>180</v>
      </c>
      <c r="N55" s="39" t="s">
        <v>297</v>
      </c>
      <c r="O55" s="28" t="s">
        <v>181</v>
      </c>
      <c r="P55" s="115" t="s">
        <v>180</v>
      </c>
      <c r="Q55" s="39" t="s">
        <v>297</v>
      </c>
      <c r="R55" s="103" t="s">
        <v>181</v>
      </c>
    </row>
    <row r="56" spans="1:38" ht="12.75" customHeight="1" x14ac:dyDescent="0.2">
      <c r="B56" s="73" t="s">
        <v>35</v>
      </c>
      <c r="C56" s="10" t="s">
        <v>178</v>
      </c>
      <c r="D56" s="116">
        <v>0</v>
      </c>
      <c r="E56" s="116">
        <v>0</v>
      </c>
      <c r="F56" s="120">
        <f t="shared" ref="F56:F63" si="2">SUM(D56:E56)</f>
        <v>0</v>
      </c>
      <c r="G56" s="116">
        <v>0</v>
      </c>
      <c r="H56" s="116">
        <v>0</v>
      </c>
      <c r="I56" s="120">
        <f t="shared" ref="I56:I63" si="3">SUM(G56:H56)</f>
        <v>0</v>
      </c>
      <c r="J56" s="116">
        <v>0</v>
      </c>
      <c r="K56" s="116">
        <v>0</v>
      </c>
      <c r="L56" s="120">
        <f t="shared" ref="L56:L63" si="4">SUM(J56:K56)</f>
        <v>0</v>
      </c>
      <c r="M56" s="116">
        <v>0</v>
      </c>
      <c r="N56" s="116"/>
      <c r="O56" s="121">
        <f t="shared" ref="O56:O63" si="5">SUM(M56:N56)</f>
        <v>0</v>
      </c>
      <c r="P56" s="116">
        <v>0</v>
      </c>
      <c r="Q56" s="116"/>
      <c r="R56" s="120">
        <f t="shared" ref="R56:R63" si="6">SUM(P56:Q56)</f>
        <v>0</v>
      </c>
    </row>
    <row r="57" spans="1:38" x14ac:dyDescent="0.2">
      <c r="B57" s="73" t="s">
        <v>36</v>
      </c>
      <c r="C57" s="10" t="s">
        <v>175</v>
      </c>
      <c r="D57" s="76">
        <f>'AG drivers'!I41*'AG drivers'!$G$27</f>
        <v>6718852.3318575332</v>
      </c>
      <c r="E57" s="104">
        <f>-D57*$H$7</f>
        <v>-1679713.0829643833</v>
      </c>
      <c r="F57" s="106">
        <f t="shared" si="2"/>
        <v>5039139.2488931501</v>
      </c>
      <c r="G57" s="76">
        <f>'AG drivers'!I41*'AG drivers'!$G$28</f>
        <v>1547165.9304190106</v>
      </c>
      <c r="H57" s="104">
        <f>-G57*$H$7</f>
        <v>-386791.48260475264</v>
      </c>
      <c r="I57" s="106">
        <f t="shared" si="3"/>
        <v>1160374.4478142578</v>
      </c>
      <c r="J57" s="76">
        <f>'AG drivers'!I41*'AG drivers'!$G$30</f>
        <v>1790156.2833307951</v>
      </c>
      <c r="K57" s="104">
        <f>-J57*$H$7</f>
        <v>-447539.07083269878</v>
      </c>
      <c r="L57" s="106">
        <f t="shared" si="4"/>
        <v>1342617.2124980963</v>
      </c>
      <c r="M57" s="117">
        <f>'AG drivers'!I41*'AG drivers'!$G$29</f>
        <v>2052242.6625504165</v>
      </c>
      <c r="N57" s="104">
        <f>-M57*$H$7</f>
        <v>-513060.66563760414</v>
      </c>
      <c r="O57" s="122">
        <f t="shared" si="5"/>
        <v>1539181.9969128123</v>
      </c>
      <c r="P57" s="117">
        <f>'AG drivers'!I41*'AG drivers'!$G$35</f>
        <v>3608682.6826948575</v>
      </c>
      <c r="Q57" s="104">
        <f>-P57*$H$7</f>
        <v>-902170.67067371437</v>
      </c>
      <c r="R57" s="106">
        <f t="shared" si="6"/>
        <v>2706512.012021143</v>
      </c>
    </row>
    <row r="58" spans="1:38" x14ac:dyDescent="0.2">
      <c r="B58" s="73" t="s">
        <v>75</v>
      </c>
      <c r="C58" s="10" t="s">
        <v>175</v>
      </c>
      <c r="D58" s="76">
        <f>'AG drivers'!I42*'AG drivers'!$G$27</f>
        <v>12941064.963240081</v>
      </c>
      <c r="E58" s="104">
        <f>-D58*$H$8</f>
        <v>0</v>
      </c>
      <c r="F58" s="106">
        <f t="shared" si="2"/>
        <v>12941064.963240081</v>
      </c>
      <c r="G58" s="76">
        <f>'AG drivers'!I42*'AG drivers'!$G$28</f>
        <v>2979969.4688227815</v>
      </c>
      <c r="H58" s="104">
        <f>-G58*$H$8</f>
        <v>0</v>
      </c>
      <c r="I58" s="106">
        <f t="shared" si="3"/>
        <v>2979969.4688227815</v>
      </c>
      <c r="J58" s="76">
        <f>'AG drivers'!I42*'AG drivers'!$G$30</f>
        <v>3447988.9738150383</v>
      </c>
      <c r="K58" s="104">
        <f>-J58*$H$8</f>
        <v>0</v>
      </c>
      <c r="L58" s="106">
        <f t="shared" si="4"/>
        <v>3447988.9738150383</v>
      </c>
      <c r="M58" s="117">
        <f>'AG drivers'!I42*'AG drivers'!$G$29</f>
        <v>3952789.003930273</v>
      </c>
      <c r="N58" s="104">
        <f>-M58*$H$8</f>
        <v>0</v>
      </c>
      <c r="O58" s="122">
        <f t="shared" si="5"/>
        <v>3952789.003930273</v>
      </c>
      <c r="P58" s="117">
        <f>'AG drivers'!I42*'AG drivers'!$G$35</f>
        <v>6950621.1361491</v>
      </c>
      <c r="Q58" s="104">
        <f>-P58*$H$8</f>
        <v>0</v>
      </c>
      <c r="R58" s="106">
        <f t="shared" si="6"/>
        <v>6950621.1361491</v>
      </c>
    </row>
    <row r="59" spans="1:38" x14ac:dyDescent="0.2">
      <c r="B59" s="73" t="s">
        <v>76</v>
      </c>
      <c r="C59" s="10" t="s">
        <v>176</v>
      </c>
      <c r="D59" s="76">
        <f>'AG drivers'!I43*'AG drivers'!H27</f>
        <v>3945074.0702999993</v>
      </c>
      <c r="E59" s="104">
        <v>-261718.88065519714</v>
      </c>
      <c r="F59" s="106">
        <f t="shared" si="2"/>
        <v>3683355.1896448024</v>
      </c>
      <c r="G59" s="76">
        <f>'AG drivers'!I43*'AG drivers'!H28</f>
        <v>514724.53569999995</v>
      </c>
      <c r="H59" s="104">
        <f>-G59*Headcuts!$D$47</f>
        <v>-46325.208212999991</v>
      </c>
      <c r="I59" s="106">
        <f t="shared" si="3"/>
        <v>468399.32748699997</v>
      </c>
      <c r="J59" s="76">
        <f>'AG drivers'!I43*'AG drivers'!H30</f>
        <v>2035954.6523999998</v>
      </c>
      <c r="K59" s="104">
        <f>-J59*Headcuts!$D$47</f>
        <v>-183235.91871599999</v>
      </c>
      <c r="L59" s="106">
        <f t="shared" si="4"/>
        <v>1852718.7336839999</v>
      </c>
      <c r="M59" s="117">
        <f>'AG drivers'!I43*'AG drivers'!H29</f>
        <v>2074516.6995000001</v>
      </c>
      <c r="N59" s="104">
        <f>-M59*Headcuts!$D$47</f>
        <v>-186706.502955</v>
      </c>
      <c r="O59" s="122">
        <f t="shared" si="5"/>
        <v>1887810.1965450002</v>
      </c>
      <c r="P59" s="117">
        <f>'AG drivers'!I43*'AG drivers'!H35</f>
        <v>1074025.6450999998</v>
      </c>
      <c r="Q59" s="104">
        <f>-P59*Headcuts!$D$47</f>
        <v>-96662.308058999988</v>
      </c>
      <c r="R59" s="106">
        <f t="shared" si="6"/>
        <v>977363.3370409999</v>
      </c>
    </row>
    <row r="60" spans="1:38" x14ac:dyDescent="0.2">
      <c r="B60" s="73" t="s">
        <v>77</v>
      </c>
      <c r="C60" s="10" t="s">
        <v>179</v>
      </c>
      <c r="D60" s="76">
        <f>'AG drivers'!I44*'AG drivers'!$G$27</f>
        <v>1817234.4184739734</v>
      </c>
      <c r="E60" s="104">
        <v>0</v>
      </c>
      <c r="F60" s="106">
        <f t="shared" si="2"/>
        <v>1817234.4184739734</v>
      </c>
      <c r="G60" s="76">
        <f>'AG drivers'!I44*'AG drivers'!$G$28</f>
        <v>418458.84400772856</v>
      </c>
      <c r="H60" s="104">
        <v>0</v>
      </c>
      <c r="I60" s="106">
        <f t="shared" si="3"/>
        <v>418458.84400772856</v>
      </c>
      <c r="J60" s="76">
        <f>'AG drivers'!I44*'AG drivers'!$G$30</f>
        <v>484179.95393221965</v>
      </c>
      <c r="K60" s="104">
        <v>0</v>
      </c>
      <c r="L60" s="106">
        <f t="shared" si="4"/>
        <v>484179.95393221965</v>
      </c>
      <c r="M60" s="117">
        <f>'AG drivers'!I44*'AG drivers'!$G$29</f>
        <v>555065.92751923623</v>
      </c>
      <c r="N60" s="104">
        <v>0</v>
      </c>
      <c r="O60" s="122">
        <f t="shared" si="5"/>
        <v>555065.92751923623</v>
      </c>
      <c r="P60" s="117">
        <f>'AG drivers'!I44*'AG drivers'!$G$35</f>
        <v>976033.11584183504</v>
      </c>
      <c r="Q60" s="104">
        <v>0</v>
      </c>
      <c r="R60" s="106">
        <f t="shared" si="6"/>
        <v>976033.11584183504</v>
      </c>
    </row>
    <row r="61" spans="1:38" x14ac:dyDescent="0.2">
      <c r="B61" s="73" t="s">
        <v>78</v>
      </c>
      <c r="C61" s="10" t="s">
        <v>175</v>
      </c>
      <c r="D61" s="76">
        <f>'AG drivers'!I45*'AG drivers'!$G$27</f>
        <v>4000146.0642628516</v>
      </c>
      <c r="E61" s="104">
        <f>-D61*$H$12</f>
        <v>-300010.95481971384</v>
      </c>
      <c r="F61" s="106">
        <f t="shared" si="2"/>
        <v>3700135.1094431379</v>
      </c>
      <c r="G61" s="76">
        <f>'AG drivers'!I45*'AG drivers'!$G$28</f>
        <v>921123.04328857921</v>
      </c>
      <c r="H61" s="104">
        <f>-G61*$H$12</f>
        <v>-69084.228246643441</v>
      </c>
      <c r="I61" s="106">
        <f t="shared" si="3"/>
        <v>852038.81504193577</v>
      </c>
      <c r="J61" s="76">
        <f>'AG drivers'!I45*'AG drivers'!$G$30</f>
        <v>1065790.1465147028</v>
      </c>
      <c r="K61" s="104">
        <f>-J61*$H$12</f>
        <v>-79934.260988602706</v>
      </c>
      <c r="L61" s="106">
        <f t="shared" si="4"/>
        <v>985855.88552610017</v>
      </c>
      <c r="M61" s="117">
        <f>'AG drivers'!I45*'AG drivers'!$G$29</f>
        <v>1221826.2887828315</v>
      </c>
      <c r="N61" s="104">
        <f>-M61*$H$12</f>
        <v>-91636.971658712355</v>
      </c>
      <c r="O61" s="122">
        <f t="shared" si="5"/>
        <v>1130189.3171241193</v>
      </c>
      <c r="P61" s="117">
        <f>'AG drivers'!I45*'AG drivers'!$G$35</f>
        <v>2148470.7681266284</v>
      </c>
      <c r="Q61" s="104">
        <f>-P61*$H$12</f>
        <v>-161135.30760949713</v>
      </c>
      <c r="R61" s="106">
        <f t="shared" si="6"/>
        <v>1987335.4605171313</v>
      </c>
    </row>
    <row r="62" spans="1:38" x14ac:dyDescent="0.2">
      <c r="B62" s="73" t="s">
        <v>172</v>
      </c>
      <c r="C62" s="10" t="s">
        <v>177</v>
      </c>
      <c r="D62" s="76">
        <f>'AG drivers'!I46*'AG drivers'!$G$27</f>
        <v>0</v>
      </c>
      <c r="E62" s="104">
        <f>-D62*$H$13</f>
        <v>0</v>
      </c>
      <c r="F62" s="106">
        <f t="shared" si="2"/>
        <v>0</v>
      </c>
      <c r="G62" s="76">
        <v>0</v>
      </c>
      <c r="H62" s="104">
        <f>-G62*$H$13</f>
        <v>0</v>
      </c>
      <c r="I62" s="106">
        <f t="shared" si="3"/>
        <v>0</v>
      </c>
      <c r="J62" s="76">
        <f>'AG drivers'!I46*'AG drivers'!$G$30</f>
        <v>0</v>
      </c>
      <c r="K62" s="104">
        <f>-J62*$H$13</f>
        <v>0</v>
      </c>
      <c r="L62" s="106">
        <f t="shared" si="4"/>
        <v>0</v>
      </c>
      <c r="M62" s="117">
        <f>'AG drivers'!I46*'AG drivers'!$G$29</f>
        <v>0</v>
      </c>
      <c r="N62" s="104">
        <f>-M62*$H$13</f>
        <v>0</v>
      </c>
      <c r="O62" s="122">
        <f t="shared" si="5"/>
        <v>0</v>
      </c>
      <c r="P62" s="117">
        <f>'AG drivers'!I46*'AG drivers'!$G$35</f>
        <v>0</v>
      </c>
      <c r="Q62" s="104">
        <f>-P62*$H$13</f>
        <v>0</v>
      </c>
      <c r="R62" s="106">
        <f t="shared" si="6"/>
        <v>0</v>
      </c>
    </row>
    <row r="63" spans="1:38" x14ac:dyDescent="0.2">
      <c r="B63" s="73" t="s">
        <v>79</v>
      </c>
      <c r="C63" s="10" t="s">
        <v>175</v>
      </c>
      <c r="D63" s="76">
        <f>'AG drivers'!I47*'AG drivers'!$G$27</f>
        <v>4826447.0728539303</v>
      </c>
      <c r="E63" s="104">
        <f>-D63*$H$14</f>
        <v>0</v>
      </c>
      <c r="F63" s="106">
        <f t="shared" si="2"/>
        <v>4826447.0728539303</v>
      </c>
      <c r="G63" s="76">
        <f>'AG drivers'!I47*'AG drivers'!$G$28</f>
        <v>1111397.3201470412</v>
      </c>
      <c r="H63" s="104">
        <f>-G63*$H$14</f>
        <v>0</v>
      </c>
      <c r="I63" s="106">
        <f t="shared" si="3"/>
        <v>1111397.3201470412</v>
      </c>
      <c r="J63" s="76">
        <f>'AG drivers'!I47*'AG drivers'!$G$30</f>
        <v>1285947.9754698367</v>
      </c>
      <c r="K63" s="104">
        <f>-J63*$H$14</f>
        <v>0</v>
      </c>
      <c r="L63" s="106">
        <f t="shared" si="4"/>
        <v>1285947.9754698367</v>
      </c>
      <c r="M63" s="117">
        <f>'AG drivers'!I47*'AG drivers'!$G$29</f>
        <v>1474216.1461843005</v>
      </c>
      <c r="N63" s="104">
        <f>-M63*$H$14</f>
        <v>0</v>
      </c>
      <c r="O63" s="122">
        <f t="shared" si="5"/>
        <v>1474216.1461843005</v>
      </c>
      <c r="P63" s="117">
        <f>'AG drivers'!I47*'AG drivers'!$G$35</f>
        <v>2592275.4527834705</v>
      </c>
      <c r="Q63" s="104">
        <f>-P63*$H$14</f>
        <v>0</v>
      </c>
      <c r="R63" s="106">
        <f t="shared" si="6"/>
        <v>2592275.4527834705</v>
      </c>
    </row>
    <row r="64" spans="1:38" ht="13.5" thickBot="1" x14ac:dyDescent="0.25">
      <c r="B64" s="73" t="s">
        <v>80</v>
      </c>
      <c r="C64" s="10" t="s">
        <v>177</v>
      </c>
      <c r="D64" s="107" t="s">
        <v>116</v>
      </c>
      <c r="E64" s="104" t="s">
        <v>116</v>
      </c>
      <c r="F64" s="74" t="s">
        <v>116</v>
      </c>
      <c r="G64" s="107" t="s">
        <v>116</v>
      </c>
      <c r="H64" s="104" t="s">
        <v>116</v>
      </c>
      <c r="I64" s="74" t="s">
        <v>116</v>
      </c>
      <c r="J64" s="128" t="s">
        <v>116</v>
      </c>
      <c r="K64" s="104" t="s">
        <v>116</v>
      </c>
      <c r="L64" s="129" t="s">
        <v>116</v>
      </c>
      <c r="M64" s="117" t="s">
        <v>116</v>
      </c>
      <c r="N64" s="104" t="s">
        <v>116</v>
      </c>
      <c r="O64" s="123" t="s">
        <v>116</v>
      </c>
      <c r="P64" s="117" t="s">
        <v>116</v>
      </c>
      <c r="Q64" s="104" t="s">
        <v>116</v>
      </c>
      <c r="R64" s="105" t="s">
        <v>116</v>
      </c>
    </row>
    <row r="65" spans="2:20" ht="16.5" customHeight="1" thickBot="1" x14ac:dyDescent="0.25">
      <c r="B65" s="101" t="s">
        <v>135</v>
      </c>
      <c r="C65" s="102"/>
      <c r="D65" s="83">
        <f t="shared" ref="D65:R65" si="7">SUM(D56:D64)</f>
        <v>34248818.920988366</v>
      </c>
      <c r="E65" s="108">
        <f t="shared" si="7"/>
        <v>-2241442.9184392942</v>
      </c>
      <c r="F65" s="125">
        <f t="shared" si="7"/>
        <v>32007376.002549078</v>
      </c>
      <c r="G65" s="83">
        <f t="shared" si="7"/>
        <v>7492839.142385141</v>
      </c>
      <c r="H65" s="108">
        <f t="shared" si="7"/>
        <v>-502200.91906439606</v>
      </c>
      <c r="I65" s="125">
        <f t="shared" si="7"/>
        <v>6990638.2233207449</v>
      </c>
      <c r="J65" s="83">
        <f t="shared" si="7"/>
        <v>10110017.985462593</v>
      </c>
      <c r="K65" s="118">
        <f t="shared" si="7"/>
        <v>-710709.25053730141</v>
      </c>
      <c r="L65" s="126">
        <f t="shared" si="7"/>
        <v>9399308.7349252906</v>
      </c>
      <c r="M65" s="119">
        <f t="shared" si="7"/>
        <v>11330656.728467058</v>
      </c>
      <c r="N65" s="119">
        <f t="shared" si="7"/>
        <v>-791404.14025131648</v>
      </c>
      <c r="O65" s="126">
        <f t="shared" si="7"/>
        <v>10539252.588215742</v>
      </c>
      <c r="P65" s="124">
        <f t="shared" si="7"/>
        <v>17350108.800695889</v>
      </c>
      <c r="Q65" s="118">
        <f t="shared" si="7"/>
        <v>-1159968.2863422115</v>
      </c>
      <c r="R65" s="127">
        <f t="shared" si="7"/>
        <v>16190140.514353681</v>
      </c>
      <c r="S65" s="40"/>
    </row>
    <row r="66" spans="2:20" x14ac:dyDescent="0.2"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</row>
    <row r="67" spans="2:20" s="16" customFormat="1" ht="13.5" thickBot="1" x14ac:dyDescent="0.25"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</row>
    <row r="68" spans="2:20" x14ac:dyDescent="0.2">
      <c r="D68"/>
      <c r="E68"/>
    </row>
    <row r="69" spans="2:20" x14ac:dyDescent="0.2">
      <c r="D69"/>
    </row>
    <row r="70" spans="2:20" x14ac:dyDescent="0.2">
      <c r="D70"/>
    </row>
    <row r="71" spans="2:20" x14ac:dyDescent="0.2">
      <c r="D71"/>
      <c r="E71"/>
    </row>
    <row r="72" spans="2:20" x14ac:dyDescent="0.2">
      <c r="D72"/>
      <c r="E72"/>
    </row>
    <row r="73" spans="2:20" x14ac:dyDescent="0.2">
      <c r="D73"/>
      <c r="E73"/>
    </row>
    <row r="74" spans="2:20" x14ac:dyDescent="0.2">
      <c r="D74"/>
      <c r="E74"/>
    </row>
    <row r="75" spans="2:20" x14ac:dyDescent="0.2">
      <c r="B75" s="190"/>
      <c r="C75" s="190"/>
      <c r="D75"/>
      <c r="E75"/>
    </row>
    <row r="76" spans="2:20" x14ac:dyDescent="0.2">
      <c r="C76" s="42"/>
      <c r="D76"/>
      <c r="E76"/>
      <c r="L76" s="97"/>
    </row>
    <row r="77" spans="2:20" s="42" customFormat="1" ht="11.25" x14ac:dyDescent="0.2">
      <c r="D77" s="151"/>
      <c r="E77" s="151"/>
    </row>
    <row r="78" spans="2:20" s="42" customFormat="1" ht="11.25" x14ac:dyDescent="0.2">
      <c r="D78" s="151"/>
      <c r="E78" s="151"/>
    </row>
    <row r="79" spans="2:20" s="42" customFormat="1" ht="11.25" x14ac:dyDescent="0.2">
      <c r="D79" s="151"/>
      <c r="E79" s="151"/>
    </row>
    <row r="80" spans="2:20" s="42" customFormat="1" ht="11.25" x14ac:dyDescent="0.2">
      <c r="D80" s="151"/>
      <c r="E80" s="151"/>
    </row>
    <row r="81" spans="4:5" s="42" customFormat="1" ht="11.25" x14ac:dyDescent="0.2">
      <c r="D81" s="151"/>
      <c r="E81" s="151"/>
    </row>
    <row r="82" spans="4:5" s="42" customFormat="1" ht="11.25" x14ac:dyDescent="0.2">
      <c r="D82" s="151"/>
      <c r="E82" s="151"/>
    </row>
    <row r="83" spans="4:5" s="42" customFormat="1" ht="11.25" x14ac:dyDescent="0.2">
      <c r="D83" s="151"/>
      <c r="E83" s="151"/>
    </row>
    <row r="84" spans="4:5" s="42" customFormat="1" ht="11.25" x14ac:dyDescent="0.2">
      <c r="D84" s="151"/>
      <c r="E84" s="151"/>
    </row>
    <row r="85" spans="4:5" s="42" customFormat="1" ht="11.25" x14ac:dyDescent="0.2">
      <c r="D85" s="151"/>
      <c r="E85" s="151"/>
    </row>
    <row r="86" spans="4:5" s="42" customFormat="1" ht="11.25" x14ac:dyDescent="0.2">
      <c r="D86" s="151"/>
      <c r="E86" s="151"/>
    </row>
    <row r="87" spans="4:5" s="42" customFormat="1" ht="11.25" x14ac:dyDescent="0.2">
      <c r="D87" s="151"/>
      <c r="E87" s="151"/>
    </row>
    <row r="88" spans="4:5" s="42" customFormat="1" ht="11.25" x14ac:dyDescent="0.2">
      <c r="D88" s="151"/>
      <c r="E88" s="151"/>
    </row>
  </sheetData>
  <mergeCells count="20">
    <mergeCell ref="A2:C2"/>
    <mergeCell ref="B28:I28"/>
    <mergeCell ref="D46:H46"/>
    <mergeCell ref="I46:M46"/>
    <mergeCell ref="D29:F29"/>
    <mergeCell ref="G29:I29"/>
    <mergeCell ref="B29:B30"/>
    <mergeCell ref="C29:C30"/>
    <mergeCell ref="C45:M45"/>
    <mergeCell ref="G17:H17"/>
    <mergeCell ref="G4:H4"/>
    <mergeCell ref="H10:H11"/>
    <mergeCell ref="G10:G11"/>
    <mergeCell ref="P54:R54"/>
    <mergeCell ref="B54:B55"/>
    <mergeCell ref="C54:C55"/>
    <mergeCell ref="D54:F54"/>
    <mergeCell ref="G54:I54"/>
    <mergeCell ref="J54:L54"/>
    <mergeCell ref="M54:O5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A26" sqref="A26"/>
    </sheetView>
  </sheetViews>
  <sheetFormatPr defaultRowHeight="12.75" x14ac:dyDescent="0.2"/>
  <cols>
    <col min="1" max="1" width="20.7109375" customWidth="1"/>
    <col min="2" max="2" width="18.28515625" style="17" bestFit="1" customWidth="1"/>
    <col min="3" max="3" width="20.42578125" bestFit="1" customWidth="1"/>
    <col min="4" max="4" width="19.5703125" bestFit="1" customWidth="1"/>
    <col min="5" max="5" width="16.85546875" style="32" bestFit="1" customWidth="1"/>
    <col min="7" max="7" width="26.7109375" bestFit="1" customWidth="1"/>
    <col min="8" max="8" width="20" customWidth="1"/>
    <col min="9" max="9" width="15.42578125" bestFit="1" customWidth="1"/>
    <col min="10" max="10" width="15.140625" bestFit="1" customWidth="1"/>
  </cols>
  <sheetData>
    <row r="1" spans="1:12" x14ac:dyDescent="0.2">
      <c r="A1" s="1" t="s">
        <v>243</v>
      </c>
    </row>
    <row r="2" spans="1:12" x14ac:dyDescent="0.2">
      <c r="A2" s="1"/>
    </row>
    <row r="3" spans="1:12" x14ac:dyDescent="0.2">
      <c r="A3" s="6"/>
      <c r="B3" s="315" t="s">
        <v>201</v>
      </c>
      <c r="C3" s="315"/>
      <c r="D3" s="315"/>
      <c r="E3" s="316"/>
    </row>
    <row r="4" spans="1:12" x14ac:dyDescent="0.2">
      <c r="A4" s="227" t="s">
        <v>173</v>
      </c>
      <c r="B4" s="71" t="s">
        <v>200</v>
      </c>
      <c r="C4" s="228" t="s">
        <v>88</v>
      </c>
      <c r="D4" s="11"/>
      <c r="E4" s="229"/>
    </row>
    <row r="5" spans="1:12" ht="13.5" thickBot="1" x14ac:dyDescent="0.25">
      <c r="A5" s="230" t="s">
        <v>211</v>
      </c>
      <c r="B5" s="132" t="s">
        <v>90</v>
      </c>
      <c r="C5" s="35" t="s">
        <v>118</v>
      </c>
      <c r="D5" s="313" t="s">
        <v>34</v>
      </c>
      <c r="E5" s="314"/>
    </row>
    <row r="6" spans="1:12" x14ac:dyDescent="0.2">
      <c r="A6" s="184" t="s">
        <v>35</v>
      </c>
      <c r="B6" s="33"/>
      <c r="C6" s="11"/>
      <c r="D6" s="11" t="s">
        <v>206</v>
      </c>
      <c r="E6" s="229"/>
      <c r="G6" s="211" t="s">
        <v>238</v>
      </c>
      <c r="H6" s="210" t="s">
        <v>85</v>
      </c>
      <c r="I6" s="7" t="s">
        <v>87</v>
      </c>
      <c r="J6" s="7" t="s">
        <v>117</v>
      </c>
      <c r="K6" s="7" t="s">
        <v>119</v>
      </c>
      <c r="L6" s="8"/>
    </row>
    <row r="7" spans="1:12" x14ac:dyDescent="0.2">
      <c r="A7" s="10" t="s">
        <v>82</v>
      </c>
      <c r="B7" s="37">
        <f>0.07*H7*1000</f>
        <v>1176140</v>
      </c>
      <c r="C7" s="33">
        <f>4.05*J7*1000</f>
        <v>1254001.4999999998</v>
      </c>
      <c r="D7" s="11"/>
      <c r="E7" s="229"/>
      <c r="G7" s="10" t="s">
        <v>82</v>
      </c>
      <c r="H7" s="11">
        <f>Contiguity!I128</f>
        <v>16802</v>
      </c>
      <c r="I7" s="11">
        <v>990</v>
      </c>
      <c r="J7" s="11">
        <v>309.63</v>
      </c>
      <c r="K7" s="11">
        <f>4.4*1000</f>
        <v>4400</v>
      </c>
      <c r="L7" s="12"/>
    </row>
    <row r="8" spans="1:12" x14ac:dyDescent="0.2">
      <c r="A8" s="10" t="s">
        <v>83</v>
      </c>
      <c r="B8" s="33">
        <f>0.11*1000*H8</f>
        <v>276320</v>
      </c>
      <c r="C8" s="33">
        <f>1.78*1000*J8</f>
        <v>314882</v>
      </c>
      <c r="D8" s="11"/>
      <c r="E8" s="229"/>
      <c r="G8" s="10" t="s">
        <v>83</v>
      </c>
      <c r="H8" s="11">
        <f>Contiguity!I146</f>
        <v>2512</v>
      </c>
      <c r="I8" s="11">
        <v>210</v>
      </c>
      <c r="J8" s="11">
        <v>176.9</v>
      </c>
      <c r="K8" s="11">
        <f>1.4*1000</f>
        <v>1400</v>
      </c>
      <c r="L8" s="12"/>
    </row>
    <row r="9" spans="1:12" x14ac:dyDescent="0.2">
      <c r="A9" s="10"/>
      <c r="B9" s="33"/>
      <c r="C9" s="11"/>
      <c r="D9" s="11"/>
      <c r="E9" s="229"/>
      <c r="G9" s="10"/>
      <c r="H9" s="11"/>
      <c r="I9" s="11"/>
      <c r="J9" s="11"/>
      <c r="K9" s="11"/>
      <c r="L9" s="12"/>
    </row>
    <row r="10" spans="1:12" x14ac:dyDescent="0.2">
      <c r="A10" s="184" t="s">
        <v>36</v>
      </c>
      <c r="B10" s="33"/>
      <c r="C10" s="11"/>
      <c r="D10" s="11" t="s">
        <v>127</v>
      </c>
      <c r="E10" s="229" t="s">
        <v>122</v>
      </c>
      <c r="G10" s="10"/>
      <c r="H10" s="11" t="s">
        <v>126</v>
      </c>
      <c r="I10" s="11" t="s">
        <v>205</v>
      </c>
      <c r="J10" s="11"/>
      <c r="K10" s="11"/>
      <c r="L10" s="12"/>
    </row>
    <row r="11" spans="1:12" x14ac:dyDescent="0.2">
      <c r="A11" s="10" t="s">
        <v>82</v>
      </c>
      <c r="B11" s="33">
        <f>0.36*H7*1000</f>
        <v>6048719.9999999991</v>
      </c>
      <c r="C11" s="33">
        <f>19.79*1000*J7</f>
        <v>6127577.7000000002</v>
      </c>
      <c r="D11" s="11"/>
      <c r="E11" s="231">
        <f>B11/H11</f>
        <v>1.2346213661968652E-2</v>
      </c>
      <c r="G11" s="10" t="s">
        <v>82</v>
      </c>
      <c r="H11" s="33">
        <v>489925103</v>
      </c>
      <c r="I11" s="11">
        <v>149</v>
      </c>
      <c r="J11" s="11"/>
      <c r="K11" s="11"/>
      <c r="L11" s="12"/>
    </row>
    <row r="12" spans="1:12" x14ac:dyDescent="0.2">
      <c r="A12" s="10" t="s">
        <v>83</v>
      </c>
      <c r="B12" s="33">
        <f>0.83*1000*H8</f>
        <v>2084960</v>
      </c>
      <c r="C12" s="33">
        <f>11.79*1000*J8</f>
        <v>2085651</v>
      </c>
      <c r="D12" s="11"/>
      <c r="E12" s="231">
        <f>B12/H12</f>
        <v>1.2433303142984655E-2</v>
      </c>
      <c r="G12" s="10" t="s">
        <v>83</v>
      </c>
      <c r="H12" s="33">
        <v>167691560</v>
      </c>
      <c r="I12" s="11">
        <v>53</v>
      </c>
      <c r="J12" s="11"/>
      <c r="K12" s="11"/>
      <c r="L12" s="12"/>
    </row>
    <row r="13" spans="1:12" x14ac:dyDescent="0.2">
      <c r="A13" s="10" t="s">
        <v>204</v>
      </c>
      <c r="B13" s="33"/>
      <c r="C13" s="33"/>
      <c r="D13" s="11"/>
      <c r="E13" s="133">
        <f>(B11+B12)/($H$11+$H$12)</f>
        <v>1.2368421388373487E-2</v>
      </c>
      <c r="G13" s="10" t="s">
        <v>123</v>
      </c>
      <c r="H13" s="33">
        <v>313760598</v>
      </c>
      <c r="I13" s="11">
        <v>149</v>
      </c>
      <c r="J13" s="11"/>
      <c r="K13" s="11"/>
      <c r="L13" s="12"/>
    </row>
    <row r="14" spans="1:12" x14ac:dyDescent="0.2">
      <c r="A14" s="10"/>
      <c r="B14" s="33"/>
      <c r="C14" s="11"/>
      <c r="D14" s="11"/>
      <c r="E14" s="229"/>
      <c r="G14" s="10" t="s">
        <v>124</v>
      </c>
      <c r="H14" s="33">
        <v>160130733</v>
      </c>
      <c r="I14" s="11">
        <v>107</v>
      </c>
      <c r="J14" s="11"/>
      <c r="K14" s="11"/>
      <c r="L14" s="12"/>
    </row>
    <row r="15" spans="1:12" x14ac:dyDescent="0.2">
      <c r="A15" s="184" t="s">
        <v>75</v>
      </c>
      <c r="B15" s="33"/>
      <c r="C15" s="11"/>
      <c r="D15" s="11" t="s">
        <v>127</v>
      </c>
      <c r="E15" s="229" t="s">
        <v>122</v>
      </c>
      <c r="G15" s="13" t="s">
        <v>125</v>
      </c>
      <c r="H15" s="131">
        <v>517580947</v>
      </c>
      <c r="I15" s="14">
        <v>142</v>
      </c>
      <c r="J15" s="14"/>
      <c r="K15" s="14"/>
      <c r="L15" s="15"/>
    </row>
    <row r="16" spans="1:12" x14ac:dyDescent="0.2">
      <c r="A16" s="10" t="s">
        <v>82</v>
      </c>
      <c r="B16" s="33">
        <f>0.75*H7*1000</f>
        <v>12601500</v>
      </c>
      <c r="C16" s="33">
        <f>40.54*1000*J7</f>
        <v>12552400.199999999</v>
      </c>
      <c r="D16" s="11"/>
      <c r="E16" s="231">
        <f>B16/H11</f>
        <v>2.5721278462434695E-2</v>
      </c>
      <c r="G16" s="11"/>
      <c r="H16" s="33"/>
      <c r="I16" s="11"/>
      <c r="J16" s="11"/>
      <c r="K16" s="11"/>
    </row>
    <row r="17" spans="1:11" x14ac:dyDescent="0.2">
      <c r="A17" s="10" t="s">
        <v>83</v>
      </c>
      <c r="B17" s="33">
        <f>1.22*1000*H8</f>
        <v>3064640</v>
      </c>
      <c r="C17" s="33">
        <f>17.29*1000*J8</f>
        <v>3058601</v>
      </c>
      <c r="D17" s="11"/>
      <c r="E17" s="231">
        <f>B17/H12</f>
        <v>1.8275457631856964E-2</v>
      </c>
    </row>
    <row r="18" spans="1:11" x14ac:dyDescent="0.2">
      <c r="A18" s="10" t="s">
        <v>204</v>
      </c>
      <c r="B18" s="33"/>
      <c r="C18" s="33"/>
      <c r="D18" s="11"/>
      <c r="E18" s="134">
        <f>(B16+B17)/($H$11+$H$12)</f>
        <v>2.3822601952529904E-2</v>
      </c>
      <c r="G18" s="211" t="s">
        <v>239</v>
      </c>
      <c r="H18" s="317" t="s">
        <v>237</v>
      </c>
      <c r="I18" s="7"/>
      <c r="J18" s="7"/>
      <c r="K18" s="8"/>
    </row>
    <row r="19" spans="1:11" x14ac:dyDescent="0.2">
      <c r="A19" s="10"/>
      <c r="B19" s="33"/>
      <c r="C19" s="11"/>
      <c r="D19" s="11"/>
      <c r="E19" s="229"/>
      <c r="G19" s="212" t="s">
        <v>240</v>
      </c>
      <c r="H19" s="318"/>
      <c r="I19" s="192" t="s">
        <v>154</v>
      </c>
      <c r="J19" s="192" t="s">
        <v>155</v>
      </c>
      <c r="K19" s="213" t="s">
        <v>7</v>
      </c>
    </row>
    <row r="20" spans="1:11" x14ac:dyDescent="0.2">
      <c r="A20" s="184" t="s">
        <v>76</v>
      </c>
      <c r="B20" s="33"/>
      <c r="C20" s="11"/>
      <c r="D20" s="11" t="s">
        <v>208</v>
      </c>
      <c r="E20" s="229" t="s">
        <v>128</v>
      </c>
      <c r="G20" s="214">
        <v>154110325</v>
      </c>
      <c r="H20" s="192">
        <f>Headcuts!F51</f>
        <v>174.94699999999997</v>
      </c>
      <c r="I20" s="192" t="s">
        <v>140</v>
      </c>
      <c r="J20" s="192" t="s">
        <v>156</v>
      </c>
      <c r="K20" s="215">
        <v>1998</v>
      </c>
    </row>
    <row r="21" spans="1:11" x14ac:dyDescent="0.2">
      <c r="A21" s="10" t="s">
        <v>82</v>
      </c>
      <c r="B21" s="33">
        <f>0.44*H7*1000</f>
        <v>7392880</v>
      </c>
      <c r="C21" s="33">
        <f>23.7*1000*J7</f>
        <v>7338231</v>
      </c>
      <c r="D21" s="11"/>
      <c r="E21" s="232">
        <f>B21/I7</f>
        <v>7467.5555555555557</v>
      </c>
      <c r="G21" s="214">
        <v>97128120</v>
      </c>
      <c r="H21" s="192">
        <f>Headcuts!F52</f>
        <v>36.207000000000001</v>
      </c>
      <c r="I21" s="192" t="s">
        <v>141</v>
      </c>
      <c r="J21" s="192" t="s">
        <v>156</v>
      </c>
      <c r="K21" s="215">
        <v>1998</v>
      </c>
    </row>
    <row r="22" spans="1:11" x14ac:dyDescent="0.2">
      <c r="A22" s="10" t="s">
        <v>83</v>
      </c>
      <c r="B22" s="33">
        <f>0.56*1000*H8</f>
        <v>1406720</v>
      </c>
      <c r="C22" s="33">
        <f>7.98*1000*J8</f>
        <v>1411662</v>
      </c>
      <c r="D22" s="11"/>
      <c r="E22" s="233">
        <f>B22/I8</f>
        <v>6698.666666666667</v>
      </c>
      <c r="G22" s="214">
        <v>73862699</v>
      </c>
      <c r="H22" s="192">
        <f>Headcuts!F53</f>
        <v>135.1636</v>
      </c>
      <c r="I22" s="11" t="s">
        <v>142</v>
      </c>
      <c r="J22" s="11" t="s">
        <v>156</v>
      </c>
      <c r="K22" s="215">
        <v>1997</v>
      </c>
    </row>
    <row r="23" spans="1:11" x14ac:dyDescent="0.2">
      <c r="A23" s="10" t="s">
        <v>204</v>
      </c>
      <c r="B23" s="33"/>
      <c r="C23" s="33"/>
      <c r="D23" s="11"/>
      <c r="E23" s="61">
        <f>(B21+B22)/(I7+I8)</f>
        <v>7333</v>
      </c>
      <c r="G23" s="214">
        <v>29917756</v>
      </c>
      <c r="H23" s="192">
        <f>Headcuts!F54</f>
        <v>26.081999999999997</v>
      </c>
      <c r="I23" s="192" t="s">
        <v>143</v>
      </c>
      <c r="J23" s="192" t="s">
        <v>156</v>
      </c>
      <c r="K23" s="215">
        <v>1998</v>
      </c>
    </row>
    <row r="24" spans="1:11" x14ac:dyDescent="0.2">
      <c r="A24" s="10"/>
      <c r="B24" s="33"/>
      <c r="C24" s="11"/>
      <c r="D24" s="11"/>
      <c r="E24" s="229"/>
      <c r="G24" s="214">
        <v>2058346</v>
      </c>
      <c r="H24" s="192">
        <f>Headcuts!F55</f>
        <v>4.8895999999999997</v>
      </c>
      <c r="I24" s="192" t="s">
        <v>144</v>
      </c>
      <c r="J24" s="192" t="s">
        <v>156</v>
      </c>
      <c r="K24" s="215">
        <v>1998</v>
      </c>
    </row>
    <row r="25" spans="1:11" x14ac:dyDescent="0.2">
      <c r="A25" s="184" t="s">
        <v>77</v>
      </c>
      <c r="B25" s="33"/>
      <c r="C25" s="11"/>
      <c r="D25" s="11" t="s">
        <v>209</v>
      </c>
      <c r="E25" s="229" t="s">
        <v>122</v>
      </c>
      <c r="G25" s="214">
        <v>182396442</v>
      </c>
      <c r="H25" s="192">
        <f>Headcuts!F56</f>
        <v>155.2439</v>
      </c>
      <c r="I25" s="192" t="s">
        <v>145</v>
      </c>
      <c r="J25" s="192" t="s">
        <v>156</v>
      </c>
      <c r="K25" s="215">
        <v>1998</v>
      </c>
    </row>
    <row r="26" spans="1:11" x14ac:dyDescent="0.2">
      <c r="A26" s="10" t="s">
        <v>82</v>
      </c>
      <c r="B26" s="33">
        <f>0.11*H7*1000</f>
        <v>1848220</v>
      </c>
      <c r="C26" s="33">
        <f>5.86*1000*J7</f>
        <v>1814431.8</v>
      </c>
      <c r="D26" s="11"/>
      <c r="E26" s="231">
        <f>B26/H11</f>
        <v>3.7724541744904218E-3</v>
      </c>
      <c r="G26" s="216">
        <v>3752656</v>
      </c>
      <c r="H26" s="189">
        <f>Headcuts!F57</f>
        <v>5.4560000000000004</v>
      </c>
      <c r="I26" s="189" t="s">
        <v>146</v>
      </c>
      <c r="J26" s="189" t="s">
        <v>156</v>
      </c>
      <c r="K26" s="217">
        <v>1998</v>
      </c>
    </row>
    <row r="27" spans="1:11" x14ac:dyDescent="0.2">
      <c r="A27" s="10" t="s">
        <v>83</v>
      </c>
      <c r="B27" s="33">
        <f>0.14*1000*H8</f>
        <v>351680</v>
      </c>
      <c r="C27" s="33">
        <f>1.95*1000*J8</f>
        <v>344955</v>
      </c>
      <c r="D27" s="11"/>
      <c r="E27" s="231">
        <f>B27/H12</f>
        <v>2.0971836626721106E-3</v>
      </c>
      <c r="G27" s="218">
        <f>SUM(G20:G26)</f>
        <v>543226344</v>
      </c>
      <c r="H27" s="192">
        <f>Headcuts!F58</f>
        <v>537.98909999999989</v>
      </c>
      <c r="I27" s="191" t="s">
        <v>139</v>
      </c>
      <c r="J27" s="192"/>
      <c r="K27" s="215"/>
    </row>
    <row r="28" spans="1:11" x14ac:dyDescent="0.2">
      <c r="A28" s="10" t="s">
        <v>204</v>
      </c>
      <c r="B28" s="33"/>
      <c r="C28" s="33"/>
      <c r="D28" s="11"/>
      <c r="E28" s="134">
        <f>(B26+B27)/(H11+H12)</f>
        <v>3.3452619493615234E-3</v>
      </c>
      <c r="G28" s="218">
        <v>125090008</v>
      </c>
      <c r="H28" s="192">
        <f>Headcuts!F59</f>
        <v>70.192899999999995</v>
      </c>
      <c r="I28" s="100" t="s">
        <v>152</v>
      </c>
      <c r="J28" s="192" t="s">
        <v>157</v>
      </c>
      <c r="K28" s="215">
        <v>1998</v>
      </c>
    </row>
    <row r="29" spans="1:11" x14ac:dyDescent="0.2">
      <c r="A29" s="10"/>
      <c r="B29" s="33"/>
      <c r="C29" s="11"/>
      <c r="D29" s="11"/>
      <c r="E29" s="229"/>
      <c r="G29" s="218">
        <v>165925998</v>
      </c>
      <c r="H29" s="192">
        <f>Headcuts!F60</f>
        <v>282.9015</v>
      </c>
      <c r="I29" s="100" t="s">
        <v>151</v>
      </c>
      <c r="J29" s="192" t="s">
        <v>158</v>
      </c>
      <c r="K29" s="215">
        <v>1998</v>
      </c>
    </row>
    <row r="30" spans="1:11" x14ac:dyDescent="0.2">
      <c r="A30" s="184" t="s">
        <v>78</v>
      </c>
      <c r="B30" s="33"/>
      <c r="C30" s="11"/>
      <c r="D30" s="11" t="s">
        <v>127</v>
      </c>
      <c r="E30" s="229" t="s">
        <v>122</v>
      </c>
      <c r="G30" s="218">
        <v>144736036</v>
      </c>
      <c r="H30" s="192">
        <f>Headcuts!F61</f>
        <v>277.64279999999997</v>
      </c>
      <c r="I30" s="100" t="s">
        <v>161</v>
      </c>
      <c r="J30" s="192" t="s">
        <v>159</v>
      </c>
      <c r="K30" s="215">
        <v>1998</v>
      </c>
    </row>
    <row r="31" spans="1:11" x14ac:dyDescent="0.2">
      <c r="A31" s="10" t="s">
        <v>82</v>
      </c>
      <c r="B31" s="33">
        <f>0.2*H7*1000</f>
        <v>3360400</v>
      </c>
      <c r="C31" s="33">
        <f>10.75*1000*J7</f>
        <v>3328522.5</v>
      </c>
      <c r="D31" s="11"/>
      <c r="E31" s="231">
        <f>B31/H11</f>
        <v>6.8590075899825857E-3</v>
      </c>
      <c r="G31" s="214">
        <v>118575184</v>
      </c>
      <c r="H31" s="192">
        <f>Headcuts!F62</f>
        <v>48.895000000000003</v>
      </c>
      <c r="I31" s="192" t="s">
        <v>147</v>
      </c>
      <c r="J31" s="192" t="s">
        <v>160</v>
      </c>
      <c r="K31" s="215">
        <v>1998</v>
      </c>
    </row>
    <row r="32" spans="1:11" x14ac:dyDescent="0.2">
      <c r="A32" s="10" t="s">
        <v>83</v>
      </c>
      <c r="B32" s="33">
        <f>0.59*1000*H8</f>
        <v>1482080</v>
      </c>
      <c r="C32" s="33">
        <f>8.34*1000*J8</f>
        <v>1475346</v>
      </c>
      <c r="D32" s="11"/>
      <c r="E32" s="231">
        <f>B32/H12</f>
        <v>8.8381311498324667E-3</v>
      </c>
      <c r="G32" s="214">
        <v>121465460</v>
      </c>
      <c r="H32" s="192">
        <f>Headcuts!F63</f>
        <v>61.5961</v>
      </c>
      <c r="I32" s="192" t="s">
        <v>148</v>
      </c>
      <c r="J32" s="192" t="s">
        <v>160</v>
      </c>
      <c r="K32" s="215">
        <v>1998</v>
      </c>
    </row>
    <row r="33" spans="1:12" x14ac:dyDescent="0.2">
      <c r="A33" s="10" t="s">
        <v>204</v>
      </c>
      <c r="B33" s="33"/>
      <c r="C33" s="33"/>
      <c r="D33" s="11"/>
      <c r="E33" s="134">
        <f>(B31+B32)/($H$11+$H$12)</f>
        <v>7.3636820239757214E-3</v>
      </c>
      <c r="G33" s="214">
        <v>19667362</v>
      </c>
      <c r="H33" s="192">
        <f>Headcuts!F64</f>
        <v>20.4376</v>
      </c>
      <c r="I33" s="192" t="s">
        <v>149</v>
      </c>
      <c r="J33" s="192" t="s">
        <v>160</v>
      </c>
      <c r="K33" s="215">
        <v>1998</v>
      </c>
    </row>
    <row r="34" spans="1:12" x14ac:dyDescent="0.2">
      <c r="A34" s="10"/>
      <c r="B34" s="33"/>
      <c r="C34" s="33"/>
      <c r="D34" s="11"/>
      <c r="E34" s="229"/>
      <c r="G34" s="216">
        <v>32057820</v>
      </c>
      <c r="H34" s="189">
        <f>Headcuts!F65</f>
        <v>15.536000000000001</v>
      </c>
      <c r="I34" s="189" t="s">
        <v>150</v>
      </c>
      <c r="J34" s="189" t="s">
        <v>160</v>
      </c>
      <c r="K34" s="217">
        <v>1998</v>
      </c>
    </row>
    <row r="35" spans="1:12" x14ac:dyDescent="0.2">
      <c r="A35" s="184" t="s">
        <v>84</v>
      </c>
      <c r="B35" s="33"/>
      <c r="C35" s="33"/>
      <c r="D35" s="11" t="s">
        <v>210</v>
      </c>
      <c r="E35" s="229" t="s">
        <v>134</v>
      </c>
      <c r="G35" s="218">
        <f>SUM(G31:G34)</f>
        <v>291765826</v>
      </c>
      <c r="H35" s="192">
        <f>Headcuts!F66</f>
        <v>146.46469999999999</v>
      </c>
      <c r="I35" s="191" t="s">
        <v>160</v>
      </c>
      <c r="J35" s="192"/>
      <c r="K35" s="213"/>
      <c r="L35" s="11"/>
    </row>
    <row r="36" spans="1:12" x14ac:dyDescent="0.2">
      <c r="A36" s="10" t="s">
        <v>82</v>
      </c>
      <c r="B36" s="33">
        <f>0.54*H7*1000</f>
        <v>9073080</v>
      </c>
      <c r="C36" s="33">
        <f>29.24*1000*J7</f>
        <v>9053581.1999999993</v>
      </c>
      <c r="D36" s="11"/>
      <c r="E36" s="233">
        <f>B36/I11</f>
        <v>60893.154362416106</v>
      </c>
      <c r="G36" s="219">
        <f>G27+G28+G29+G30+G35</f>
        <v>1270744212</v>
      </c>
      <c r="H36" s="220">
        <f>H27+H28+H29+H30+H35</f>
        <v>1315.1909999999998</v>
      </c>
      <c r="I36" s="220" t="s">
        <v>135</v>
      </c>
      <c r="J36" s="189"/>
      <c r="K36" s="221"/>
      <c r="L36" s="11"/>
    </row>
    <row r="37" spans="1:12" x14ac:dyDescent="0.2">
      <c r="A37" s="10" t="s">
        <v>83</v>
      </c>
      <c r="B37" s="33">
        <f>1.22*1000*H8</f>
        <v>3064640</v>
      </c>
      <c r="C37" s="33">
        <f>17.35*1000*J8</f>
        <v>3069215</v>
      </c>
      <c r="D37" s="11"/>
      <c r="E37" s="233">
        <f>B37/I12</f>
        <v>57823.396226415098</v>
      </c>
      <c r="G37" s="191"/>
      <c r="H37" s="192"/>
      <c r="I37" s="192"/>
      <c r="J37" s="193"/>
      <c r="K37" s="191"/>
    </row>
    <row r="38" spans="1:12" x14ac:dyDescent="0.2">
      <c r="A38" s="10" t="s">
        <v>204</v>
      </c>
      <c r="B38" s="33"/>
      <c r="C38" s="33"/>
      <c r="D38" s="11"/>
      <c r="E38" s="61">
        <f>(B36+B37)/(I11+I12)</f>
        <v>60087.72277227723</v>
      </c>
      <c r="G38" s="211" t="s">
        <v>241</v>
      </c>
      <c r="H38" s="7"/>
      <c r="I38" s="8"/>
      <c r="L38" s="11"/>
    </row>
    <row r="39" spans="1:12" x14ac:dyDescent="0.2">
      <c r="A39" s="10"/>
      <c r="B39" s="33"/>
      <c r="C39" s="33"/>
      <c r="D39" s="11"/>
      <c r="E39" s="233"/>
      <c r="G39" s="223" t="s">
        <v>173</v>
      </c>
      <c r="H39" s="14" t="s">
        <v>34</v>
      </c>
      <c r="I39" s="15" t="s">
        <v>242</v>
      </c>
      <c r="L39" s="11"/>
    </row>
    <row r="40" spans="1:12" x14ac:dyDescent="0.2">
      <c r="A40" s="10"/>
      <c r="B40" s="33"/>
      <c r="C40" s="33"/>
      <c r="D40" s="11"/>
      <c r="E40" s="229"/>
      <c r="G40" s="224" t="s">
        <v>35</v>
      </c>
      <c r="H40" s="11" t="s">
        <v>178</v>
      </c>
      <c r="I40" s="12"/>
      <c r="J40" s="11"/>
      <c r="K40" s="11"/>
      <c r="L40" s="11"/>
    </row>
    <row r="41" spans="1:12" x14ac:dyDescent="0.2">
      <c r="A41" s="184" t="s">
        <v>79</v>
      </c>
      <c r="B41" s="33"/>
      <c r="C41" s="33"/>
      <c r="D41" s="11" t="s">
        <v>127</v>
      </c>
      <c r="E41" s="229" t="s">
        <v>122</v>
      </c>
      <c r="G41" s="224" t="s">
        <v>36</v>
      </c>
      <c r="H41" s="11" t="s">
        <v>175</v>
      </c>
      <c r="I41" s="225">
        <f>'AG drivers'!E13</f>
        <v>1.2368421388373487E-2</v>
      </c>
      <c r="J41" s="11"/>
      <c r="K41" s="11"/>
      <c r="L41" s="100"/>
    </row>
    <row r="42" spans="1:12" x14ac:dyDescent="0.2">
      <c r="A42" s="10" t="s">
        <v>82</v>
      </c>
      <c r="B42" s="33">
        <f>0.27*H7*1000</f>
        <v>4536540</v>
      </c>
      <c r="C42" s="33">
        <f>14.65*1000*J7</f>
        <v>4536079.5</v>
      </c>
      <c r="D42" s="11"/>
      <c r="E42" s="231">
        <f>B42/H11</f>
        <v>9.2596602464764897E-3</v>
      </c>
      <c r="G42" s="224" t="s">
        <v>75</v>
      </c>
      <c r="H42" s="11" t="s">
        <v>175</v>
      </c>
      <c r="I42" s="225">
        <f>'AG drivers'!E18</f>
        <v>2.3822601952529904E-2</v>
      </c>
      <c r="J42" s="11"/>
      <c r="K42" s="100"/>
      <c r="L42" s="100"/>
    </row>
    <row r="43" spans="1:12" x14ac:dyDescent="0.2">
      <c r="A43" s="10" t="s">
        <v>83</v>
      </c>
      <c r="B43" s="33">
        <f>0.52*1000*H8</f>
        <v>1306240</v>
      </c>
      <c r="C43" s="33">
        <f>7.44*1000*J8</f>
        <v>1316136</v>
      </c>
      <c r="D43" s="11"/>
      <c r="E43" s="231">
        <f>B43/H12</f>
        <v>7.7895393184964105E-3</v>
      </c>
      <c r="G43" s="224" t="s">
        <v>76</v>
      </c>
      <c r="H43" s="11" t="s">
        <v>176</v>
      </c>
      <c r="I43" s="225">
        <f>'AG drivers'!E23</f>
        <v>7333</v>
      </c>
      <c r="J43" s="11"/>
      <c r="K43" s="100"/>
      <c r="L43" s="100"/>
    </row>
    <row r="44" spans="1:12" x14ac:dyDescent="0.2">
      <c r="A44" s="10" t="s">
        <v>204</v>
      </c>
      <c r="B44" s="33"/>
      <c r="C44" s="33"/>
      <c r="D44" s="11"/>
      <c r="E44" s="134">
        <f>(B42+B43)/(H11+H12)</f>
        <v>8.8847809502661575E-3</v>
      </c>
      <c r="G44" s="224" t="s">
        <v>77</v>
      </c>
      <c r="H44" s="11" t="s">
        <v>179</v>
      </c>
      <c r="I44" s="225">
        <f>'AG drivers'!E28</f>
        <v>3.3452619493615234E-3</v>
      </c>
      <c r="J44" s="11"/>
      <c r="K44" s="100"/>
      <c r="L44" s="100"/>
    </row>
    <row r="45" spans="1:12" x14ac:dyDescent="0.2">
      <c r="A45" s="10"/>
      <c r="B45" s="33"/>
      <c r="C45" s="33"/>
      <c r="D45" s="11"/>
      <c r="E45" s="231"/>
      <c r="G45" s="224" t="s">
        <v>78</v>
      </c>
      <c r="H45" s="11" t="s">
        <v>175</v>
      </c>
      <c r="I45" s="225">
        <f>'AG drivers'!E33</f>
        <v>7.3636820239757214E-3</v>
      </c>
      <c r="J45" s="11"/>
      <c r="K45" s="100"/>
      <c r="L45" s="100"/>
    </row>
    <row r="46" spans="1:12" x14ac:dyDescent="0.2">
      <c r="A46" s="10"/>
      <c r="B46" s="33"/>
      <c r="C46" s="33"/>
      <c r="D46" s="11"/>
      <c r="E46" s="231"/>
      <c r="G46" s="224" t="s">
        <v>84</v>
      </c>
      <c r="H46" s="11" t="s">
        <v>177</v>
      </c>
      <c r="I46" s="225"/>
      <c r="J46" s="11"/>
      <c r="K46" s="100"/>
      <c r="L46" s="11"/>
    </row>
    <row r="47" spans="1:12" x14ac:dyDescent="0.2">
      <c r="A47" s="10"/>
      <c r="B47" s="33"/>
      <c r="C47" s="33"/>
      <c r="D47" s="11"/>
      <c r="E47" s="229"/>
      <c r="G47" s="223" t="s">
        <v>79</v>
      </c>
      <c r="H47" s="13" t="s">
        <v>175</v>
      </c>
      <c r="I47" s="226">
        <f>'AG drivers'!E44</f>
        <v>8.8847809502661575E-3</v>
      </c>
      <c r="J47" s="11"/>
      <c r="K47" s="11"/>
    </row>
    <row r="48" spans="1:12" x14ac:dyDescent="0.2">
      <c r="A48" s="184" t="s">
        <v>86</v>
      </c>
      <c r="B48" s="33"/>
      <c r="C48" s="33"/>
      <c r="D48" s="11"/>
      <c r="E48" s="229"/>
    </row>
    <row r="49" spans="1:5" x14ac:dyDescent="0.2">
      <c r="A49" s="10"/>
      <c r="B49" s="33"/>
      <c r="C49" s="33"/>
      <c r="D49" s="11"/>
      <c r="E49" s="229"/>
    </row>
    <row r="50" spans="1:5" x14ac:dyDescent="0.2">
      <c r="A50" s="184" t="s">
        <v>81</v>
      </c>
      <c r="B50" s="33"/>
      <c r="C50" s="33" t="s">
        <v>120</v>
      </c>
      <c r="D50" s="11"/>
      <c r="E50" s="229"/>
    </row>
    <row r="51" spans="1:5" x14ac:dyDescent="0.2">
      <c r="A51" s="10" t="s">
        <v>82</v>
      </c>
      <c r="B51" s="33">
        <f>0.4*1000*H7</f>
        <v>6720800</v>
      </c>
      <c r="C51" s="33">
        <f>1.54*1000*K7</f>
        <v>6776000</v>
      </c>
      <c r="D51" s="11"/>
      <c r="E51" s="229"/>
    </row>
    <row r="52" spans="1:5" x14ac:dyDescent="0.2">
      <c r="A52" s="10" t="s">
        <v>83</v>
      </c>
      <c r="B52" s="33">
        <f>0.77*1000*H8</f>
        <v>1934240</v>
      </c>
      <c r="C52" s="33">
        <f>1.35*1000*K8</f>
        <v>1890000</v>
      </c>
      <c r="D52" s="11"/>
      <c r="E52" s="229"/>
    </row>
    <row r="53" spans="1:5" x14ac:dyDescent="0.2">
      <c r="A53" s="10"/>
      <c r="B53" s="33"/>
      <c r="C53" s="11"/>
      <c r="D53" s="11"/>
      <c r="E53" s="229"/>
    </row>
    <row r="54" spans="1:5" x14ac:dyDescent="0.2">
      <c r="A54" s="184" t="s">
        <v>138</v>
      </c>
      <c r="B54" s="193"/>
      <c r="C54" s="11"/>
      <c r="D54" s="11" t="s">
        <v>207</v>
      </c>
      <c r="E54" s="229" t="s">
        <v>134</v>
      </c>
    </row>
    <row r="55" spans="1:5" x14ac:dyDescent="0.2">
      <c r="A55" s="10" t="s">
        <v>82</v>
      </c>
      <c r="B55" s="33">
        <f>CS!G50</f>
        <v>777941</v>
      </c>
      <c r="C55" s="11"/>
      <c r="D55" s="11"/>
      <c r="E55" s="233">
        <f>B55/I11</f>
        <v>5221.080536912752</v>
      </c>
    </row>
    <row r="56" spans="1:5" x14ac:dyDescent="0.2">
      <c r="A56" s="10" t="s">
        <v>83</v>
      </c>
      <c r="B56" s="33">
        <f>CS!G63</f>
        <v>69681</v>
      </c>
      <c r="C56" s="11"/>
      <c r="D56" s="11"/>
      <c r="E56" s="233">
        <f>B56/I12</f>
        <v>1314.7358490566037</v>
      </c>
    </row>
    <row r="57" spans="1:5" x14ac:dyDescent="0.2">
      <c r="A57" s="10" t="s">
        <v>204</v>
      </c>
      <c r="B57" s="33"/>
      <c r="C57" s="11"/>
      <c r="D57" s="11"/>
      <c r="E57" s="61">
        <f>(B55+B56)/(I11+I12)</f>
        <v>4196.1485148514848</v>
      </c>
    </row>
    <row r="58" spans="1:5" x14ac:dyDescent="0.2">
      <c r="A58" s="10" t="s">
        <v>123</v>
      </c>
      <c r="B58" s="33">
        <f>CS!G11</f>
        <v>3509075</v>
      </c>
      <c r="C58" s="11"/>
      <c r="D58" s="11"/>
      <c r="E58" s="233">
        <f>B58/I13</f>
        <v>23550.838926174496</v>
      </c>
    </row>
    <row r="59" spans="1:5" x14ac:dyDescent="0.2">
      <c r="A59" s="10" t="s">
        <v>124</v>
      </c>
      <c r="B59" s="33">
        <f>CS!G24</f>
        <v>2324068</v>
      </c>
      <c r="C59" s="11"/>
      <c r="D59" s="11"/>
      <c r="E59" s="233">
        <f>B59/I14</f>
        <v>21720.261682242992</v>
      </c>
    </row>
    <row r="60" spans="1:5" x14ac:dyDescent="0.2">
      <c r="A60" s="10" t="s">
        <v>125</v>
      </c>
      <c r="B60" s="33">
        <f>CS!G37</f>
        <v>389770</v>
      </c>
      <c r="C60" s="11"/>
      <c r="D60" s="11"/>
      <c r="E60" s="233">
        <f>B60/I15</f>
        <v>2744.8591549295775</v>
      </c>
    </row>
    <row r="61" spans="1:5" x14ac:dyDescent="0.2">
      <c r="A61" s="13"/>
      <c r="B61" s="131"/>
      <c r="C61" s="14"/>
      <c r="D61" s="14"/>
      <c r="E61" s="234"/>
    </row>
    <row r="63" spans="1:5" s="16" customFormat="1" ht="13.5" thickBot="1" x14ac:dyDescent="0.25">
      <c r="B63" s="244"/>
      <c r="E63" s="245"/>
    </row>
    <row r="64" spans="1:5" s="11" customFormat="1" x14ac:dyDescent="0.2">
      <c r="B64" s="33"/>
      <c r="E64" s="109"/>
    </row>
    <row r="65" spans="1:5" ht="13.5" thickBot="1" x14ac:dyDescent="0.25">
      <c r="A65" t="s">
        <v>270</v>
      </c>
    </row>
    <row r="66" spans="1:5" x14ac:dyDescent="0.2">
      <c r="A66" s="290" t="s">
        <v>269</v>
      </c>
      <c r="B66" s="319"/>
      <c r="C66" s="319"/>
      <c r="D66" s="291"/>
      <c r="E66"/>
    </row>
    <row r="67" spans="1:5" x14ac:dyDescent="0.2">
      <c r="A67" s="246" t="s">
        <v>173</v>
      </c>
      <c r="B67" s="247" t="s">
        <v>268</v>
      </c>
      <c r="C67" s="246" t="s">
        <v>267</v>
      </c>
      <c r="D67" s="247" t="s">
        <v>173</v>
      </c>
      <c r="E67"/>
    </row>
    <row r="68" spans="1:5" x14ac:dyDescent="0.2">
      <c r="A68" s="163" t="s">
        <v>266</v>
      </c>
      <c r="B68" s="248">
        <v>32701334</v>
      </c>
      <c r="C68" s="163"/>
      <c r="D68" s="243"/>
      <c r="E68"/>
    </row>
    <row r="69" spans="1:5" x14ac:dyDescent="0.2">
      <c r="A69" s="163" t="s">
        <v>265</v>
      </c>
      <c r="B69" s="248">
        <v>12054733</v>
      </c>
      <c r="C69" s="249">
        <v>1452460</v>
      </c>
      <c r="D69" s="243" t="s">
        <v>35</v>
      </c>
      <c r="E69"/>
    </row>
    <row r="70" spans="1:5" x14ac:dyDescent="0.2">
      <c r="A70" s="163" t="s">
        <v>264</v>
      </c>
      <c r="B70" s="248">
        <v>23380350</v>
      </c>
      <c r="C70" s="249">
        <v>8133679.9999999991</v>
      </c>
      <c r="D70" s="243" t="s">
        <v>36</v>
      </c>
      <c r="E70"/>
    </row>
    <row r="71" spans="1:5" x14ac:dyDescent="0.2">
      <c r="A71" s="163" t="s">
        <v>263</v>
      </c>
      <c r="B71" s="248">
        <v>5437406</v>
      </c>
      <c r="C71" s="249">
        <v>15666140</v>
      </c>
      <c r="D71" s="243" t="s">
        <v>75</v>
      </c>
      <c r="E71"/>
    </row>
    <row r="72" spans="1:5" x14ac:dyDescent="0.2">
      <c r="A72" s="163" t="s">
        <v>262</v>
      </c>
      <c r="B72" s="248">
        <v>3201037</v>
      </c>
      <c r="C72" s="249">
        <v>8799600</v>
      </c>
      <c r="D72" s="243" t="s">
        <v>76</v>
      </c>
      <c r="E72"/>
    </row>
    <row r="73" spans="1:5" x14ac:dyDescent="0.2">
      <c r="A73" s="163" t="s">
        <v>261</v>
      </c>
      <c r="B73" s="248">
        <v>13800812</v>
      </c>
      <c r="C73" s="249">
        <v>2199900</v>
      </c>
      <c r="D73" s="243" t="s">
        <v>77</v>
      </c>
      <c r="E73"/>
    </row>
    <row r="74" spans="1:5" x14ac:dyDescent="0.2">
      <c r="A74" s="163" t="s">
        <v>260</v>
      </c>
      <c r="B74" s="248">
        <v>5806235</v>
      </c>
      <c r="C74" s="249">
        <v>4842480</v>
      </c>
      <c r="D74" s="243" t="s">
        <v>78</v>
      </c>
      <c r="E74"/>
    </row>
    <row r="75" spans="1:5" x14ac:dyDescent="0.2">
      <c r="A75" s="163" t="s">
        <v>259</v>
      </c>
      <c r="B75" s="248">
        <v>193847</v>
      </c>
      <c r="C75" s="249">
        <v>12137720</v>
      </c>
      <c r="D75" s="243" t="s">
        <v>172</v>
      </c>
      <c r="E75"/>
    </row>
    <row r="76" spans="1:5" x14ac:dyDescent="0.2">
      <c r="A76" s="163" t="s">
        <v>258</v>
      </c>
      <c r="B76" s="248">
        <v>16211846</v>
      </c>
      <c r="C76" s="249">
        <v>5842780</v>
      </c>
      <c r="D76" s="243" t="s">
        <v>79</v>
      </c>
      <c r="E76"/>
    </row>
    <row r="77" spans="1:5" ht="13.5" thickBot="1" x14ac:dyDescent="0.25">
      <c r="A77" s="250" t="s">
        <v>257</v>
      </c>
      <c r="B77" s="248">
        <v>4182977</v>
      </c>
      <c r="C77" s="249">
        <v>847622</v>
      </c>
      <c r="D77" s="251" t="s">
        <v>80</v>
      </c>
      <c r="E77"/>
    </row>
    <row r="78" spans="1:5" ht="13.5" thickBot="1" x14ac:dyDescent="0.25">
      <c r="A78" s="170" t="s">
        <v>256</v>
      </c>
      <c r="B78" s="252">
        <v>116970577</v>
      </c>
      <c r="C78" s="253">
        <v>59922382</v>
      </c>
      <c r="D78" s="254" t="s">
        <v>256</v>
      </c>
      <c r="E78"/>
    </row>
  </sheetData>
  <mergeCells count="4">
    <mergeCell ref="D5:E5"/>
    <mergeCell ref="B3:E3"/>
    <mergeCell ref="H18:H19"/>
    <mergeCell ref="A66:D66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opLeftCell="B1" workbookViewId="0">
      <selection activeCell="B8" sqref="B8"/>
    </sheetView>
  </sheetViews>
  <sheetFormatPr defaultRowHeight="12.75" x14ac:dyDescent="0.2"/>
  <cols>
    <col min="1" max="1" width="6" style="31" customWidth="1"/>
    <col min="2" max="2" width="35.7109375" style="11" customWidth="1"/>
    <col min="3" max="3" width="5" style="11" customWidth="1"/>
    <col min="4" max="4" width="14.28515625" style="11" customWidth="1"/>
    <col min="5" max="5" width="7.85546875" style="11" customWidth="1"/>
    <col min="6" max="6" width="6.7109375" style="11" customWidth="1"/>
    <col min="7" max="7" width="8.5703125" style="11" customWidth="1"/>
    <col min="8" max="8" width="14" style="11" customWidth="1"/>
    <col min="9" max="9" width="14" customWidth="1"/>
    <col min="10" max="11" width="10.28515625" customWidth="1"/>
    <col min="13" max="13" width="4.140625" customWidth="1"/>
  </cols>
  <sheetData>
    <row r="1" spans="1:11" x14ac:dyDescent="0.2">
      <c r="A1" s="31" t="s">
        <v>212</v>
      </c>
      <c r="B1" s="11" t="s">
        <v>38</v>
      </c>
      <c r="C1" s="11" t="s">
        <v>7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</row>
    <row r="2" spans="1:11" x14ac:dyDescent="0.2">
      <c r="A2" s="31">
        <v>1</v>
      </c>
      <c r="B2" s="11" t="s">
        <v>1</v>
      </c>
      <c r="C2" s="11">
        <v>1998</v>
      </c>
      <c r="D2" s="11" t="s">
        <v>54</v>
      </c>
      <c r="E2" s="11" t="s">
        <v>45</v>
      </c>
      <c r="F2" s="11" t="s">
        <v>46</v>
      </c>
      <c r="G2" s="11" t="s">
        <v>46</v>
      </c>
      <c r="H2" s="11">
        <v>60</v>
      </c>
      <c r="I2" s="11"/>
    </row>
    <row r="3" spans="1:11" x14ac:dyDescent="0.2">
      <c r="A3" s="31">
        <v>2</v>
      </c>
      <c r="B3" s="11" t="s">
        <v>5</v>
      </c>
      <c r="C3" s="11">
        <v>1998</v>
      </c>
      <c r="D3" s="11" t="s">
        <v>69</v>
      </c>
      <c r="E3" s="11" t="s">
        <v>45</v>
      </c>
      <c r="F3" s="11" t="s">
        <v>46</v>
      </c>
      <c r="G3" s="11" t="s">
        <v>46</v>
      </c>
      <c r="H3" s="11">
        <v>694</v>
      </c>
      <c r="I3" s="11"/>
    </row>
    <row r="4" spans="1:11" x14ac:dyDescent="0.2">
      <c r="A4" s="31">
        <v>3</v>
      </c>
      <c r="B4" s="11" t="s">
        <v>5</v>
      </c>
      <c r="C4" s="11">
        <v>1998</v>
      </c>
      <c r="D4" s="11" t="s">
        <v>70</v>
      </c>
      <c r="E4" s="11" t="s">
        <v>45</v>
      </c>
      <c r="F4" s="11" t="s">
        <v>46</v>
      </c>
      <c r="G4" s="11" t="s">
        <v>46</v>
      </c>
      <c r="H4" s="11">
        <v>1</v>
      </c>
      <c r="I4" s="11"/>
    </row>
    <row r="5" spans="1:11" x14ac:dyDescent="0.2">
      <c r="A5" s="31">
        <v>4</v>
      </c>
      <c r="B5" s="11" t="s">
        <v>5</v>
      </c>
      <c r="C5" s="11">
        <v>1998</v>
      </c>
      <c r="D5" s="11" t="s">
        <v>71</v>
      </c>
      <c r="E5" s="11" t="s">
        <v>45</v>
      </c>
      <c r="F5" s="11" t="s">
        <v>45</v>
      </c>
      <c r="G5" s="11" t="s">
        <v>46</v>
      </c>
      <c r="H5" s="11">
        <v>11</v>
      </c>
      <c r="I5" s="11"/>
    </row>
    <row r="6" spans="1:11" x14ac:dyDescent="0.2">
      <c r="A6" s="31">
        <v>5</v>
      </c>
      <c r="B6" s="11" t="s">
        <v>4</v>
      </c>
      <c r="C6" s="11">
        <v>1997</v>
      </c>
      <c r="D6" s="11" t="s">
        <v>61</v>
      </c>
      <c r="E6" s="11" t="s">
        <v>45</v>
      </c>
      <c r="F6" s="11" t="s">
        <v>46</v>
      </c>
      <c r="G6" s="11" t="s">
        <v>46</v>
      </c>
      <c r="H6" s="11">
        <v>4333</v>
      </c>
      <c r="I6" s="11"/>
    </row>
    <row r="7" spans="1:11" x14ac:dyDescent="0.2">
      <c r="A7" s="31">
        <v>6</v>
      </c>
      <c r="B7" s="11" t="s">
        <v>0</v>
      </c>
      <c r="C7" s="11">
        <v>1997</v>
      </c>
      <c r="D7" s="11" t="s">
        <v>44</v>
      </c>
      <c r="E7" s="11" t="s">
        <v>45</v>
      </c>
      <c r="F7" s="11" t="s">
        <v>46</v>
      </c>
      <c r="G7" s="11" t="s">
        <v>46</v>
      </c>
      <c r="H7" s="11">
        <v>1229</v>
      </c>
      <c r="I7" s="11"/>
    </row>
    <row r="8" spans="1:11" x14ac:dyDescent="0.2">
      <c r="A8" s="31">
        <v>7</v>
      </c>
      <c r="B8" s="11" t="s">
        <v>1</v>
      </c>
      <c r="C8" s="11">
        <v>1998</v>
      </c>
      <c r="D8" s="11" t="s">
        <v>44</v>
      </c>
      <c r="E8" s="11" t="s">
        <v>45</v>
      </c>
      <c r="F8" s="11" t="s">
        <v>46</v>
      </c>
      <c r="G8" s="11" t="s">
        <v>46</v>
      </c>
      <c r="H8" s="11">
        <v>725</v>
      </c>
      <c r="I8" s="11"/>
    </row>
    <row r="9" spans="1:11" x14ac:dyDescent="0.2">
      <c r="A9" s="31">
        <v>8</v>
      </c>
      <c r="B9" s="11" t="s">
        <v>4</v>
      </c>
      <c r="C9" s="11">
        <v>1997</v>
      </c>
      <c r="D9" s="11" t="s">
        <v>44</v>
      </c>
      <c r="E9" s="11" t="s">
        <v>45</v>
      </c>
      <c r="F9" s="11" t="s">
        <v>46</v>
      </c>
      <c r="G9" s="11" t="s">
        <v>46</v>
      </c>
      <c r="H9" s="11">
        <v>23</v>
      </c>
      <c r="I9" s="11"/>
      <c r="J9" s="322" t="s">
        <v>213</v>
      </c>
      <c r="K9" s="323"/>
    </row>
    <row r="10" spans="1:11" x14ac:dyDescent="0.2">
      <c r="A10" s="31">
        <v>9</v>
      </c>
      <c r="B10" s="11" t="s">
        <v>0</v>
      </c>
      <c r="C10" s="11">
        <v>1997</v>
      </c>
      <c r="D10" s="11" t="s">
        <v>47</v>
      </c>
      <c r="E10" s="11" t="s">
        <v>45</v>
      </c>
      <c r="F10" s="11" t="s">
        <v>46</v>
      </c>
      <c r="G10" s="11" t="s">
        <v>46</v>
      </c>
      <c r="H10" s="11">
        <v>863</v>
      </c>
      <c r="I10" s="11"/>
      <c r="J10" s="10" t="s">
        <v>123</v>
      </c>
      <c r="K10" s="12">
        <f>SUM(H2:H10)</f>
        <v>7939</v>
      </c>
    </row>
    <row r="11" spans="1:11" ht="13.5" thickBot="1" x14ac:dyDescent="0.25">
      <c r="A11" s="31">
        <v>10</v>
      </c>
      <c r="B11" s="11" t="s">
        <v>1</v>
      </c>
      <c r="C11" s="11">
        <v>1998</v>
      </c>
      <c r="D11" s="11" t="s">
        <v>47</v>
      </c>
      <c r="E11" s="11" t="s">
        <v>45</v>
      </c>
      <c r="F11" s="11" t="s">
        <v>46</v>
      </c>
      <c r="G11" s="11" t="s">
        <v>46</v>
      </c>
      <c r="H11" s="11">
        <v>244</v>
      </c>
      <c r="I11" s="11"/>
      <c r="J11" s="10" t="s">
        <v>124</v>
      </c>
      <c r="K11" s="12">
        <f>SUM(H11:H20)</f>
        <v>6534</v>
      </c>
    </row>
    <row r="12" spans="1:11" x14ac:dyDescent="0.2">
      <c r="A12" s="31">
        <v>11</v>
      </c>
      <c r="B12" s="135" t="s">
        <v>0</v>
      </c>
      <c r="C12" s="136">
        <v>1997</v>
      </c>
      <c r="D12" s="136" t="s">
        <v>48</v>
      </c>
      <c r="E12" s="136" t="s">
        <v>45</v>
      </c>
      <c r="F12" s="136" t="s">
        <v>46</v>
      </c>
      <c r="G12" s="136" t="s">
        <v>46</v>
      </c>
      <c r="H12" s="138">
        <v>1778</v>
      </c>
      <c r="I12" s="11"/>
      <c r="J12" s="10" t="s">
        <v>125</v>
      </c>
      <c r="K12" s="12">
        <f>SUM(H21:H28)</f>
        <v>8021</v>
      </c>
    </row>
    <row r="13" spans="1:11" ht="13.5" thickBot="1" x14ac:dyDescent="0.25">
      <c r="A13" s="31">
        <v>12</v>
      </c>
      <c r="B13" s="137" t="s">
        <v>4</v>
      </c>
      <c r="C13" s="16">
        <v>1997</v>
      </c>
      <c r="D13" s="16" t="s">
        <v>48</v>
      </c>
      <c r="E13" s="16" t="s">
        <v>45</v>
      </c>
      <c r="F13" s="16" t="s">
        <v>46</v>
      </c>
      <c r="G13" s="16" t="s">
        <v>46</v>
      </c>
      <c r="H13" s="140">
        <v>2244</v>
      </c>
      <c r="I13" s="11"/>
      <c r="J13" s="10" t="s">
        <v>82</v>
      </c>
      <c r="K13" s="12">
        <f>SUM(H29:H43)</f>
        <v>5858</v>
      </c>
    </row>
    <row r="14" spans="1:11" x14ac:dyDescent="0.2">
      <c r="A14" s="31">
        <v>13</v>
      </c>
      <c r="B14" s="11" t="s">
        <v>1</v>
      </c>
      <c r="C14" s="11">
        <v>1998</v>
      </c>
      <c r="D14" s="11" t="s">
        <v>55</v>
      </c>
      <c r="E14" s="11" t="s">
        <v>45</v>
      </c>
      <c r="F14" s="11" t="s">
        <v>46</v>
      </c>
      <c r="G14" s="11" t="s">
        <v>46</v>
      </c>
      <c r="H14" s="11">
        <v>154</v>
      </c>
      <c r="J14" s="13" t="s">
        <v>83</v>
      </c>
      <c r="K14" s="15">
        <f>SUM(H44:H50)</f>
        <v>5094</v>
      </c>
    </row>
    <row r="15" spans="1:11" x14ac:dyDescent="0.2">
      <c r="A15" s="31">
        <v>14</v>
      </c>
      <c r="B15" s="11" t="s">
        <v>1</v>
      </c>
      <c r="C15" s="11">
        <v>1998</v>
      </c>
      <c r="D15" s="11" t="s">
        <v>56</v>
      </c>
      <c r="E15" s="11" t="s">
        <v>45</v>
      </c>
      <c r="F15" s="11" t="s">
        <v>46</v>
      </c>
      <c r="G15" s="11" t="s">
        <v>46</v>
      </c>
      <c r="H15" s="11">
        <v>1229</v>
      </c>
      <c r="I15" s="11"/>
      <c r="J15" t="s">
        <v>214</v>
      </c>
      <c r="K15">
        <f>SUM(K12:K14)</f>
        <v>18973</v>
      </c>
    </row>
    <row r="16" spans="1:11" x14ac:dyDescent="0.2">
      <c r="A16" s="31">
        <v>15</v>
      </c>
      <c r="B16" s="11" t="s">
        <v>1</v>
      </c>
      <c r="C16" s="11">
        <v>1998</v>
      </c>
      <c r="D16" s="11" t="s">
        <v>56</v>
      </c>
      <c r="E16" s="11" t="s">
        <v>46</v>
      </c>
      <c r="F16" s="11" t="s">
        <v>46</v>
      </c>
      <c r="G16" s="11" t="s">
        <v>46</v>
      </c>
      <c r="H16" s="11">
        <v>386</v>
      </c>
      <c r="I16" s="11"/>
      <c r="J16" t="s">
        <v>215</v>
      </c>
      <c r="K16">
        <f>H12+H13+H35+H35+H37+H42+H43+H44+H45+H46+H47</f>
        <v>7766</v>
      </c>
    </row>
    <row r="17" spans="1:14" x14ac:dyDescent="0.2">
      <c r="A17" s="31">
        <v>16</v>
      </c>
      <c r="B17" s="11" t="s">
        <v>4</v>
      </c>
      <c r="C17" s="11">
        <v>1997</v>
      </c>
      <c r="D17" s="11" t="s">
        <v>56</v>
      </c>
      <c r="E17" s="11" t="s">
        <v>46</v>
      </c>
      <c r="F17" s="11" t="s">
        <v>45</v>
      </c>
      <c r="G17" s="11" t="s">
        <v>46</v>
      </c>
      <c r="H17" s="11">
        <v>56</v>
      </c>
      <c r="I17" s="11"/>
      <c r="J17" t="s">
        <v>217</v>
      </c>
      <c r="K17" s="141">
        <f>K16/K15</f>
        <v>0.40931850524429453</v>
      </c>
    </row>
    <row r="18" spans="1:14" x14ac:dyDescent="0.2">
      <c r="A18" s="31">
        <v>17</v>
      </c>
      <c r="B18" s="11" t="s">
        <v>4</v>
      </c>
      <c r="C18" s="11">
        <v>1997</v>
      </c>
      <c r="D18" s="11" t="s">
        <v>56</v>
      </c>
      <c r="E18" s="11" t="s">
        <v>46</v>
      </c>
      <c r="F18" s="11" t="s">
        <v>46</v>
      </c>
      <c r="G18" s="11" t="s">
        <v>46</v>
      </c>
      <c r="H18" s="11">
        <v>32</v>
      </c>
      <c r="I18" s="11"/>
    </row>
    <row r="19" spans="1:14" x14ac:dyDescent="0.2">
      <c r="A19" s="31">
        <v>18</v>
      </c>
      <c r="B19" s="11" t="s">
        <v>105</v>
      </c>
      <c r="C19" s="11">
        <v>1998</v>
      </c>
      <c r="D19" s="11" t="s">
        <v>106</v>
      </c>
      <c r="E19" s="11" t="s">
        <v>45</v>
      </c>
      <c r="F19" s="11" t="s">
        <v>46</v>
      </c>
      <c r="G19" s="11" t="s">
        <v>46</v>
      </c>
      <c r="H19" s="11">
        <v>50</v>
      </c>
      <c r="I19" s="11"/>
      <c r="J19" s="324" t="s">
        <v>216</v>
      </c>
      <c r="K19" s="325"/>
    </row>
    <row r="20" spans="1:14" x14ac:dyDescent="0.2">
      <c r="A20" s="31">
        <v>19</v>
      </c>
      <c r="B20" s="11" t="s">
        <v>0</v>
      </c>
      <c r="C20" s="11">
        <v>1997</v>
      </c>
      <c r="D20" s="11" t="s">
        <v>49</v>
      </c>
      <c r="E20" s="11" t="s">
        <v>45</v>
      </c>
      <c r="F20" s="11" t="s">
        <v>46</v>
      </c>
      <c r="G20" s="11" t="s">
        <v>46</v>
      </c>
      <c r="H20" s="11">
        <v>361</v>
      </c>
      <c r="I20" s="11"/>
    </row>
    <row r="21" spans="1:14" x14ac:dyDescent="0.2">
      <c r="A21" s="31">
        <v>20</v>
      </c>
      <c r="B21" s="11" t="s">
        <v>4</v>
      </c>
      <c r="C21" s="11">
        <v>1997</v>
      </c>
      <c r="D21" s="11" t="s">
        <v>49</v>
      </c>
      <c r="E21" s="11" t="s">
        <v>45</v>
      </c>
      <c r="F21" s="11" t="s">
        <v>46</v>
      </c>
      <c r="G21" s="11" t="s">
        <v>46</v>
      </c>
      <c r="H21" s="11">
        <v>274</v>
      </c>
      <c r="I21" s="11"/>
    </row>
    <row r="22" spans="1:14" x14ac:dyDescent="0.2">
      <c r="A22" s="31">
        <v>21</v>
      </c>
      <c r="B22" s="11" t="s">
        <v>4</v>
      </c>
      <c r="C22" s="11">
        <v>1997</v>
      </c>
      <c r="D22" s="11" t="s">
        <v>62</v>
      </c>
      <c r="E22" s="11" t="s">
        <v>45</v>
      </c>
      <c r="F22" s="11" t="s">
        <v>46</v>
      </c>
      <c r="G22" s="11" t="s">
        <v>46</v>
      </c>
      <c r="H22" s="11">
        <v>3121</v>
      </c>
      <c r="I22" s="11"/>
    </row>
    <row r="23" spans="1:14" x14ac:dyDescent="0.2">
      <c r="A23" s="31">
        <v>22</v>
      </c>
      <c r="B23" s="11" t="s">
        <v>0</v>
      </c>
      <c r="C23" s="11">
        <v>1997</v>
      </c>
      <c r="D23" s="11" t="s">
        <v>50</v>
      </c>
      <c r="E23" s="11" t="s">
        <v>45</v>
      </c>
      <c r="F23" s="11" t="s">
        <v>46</v>
      </c>
      <c r="G23" s="11" t="s">
        <v>46</v>
      </c>
      <c r="H23" s="11">
        <v>1165</v>
      </c>
      <c r="I23" s="11"/>
      <c r="J23" s="326" t="s">
        <v>218</v>
      </c>
      <c r="K23" s="327"/>
      <c r="L23" s="327"/>
      <c r="M23" s="327"/>
      <c r="N23" s="142">
        <f>(H12+H35+H42)/K10</f>
        <v>0.2960070537851115</v>
      </c>
    </row>
    <row r="24" spans="1:14" x14ac:dyDescent="0.2">
      <c r="A24" s="31">
        <v>23</v>
      </c>
      <c r="B24" s="11" t="s">
        <v>1</v>
      </c>
      <c r="C24" s="11">
        <v>1998</v>
      </c>
      <c r="D24" s="11" t="s">
        <v>57</v>
      </c>
      <c r="E24" s="11" t="s">
        <v>45</v>
      </c>
      <c r="F24" s="11" t="s">
        <v>46</v>
      </c>
      <c r="G24" s="11" t="s">
        <v>46</v>
      </c>
      <c r="H24" s="11">
        <v>462</v>
      </c>
      <c r="I24" s="11"/>
      <c r="J24" s="328" t="s">
        <v>219</v>
      </c>
      <c r="K24" s="329"/>
      <c r="L24" s="329"/>
      <c r="M24" s="329"/>
      <c r="N24" s="143">
        <f>H43/K11</f>
        <v>7.1013161922252835E-2</v>
      </c>
    </row>
    <row r="25" spans="1:14" x14ac:dyDescent="0.2">
      <c r="A25" s="31">
        <v>24</v>
      </c>
      <c r="B25" s="11" t="s">
        <v>4</v>
      </c>
      <c r="C25" s="11">
        <v>1997</v>
      </c>
      <c r="D25" s="11" t="s">
        <v>66</v>
      </c>
      <c r="E25" s="11" t="s">
        <v>45</v>
      </c>
      <c r="F25" s="11" t="s">
        <v>46</v>
      </c>
      <c r="G25" s="11" t="s">
        <v>46</v>
      </c>
      <c r="H25" s="11">
        <v>1677</v>
      </c>
      <c r="I25" s="11"/>
      <c r="J25" s="320" t="s">
        <v>220</v>
      </c>
      <c r="K25" s="321"/>
      <c r="L25" s="321"/>
      <c r="M25" s="321"/>
      <c r="N25" s="144">
        <v>0</v>
      </c>
    </row>
    <row r="26" spans="1:14" x14ac:dyDescent="0.2">
      <c r="A26" s="31">
        <v>25</v>
      </c>
      <c r="B26" s="11" t="s">
        <v>4</v>
      </c>
      <c r="C26" s="11">
        <v>1997</v>
      </c>
      <c r="D26" s="11" t="s">
        <v>67</v>
      </c>
      <c r="E26" s="11" t="s">
        <v>45</v>
      </c>
      <c r="F26" s="11" t="s">
        <v>46</v>
      </c>
      <c r="G26" s="11" t="s">
        <v>46</v>
      </c>
      <c r="H26" s="11">
        <v>90</v>
      </c>
      <c r="I26" s="11"/>
    </row>
    <row r="27" spans="1:14" x14ac:dyDescent="0.2">
      <c r="A27" s="31">
        <v>26</v>
      </c>
      <c r="B27" s="11" t="s">
        <v>5</v>
      </c>
      <c r="C27" s="11">
        <v>1998</v>
      </c>
      <c r="D27" s="11" t="s">
        <v>67</v>
      </c>
      <c r="E27" s="11" t="s">
        <v>45</v>
      </c>
      <c r="F27" s="11" t="s">
        <v>45</v>
      </c>
      <c r="G27" s="11" t="s">
        <v>45</v>
      </c>
      <c r="H27" s="11">
        <v>23</v>
      </c>
      <c r="I27" s="11"/>
    </row>
    <row r="28" spans="1:14" x14ac:dyDescent="0.2">
      <c r="A28" s="31">
        <v>27</v>
      </c>
      <c r="B28" s="11" t="s">
        <v>5</v>
      </c>
      <c r="C28" s="11">
        <v>1998</v>
      </c>
      <c r="D28" s="11" t="s">
        <v>67</v>
      </c>
      <c r="E28" s="11" t="s">
        <v>45</v>
      </c>
      <c r="F28" s="11" t="s">
        <v>46</v>
      </c>
      <c r="G28" s="11" t="s">
        <v>46</v>
      </c>
      <c r="H28" s="11">
        <v>1209</v>
      </c>
    </row>
    <row r="29" spans="1:14" x14ac:dyDescent="0.2">
      <c r="A29" s="31">
        <v>28</v>
      </c>
      <c r="B29" s="11" t="s">
        <v>105</v>
      </c>
      <c r="C29" s="11">
        <v>1998</v>
      </c>
      <c r="D29" s="11" t="s">
        <v>107</v>
      </c>
      <c r="E29" s="11" t="s">
        <v>45</v>
      </c>
      <c r="F29" s="11" t="s">
        <v>45</v>
      </c>
      <c r="G29" s="11" t="s">
        <v>45</v>
      </c>
      <c r="H29" s="11">
        <v>49</v>
      </c>
      <c r="I29" s="11"/>
    </row>
    <row r="30" spans="1:14" x14ac:dyDescent="0.2">
      <c r="A30" s="31">
        <v>29</v>
      </c>
      <c r="B30" s="11" t="s">
        <v>105</v>
      </c>
      <c r="C30" s="11">
        <v>1998</v>
      </c>
      <c r="D30" s="11" t="s">
        <v>107</v>
      </c>
      <c r="E30" s="11" t="s">
        <v>45</v>
      </c>
      <c r="F30" s="11" t="s">
        <v>46</v>
      </c>
      <c r="G30" s="11" t="s">
        <v>46</v>
      </c>
      <c r="H30" s="11">
        <v>963</v>
      </c>
      <c r="I30" s="11"/>
    </row>
    <row r="31" spans="1:14" x14ac:dyDescent="0.2">
      <c r="A31" s="31">
        <v>30</v>
      </c>
      <c r="B31" s="11" t="s">
        <v>105</v>
      </c>
      <c r="C31" s="11">
        <v>1998</v>
      </c>
      <c r="D31" s="11" t="s">
        <v>51</v>
      </c>
      <c r="E31" s="11" t="s">
        <v>45</v>
      </c>
      <c r="F31" s="11" t="s">
        <v>46</v>
      </c>
      <c r="G31" s="11" t="s">
        <v>46</v>
      </c>
      <c r="H31" s="11">
        <v>276</v>
      </c>
      <c r="I31" s="11"/>
    </row>
    <row r="32" spans="1:14" x14ac:dyDescent="0.2">
      <c r="A32" s="31">
        <v>31</v>
      </c>
      <c r="B32" s="11" t="s">
        <v>0</v>
      </c>
      <c r="C32" s="11">
        <v>1997</v>
      </c>
      <c r="D32" s="11" t="s">
        <v>51</v>
      </c>
      <c r="E32" s="11" t="s">
        <v>45</v>
      </c>
      <c r="F32" s="11" t="s">
        <v>45</v>
      </c>
      <c r="G32" s="11" t="s">
        <v>46</v>
      </c>
      <c r="H32" s="11">
        <v>11</v>
      </c>
      <c r="I32" s="11"/>
    </row>
    <row r="33" spans="1:9" s="11" customFormat="1" x14ac:dyDescent="0.2">
      <c r="A33" s="31">
        <v>32</v>
      </c>
      <c r="B33" s="11" t="s">
        <v>0</v>
      </c>
      <c r="C33" s="11">
        <v>1997</v>
      </c>
      <c r="D33" s="11" t="s">
        <v>51</v>
      </c>
      <c r="E33" s="11" t="s">
        <v>45</v>
      </c>
      <c r="F33" s="11" t="s">
        <v>46</v>
      </c>
      <c r="G33" s="11" t="s">
        <v>46</v>
      </c>
      <c r="H33" s="11">
        <v>356</v>
      </c>
    </row>
    <row r="34" spans="1:9" ht="13.5" thickBot="1" x14ac:dyDescent="0.25">
      <c r="A34" s="31">
        <v>33</v>
      </c>
      <c r="B34" s="11" t="s">
        <v>1</v>
      </c>
      <c r="C34" s="11">
        <v>1998</v>
      </c>
      <c r="D34" s="11" t="s">
        <v>51</v>
      </c>
      <c r="E34" s="11" t="s">
        <v>45</v>
      </c>
      <c r="F34" s="11" t="s">
        <v>45</v>
      </c>
      <c r="G34" s="11" t="s">
        <v>46</v>
      </c>
      <c r="H34" s="11">
        <v>12</v>
      </c>
      <c r="I34" s="11"/>
    </row>
    <row r="35" spans="1:9" x14ac:dyDescent="0.2">
      <c r="A35" s="31">
        <v>34</v>
      </c>
      <c r="B35" s="135" t="s">
        <v>0</v>
      </c>
      <c r="C35" s="136">
        <v>1997</v>
      </c>
      <c r="D35" s="136" t="s">
        <v>52</v>
      </c>
      <c r="E35" s="136" t="s">
        <v>45</v>
      </c>
      <c r="F35" s="136" t="s">
        <v>46</v>
      </c>
      <c r="G35" s="136" t="s">
        <v>46</v>
      </c>
      <c r="H35" s="138">
        <v>402</v>
      </c>
      <c r="I35" s="11"/>
    </row>
    <row r="36" spans="1:9" x14ac:dyDescent="0.2">
      <c r="A36" s="31">
        <v>35</v>
      </c>
      <c r="B36" s="73" t="s">
        <v>4</v>
      </c>
      <c r="C36" s="11">
        <v>1997</v>
      </c>
      <c r="D36" s="11" t="s">
        <v>52</v>
      </c>
      <c r="E36" s="11" t="s">
        <v>45</v>
      </c>
      <c r="F36" s="11" t="s">
        <v>46</v>
      </c>
      <c r="G36" s="11" t="s">
        <v>46</v>
      </c>
      <c r="H36" s="139">
        <v>679</v>
      </c>
      <c r="I36" s="11"/>
    </row>
    <row r="37" spans="1:9" ht="13.5" thickBot="1" x14ac:dyDescent="0.25">
      <c r="A37" s="31">
        <v>36</v>
      </c>
      <c r="B37" s="137" t="s">
        <v>5</v>
      </c>
      <c r="C37" s="16">
        <v>1998</v>
      </c>
      <c r="D37" s="16" t="s">
        <v>52</v>
      </c>
      <c r="E37" s="16" t="s">
        <v>45</v>
      </c>
      <c r="F37" s="16" t="s">
        <v>46</v>
      </c>
      <c r="G37" s="16" t="s">
        <v>46</v>
      </c>
      <c r="H37" s="140">
        <v>65</v>
      </c>
      <c r="I37" s="11"/>
    </row>
    <row r="38" spans="1:9" x14ac:dyDescent="0.2">
      <c r="A38" s="31">
        <v>37</v>
      </c>
      <c r="B38" s="11" t="s">
        <v>105</v>
      </c>
      <c r="C38" s="11">
        <v>1998</v>
      </c>
      <c r="D38" s="11" t="s">
        <v>108</v>
      </c>
      <c r="E38" s="11" t="s">
        <v>45</v>
      </c>
      <c r="F38" s="11" t="s">
        <v>45</v>
      </c>
      <c r="G38" s="11" t="s">
        <v>45</v>
      </c>
      <c r="H38" s="11">
        <v>177</v>
      </c>
      <c r="I38" s="11"/>
    </row>
    <row r="39" spans="1:9" x14ac:dyDescent="0.2">
      <c r="A39" s="31">
        <v>38</v>
      </c>
      <c r="B39" s="11" t="s">
        <v>105</v>
      </c>
      <c r="C39" s="11">
        <v>1998</v>
      </c>
      <c r="D39" s="11" t="s">
        <v>108</v>
      </c>
      <c r="E39" s="11" t="s">
        <v>45</v>
      </c>
      <c r="F39" s="11" t="s">
        <v>46</v>
      </c>
      <c r="G39" s="11" t="s">
        <v>46</v>
      </c>
      <c r="H39" s="11">
        <v>1068</v>
      </c>
      <c r="I39" s="11"/>
    </row>
    <row r="40" spans="1:9" x14ac:dyDescent="0.2">
      <c r="A40" s="31">
        <v>39</v>
      </c>
      <c r="B40" s="11" t="s">
        <v>4</v>
      </c>
      <c r="C40" s="11">
        <v>1997</v>
      </c>
      <c r="D40" s="11" t="s">
        <v>65</v>
      </c>
      <c r="E40" s="11" t="s">
        <v>45</v>
      </c>
      <c r="F40" s="11" t="s">
        <v>46</v>
      </c>
      <c r="G40" s="11" t="s">
        <v>46</v>
      </c>
      <c r="H40" s="11">
        <v>831</v>
      </c>
    </row>
    <row r="41" spans="1:9" ht="13.5" thickBot="1" x14ac:dyDescent="0.25">
      <c r="A41" s="31">
        <v>40</v>
      </c>
      <c r="B41" s="11" t="s">
        <v>1</v>
      </c>
      <c r="C41" s="11">
        <v>1998</v>
      </c>
      <c r="D41" s="11" t="s">
        <v>58</v>
      </c>
      <c r="E41" s="11" t="s">
        <v>45</v>
      </c>
      <c r="F41" s="11" t="s">
        <v>46</v>
      </c>
      <c r="G41" s="11" t="s">
        <v>46</v>
      </c>
      <c r="H41" s="11">
        <v>335</v>
      </c>
      <c r="I41" s="11"/>
    </row>
    <row r="42" spans="1:9" x14ac:dyDescent="0.2">
      <c r="A42" s="31">
        <v>41</v>
      </c>
      <c r="B42" s="135" t="s">
        <v>0</v>
      </c>
      <c r="C42" s="136">
        <v>1997</v>
      </c>
      <c r="D42" s="136" t="s">
        <v>53</v>
      </c>
      <c r="E42" s="136" t="s">
        <v>45</v>
      </c>
      <c r="F42" s="136" t="s">
        <v>46</v>
      </c>
      <c r="G42" s="136" t="s">
        <v>46</v>
      </c>
      <c r="H42" s="138">
        <v>170</v>
      </c>
      <c r="I42" s="11"/>
    </row>
    <row r="43" spans="1:9" x14ac:dyDescent="0.2">
      <c r="A43" s="31">
        <v>42</v>
      </c>
      <c r="B43" s="73" t="s">
        <v>1</v>
      </c>
      <c r="C43" s="11">
        <v>1998</v>
      </c>
      <c r="D43" s="11" t="s">
        <v>53</v>
      </c>
      <c r="E43" s="11" t="s">
        <v>45</v>
      </c>
      <c r="F43" s="11" t="s">
        <v>46</v>
      </c>
      <c r="G43" s="11" t="s">
        <v>46</v>
      </c>
      <c r="H43" s="139">
        <v>464</v>
      </c>
      <c r="I43" s="11"/>
    </row>
    <row r="44" spans="1:9" x14ac:dyDescent="0.2">
      <c r="A44" s="31">
        <v>43</v>
      </c>
      <c r="B44" s="73" t="s">
        <v>4</v>
      </c>
      <c r="C44" s="11">
        <v>1997</v>
      </c>
      <c r="D44" s="11" t="s">
        <v>53</v>
      </c>
      <c r="E44" s="11" t="s">
        <v>45</v>
      </c>
      <c r="F44" s="11" t="s">
        <v>46</v>
      </c>
      <c r="G44" s="11" t="s">
        <v>46</v>
      </c>
      <c r="H44" s="139">
        <v>1547</v>
      </c>
      <c r="I44" s="11"/>
    </row>
    <row r="45" spans="1:9" x14ac:dyDescent="0.2">
      <c r="A45" s="31">
        <v>44</v>
      </c>
      <c r="B45" s="73" t="s">
        <v>4</v>
      </c>
      <c r="C45" s="11">
        <v>1997</v>
      </c>
      <c r="D45" s="11" t="s">
        <v>53</v>
      </c>
      <c r="E45" s="11" t="s">
        <v>46</v>
      </c>
      <c r="F45" s="11" t="s">
        <v>45</v>
      </c>
      <c r="G45" s="11" t="s">
        <v>46</v>
      </c>
      <c r="H45" s="139">
        <v>119</v>
      </c>
      <c r="I45" s="11"/>
    </row>
    <row r="46" spans="1:9" x14ac:dyDescent="0.2">
      <c r="A46" s="31">
        <v>45</v>
      </c>
      <c r="B46" s="73" t="s">
        <v>4</v>
      </c>
      <c r="C46" s="11">
        <v>1997</v>
      </c>
      <c r="D46" s="11" t="s">
        <v>53</v>
      </c>
      <c r="E46" s="11" t="s">
        <v>46</v>
      </c>
      <c r="F46" s="11" t="s">
        <v>46</v>
      </c>
      <c r="G46" s="11" t="s">
        <v>46</v>
      </c>
      <c r="H46" s="139">
        <v>64</v>
      </c>
      <c r="I46" s="11"/>
    </row>
    <row r="47" spans="1:9" ht="13.5" thickBot="1" x14ac:dyDescent="0.25">
      <c r="A47" s="31">
        <v>46</v>
      </c>
      <c r="B47" s="137" t="s">
        <v>5</v>
      </c>
      <c r="C47" s="16">
        <v>1998</v>
      </c>
      <c r="D47" s="16" t="s">
        <v>53</v>
      </c>
      <c r="E47" s="16" t="s">
        <v>45</v>
      </c>
      <c r="F47" s="16" t="s">
        <v>46</v>
      </c>
      <c r="G47" s="16" t="s">
        <v>46</v>
      </c>
      <c r="H47" s="140">
        <v>511</v>
      </c>
      <c r="I47" s="11"/>
    </row>
    <row r="48" spans="1:9" x14ac:dyDescent="0.2">
      <c r="A48" s="31">
        <v>47</v>
      </c>
      <c r="B48" s="11" t="s">
        <v>105</v>
      </c>
      <c r="C48" s="11">
        <v>1998</v>
      </c>
      <c r="D48" s="11" t="s">
        <v>109</v>
      </c>
      <c r="E48" s="11" t="s">
        <v>45</v>
      </c>
      <c r="F48" s="11" t="s">
        <v>46</v>
      </c>
      <c r="G48" s="11" t="s">
        <v>46</v>
      </c>
      <c r="H48" s="11">
        <v>48</v>
      </c>
    </row>
    <row r="49" spans="1:10" x14ac:dyDescent="0.2">
      <c r="A49" s="31">
        <v>48</v>
      </c>
      <c r="B49" s="11" t="s">
        <v>4</v>
      </c>
      <c r="C49" s="11">
        <v>1997</v>
      </c>
      <c r="D49" s="11" t="s">
        <v>68</v>
      </c>
      <c r="E49" s="11" t="s">
        <v>45</v>
      </c>
      <c r="F49" s="11" t="s">
        <v>46</v>
      </c>
      <c r="G49" s="11" t="s">
        <v>46</v>
      </c>
      <c r="H49" s="11">
        <v>1337</v>
      </c>
      <c r="I49" s="11"/>
    </row>
    <row r="50" spans="1:10" x14ac:dyDescent="0.2">
      <c r="A50" s="31">
        <v>49</v>
      </c>
      <c r="B50" s="11" t="s">
        <v>105</v>
      </c>
      <c r="C50" s="11">
        <v>1998</v>
      </c>
      <c r="D50" s="11" t="s">
        <v>110</v>
      </c>
      <c r="E50" s="11" t="s">
        <v>45</v>
      </c>
      <c r="F50" s="11" t="s">
        <v>46</v>
      </c>
      <c r="G50" s="11" t="s">
        <v>46</v>
      </c>
      <c r="H50" s="11">
        <v>1468</v>
      </c>
    </row>
    <row r="52" spans="1:10" s="16" customFormat="1" ht="13.5" thickBot="1" x14ac:dyDescent="0.25">
      <c r="A52" s="35"/>
      <c r="B52" s="41"/>
      <c r="H52" s="41"/>
      <c r="I52" s="41"/>
    </row>
    <row r="53" spans="1:10" x14ac:dyDescent="0.2">
      <c r="B53" s="1" t="s">
        <v>221</v>
      </c>
      <c r="C53" s="100"/>
      <c r="I53" s="100"/>
      <c r="J53" s="1"/>
    </row>
    <row r="54" spans="1:10" x14ac:dyDescent="0.2">
      <c r="B54"/>
      <c r="C54" s="100"/>
      <c r="I54" s="100"/>
      <c r="J54" s="1"/>
    </row>
    <row r="55" spans="1:10" x14ac:dyDescent="0.2">
      <c r="B55" t="s">
        <v>38</v>
      </c>
      <c r="C55" t="s">
        <v>7</v>
      </c>
      <c r="D55" t="s">
        <v>39</v>
      </c>
      <c r="E55" t="s">
        <v>40</v>
      </c>
      <c r="F55" t="s">
        <v>41</v>
      </c>
      <c r="G55" t="s">
        <v>42</v>
      </c>
      <c r="H55" t="s">
        <v>43</v>
      </c>
    </row>
    <row r="56" spans="1:10" x14ac:dyDescent="0.2">
      <c r="B56" t="s">
        <v>0</v>
      </c>
      <c r="C56">
        <v>1997</v>
      </c>
      <c r="D56" t="s">
        <v>44</v>
      </c>
      <c r="E56" t="s">
        <v>45</v>
      </c>
      <c r="F56" t="s">
        <v>46</v>
      </c>
      <c r="G56" t="s">
        <v>46</v>
      </c>
      <c r="H56">
        <v>1229</v>
      </c>
      <c r="J56" s="1"/>
    </row>
    <row r="57" spans="1:10" x14ac:dyDescent="0.2">
      <c r="B57" t="s">
        <v>0</v>
      </c>
      <c r="C57">
        <v>1997</v>
      </c>
      <c r="D57" t="s">
        <v>47</v>
      </c>
      <c r="E57" t="s">
        <v>45</v>
      </c>
      <c r="F57" t="s">
        <v>46</v>
      </c>
      <c r="G57" t="s">
        <v>46</v>
      </c>
      <c r="H57">
        <v>863</v>
      </c>
    </row>
    <row r="58" spans="1:10" x14ac:dyDescent="0.2">
      <c r="B58" t="s">
        <v>0</v>
      </c>
      <c r="C58">
        <v>1997</v>
      </c>
      <c r="D58" t="s">
        <v>48</v>
      </c>
      <c r="E58" t="s">
        <v>45</v>
      </c>
      <c r="F58" t="s">
        <v>46</v>
      </c>
      <c r="G58" t="s">
        <v>46</v>
      </c>
      <c r="H58">
        <v>1778</v>
      </c>
      <c r="J58" s="1"/>
    </row>
    <row r="59" spans="1:10" x14ac:dyDescent="0.2">
      <c r="B59" t="s">
        <v>0</v>
      </c>
      <c r="C59">
        <v>1997</v>
      </c>
      <c r="D59" t="s">
        <v>49</v>
      </c>
      <c r="E59" t="s">
        <v>45</v>
      </c>
      <c r="F59" t="s">
        <v>46</v>
      </c>
      <c r="G59" t="s">
        <v>46</v>
      </c>
      <c r="H59">
        <v>361</v>
      </c>
    </row>
    <row r="60" spans="1:10" x14ac:dyDescent="0.2">
      <c r="B60" t="s">
        <v>0</v>
      </c>
      <c r="C60">
        <v>1997</v>
      </c>
      <c r="D60" t="s">
        <v>50</v>
      </c>
      <c r="E60" t="s">
        <v>45</v>
      </c>
      <c r="F60" t="s">
        <v>46</v>
      </c>
      <c r="G60" t="s">
        <v>46</v>
      </c>
      <c r="H60">
        <v>1165</v>
      </c>
      <c r="J60" s="1"/>
    </row>
    <row r="61" spans="1:10" x14ac:dyDescent="0.2">
      <c r="B61" t="s">
        <v>0</v>
      </c>
      <c r="C61">
        <v>1997</v>
      </c>
      <c r="D61" t="s">
        <v>51</v>
      </c>
      <c r="E61" t="s">
        <v>45</v>
      </c>
      <c r="F61" t="s">
        <v>45</v>
      </c>
      <c r="G61" t="s">
        <v>46</v>
      </c>
      <c r="H61">
        <v>11</v>
      </c>
    </row>
    <row r="62" spans="1:10" x14ac:dyDescent="0.2">
      <c r="B62" t="s">
        <v>0</v>
      </c>
      <c r="C62">
        <v>1997</v>
      </c>
      <c r="D62" t="s">
        <v>51</v>
      </c>
      <c r="E62" t="s">
        <v>45</v>
      </c>
      <c r="F62" t="s">
        <v>46</v>
      </c>
      <c r="G62" t="s">
        <v>46</v>
      </c>
      <c r="H62">
        <v>356</v>
      </c>
    </row>
    <row r="63" spans="1:10" x14ac:dyDescent="0.2">
      <c r="B63" t="s">
        <v>0</v>
      </c>
      <c r="C63">
        <v>1997</v>
      </c>
      <c r="D63" t="s">
        <v>52</v>
      </c>
      <c r="E63" t="s">
        <v>45</v>
      </c>
      <c r="F63" t="s">
        <v>46</v>
      </c>
      <c r="G63" t="s">
        <v>46</v>
      </c>
      <c r="H63">
        <v>402</v>
      </c>
    </row>
    <row r="64" spans="1:10" x14ac:dyDescent="0.2">
      <c r="B64" t="s">
        <v>0</v>
      </c>
      <c r="C64">
        <v>1997</v>
      </c>
      <c r="D64" t="s">
        <v>53</v>
      </c>
      <c r="E64" t="s">
        <v>45</v>
      </c>
      <c r="F64" t="s">
        <v>46</v>
      </c>
      <c r="G64" t="s">
        <v>46</v>
      </c>
      <c r="H64">
        <v>170</v>
      </c>
    </row>
    <row r="65" spans="2:8" x14ac:dyDescent="0.2">
      <c r="B65" s="1" t="s">
        <v>0</v>
      </c>
      <c r="C65"/>
      <c r="D65"/>
      <c r="E65"/>
      <c r="F65"/>
      <c r="G65"/>
      <c r="H65" s="1">
        <f>SUM(H56:H64)</f>
        <v>6335</v>
      </c>
    </row>
    <row r="66" spans="2:8" x14ac:dyDescent="0.2">
      <c r="B66" s="1"/>
      <c r="C66"/>
      <c r="D66"/>
      <c r="E66"/>
      <c r="F66"/>
      <c r="G66"/>
      <c r="H66"/>
    </row>
    <row r="67" spans="2:8" x14ac:dyDescent="0.2">
      <c r="B67" t="s">
        <v>1</v>
      </c>
      <c r="C67">
        <v>1997</v>
      </c>
      <c r="D67" t="s">
        <v>54</v>
      </c>
      <c r="E67" t="s">
        <v>45</v>
      </c>
      <c r="F67" t="s">
        <v>46</v>
      </c>
      <c r="G67" t="s">
        <v>46</v>
      </c>
      <c r="H67">
        <v>60</v>
      </c>
    </row>
    <row r="68" spans="2:8" x14ac:dyDescent="0.2">
      <c r="B68" t="s">
        <v>1</v>
      </c>
      <c r="C68">
        <v>1997</v>
      </c>
      <c r="D68" t="s">
        <v>44</v>
      </c>
      <c r="E68" t="s">
        <v>45</v>
      </c>
      <c r="F68" t="s">
        <v>46</v>
      </c>
      <c r="G68" t="s">
        <v>46</v>
      </c>
      <c r="H68">
        <v>725</v>
      </c>
    </row>
    <row r="69" spans="2:8" x14ac:dyDescent="0.2">
      <c r="B69" t="s">
        <v>1</v>
      </c>
      <c r="C69">
        <v>1997</v>
      </c>
      <c r="D69" t="s">
        <v>47</v>
      </c>
      <c r="E69" t="s">
        <v>45</v>
      </c>
      <c r="F69" t="s">
        <v>46</v>
      </c>
      <c r="G69" t="s">
        <v>46</v>
      </c>
      <c r="H69">
        <v>244</v>
      </c>
    </row>
    <row r="70" spans="2:8" x14ac:dyDescent="0.2">
      <c r="B70" t="s">
        <v>1</v>
      </c>
      <c r="C70">
        <v>1997</v>
      </c>
      <c r="D70" t="s">
        <v>55</v>
      </c>
      <c r="E70" t="s">
        <v>45</v>
      </c>
      <c r="F70" t="s">
        <v>46</v>
      </c>
      <c r="G70" t="s">
        <v>46</v>
      </c>
      <c r="H70">
        <v>154</v>
      </c>
    </row>
    <row r="71" spans="2:8" x14ac:dyDescent="0.2">
      <c r="B71" t="s">
        <v>1</v>
      </c>
      <c r="C71">
        <v>1997</v>
      </c>
      <c r="D71" t="s">
        <v>56</v>
      </c>
      <c r="E71" t="s">
        <v>45</v>
      </c>
      <c r="F71" t="s">
        <v>46</v>
      </c>
      <c r="G71" t="s">
        <v>46</v>
      </c>
      <c r="H71">
        <v>1229</v>
      </c>
    </row>
    <row r="72" spans="2:8" x14ac:dyDescent="0.2">
      <c r="B72" t="s">
        <v>1</v>
      </c>
      <c r="C72">
        <v>1997</v>
      </c>
      <c r="D72" t="s">
        <v>56</v>
      </c>
      <c r="E72" t="s">
        <v>46</v>
      </c>
      <c r="F72" t="s">
        <v>46</v>
      </c>
      <c r="G72" t="s">
        <v>46</v>
      </c>
      <c r="H72">
        <v>386</v>
      </c>
    </row>
    <row r="73" spans="2:8" x14ac:dyDescent="0.2">
      <c r="B73" t="s">
        <v>1</v>
      </c>
      <c r="C73">
        <v>1997</v>
      </c>
      <c r="D73" t="s">
        <v>57</v>
      </c>
      <c r="E73" t="s">
        <v>45</v>
      </c>
      <c r="F73" t="s">
        <v>46</v>
      </c>
      <c r="G73" t="s">
        <v>46</v>
      </c>
      <c r="H73">
        <v>462</v>
      </c>
    </row>
    <row r="74" spans="2:8" x14ac:dyDescent="0.2">
      <c r="B74" t="s">
        <v>1</v>
      </c>
      <c r="C74">
        <v>1997</v>
      </c>
      <c r="D74" t="s">
        <v>51</v>
      </c>
      <c r="E74" t="s">
        <v>45</v>
      </c>
      <c r="F74" t="s">
        <v>45</v>
      </c>
      <c r="G74" t="s">
        <v>46</v>
      </c>
      <c r="H74">
        <v>11</v>
      </c>
    </row>
    <row r="75" spans="2:8" x14ac:dyDescent="0.2">
      <c r="B75" t="s">
        <v>1</v>
      </c>
      <c r="C75">
        <v>1997</v>
      </c>
      <c r="D75" t="s">
        <v>58</v>
      </c>
      <c r="E75" t="s">
        <v>45</v>
      </c>
      <c r="F75" t="s">
        <v>46</v>
      </c>
      <c r="G75" t="s">
        <v>46</v>
      </c>
      <c r="H75">
        <v>335</v>
      </c>
    </row>
    <row r="76" spans="2:8" x14ac:dyDescent="0.2">
      <c r="B76" t="s">
        <v>1</v>
      </c>
      <c r="C76">
        <v>1997</v>
      </c>
      <c r="D76" t="s">
        <v>53</v>
      </c>
      <c r="E76" t="s">
        <v>45</v>
      </c>
      <c r="F76" t="s">
        <v>46</v>
      </c>
      <c r="G76" t="s">
        <v>46</v>
      </c>
      <c r="H76">
        <v>537</v>
      </c>
    </row>
    <row r="77" spans="2:8" x14ac:dyDescent="0.2">
      <c r="B77" s="1" t="s">
        <v>1</v>
      </c>
      <c r="C77"/>
      <c r="D77"/>
      <c r="E77"/>
      <c r="F77"/>
      <c r="G77"/>
      <c r="H77" s="1">
        <f>SUM(H67:H76)</f>
        <v>4143</v>
      </c>
    </row>
    <row r="78" spans="2:8" x14ac:dyDescent="0.2">
      <c r="B78"/>
      <c r="C78"/>
      <c r="D78"/>
      <c r="E78"/>
      <c r="F78"/>
      <c r="G78"/>
      <c r="H78"/>
    </row>
    <row r="79" spans="2:8" x14ac:dyDescent="0.2">
      <c r="B79" t="s">
        <v>1</v>
      </c>
      <c r="C79">
        <v>1998</v>
      </c>
      <c r="D79" t="s">
        <v>54</v>
      </c>
      <c r="E79" t="s">
        <v>45</v>
      </c>
      <c r="F79" t="s">
        <v>46</v>
      </c>
      <c r="G79" t="s">
        <v>46</v>
      </c>
      <c r="H79">
        <v>60</v>
      </c>
    </row>
    <row r="80" spans="2:8" x14ac:dyDescent="0.2">
      <c r="B80" t="s">
        <v>1</v>
      </c>
      <c r="C80">
        <v>1998</v>
      </c>
      <c r="D80" t="s">
        <v>44</v>
      </c>
      <c r="E80" t="s">
        <v>45</v>
      </c>
      <c r="F80" t="s">
        <v>46</v>
      </c>
      <c r="G80" t="s">
        <v>46</v>
      </c>
      <c r="H80">
        <v>725</v>
      </c>
    </row>
    <row r="81" spans="2:9" x14ac:dyDescent="0.2">
      <c r="B81" t="s">
        <v>1</v>
      </c>
      <c r="C81">
        <v>1998</v>
      </c>
      <c r="D81" t="s">
        <v>47</v>
      </c>
      <c r="E81" t="s">
        <v>45</v>
      </c>
      <c r="F81" t="s">
        <v>46</v>
      </c>
      <c r="G81" t="s">
        <v>46</v>
      </c>
      <c r="H81">
        <v>244</v>
      </c>
    </row>
    <row r="82" spans="2:9" x14ac:dyDescent="0.2">
      <c r="B82" t="s">
        <v>1</v>
      </c>
      <c r="C82">
        <v>1998</v>
      </c>
      <c r="D82" t="s">
        <v>55</v>
      </c>
      <c r="E82" t="s">
        <v>45</v>
      </c>
      <c r="F82" t="s">
        <v>46</v>
      </c>
      <c r="G82" t="s">
        <v>46</v>
      </c>
      <c r="H82">
        <v>154</v>
      </c>
    </row>
    <row r="83" spans="2:9" x14ac:dyDescent="0.2">
      <c r="B83" t="s">
        <v>1</v>
      </c>
      <c r="C83">
        <v>1998</v>
      </c>
      <c r="D83" t="s">
        <v>56</v>
      </c>
      <c r="E83" t="s">
        <v>45</v>
      </c>
      <c r="F83" t="s">
        <v>46</v>
      </c>
      <c r="G83" t="s">
        <v>46</v>
      </c>
      <c r="H83">
        <v>1229</v>
      </c>
    </row>
    <row r="84" spans="2:9" x14ac:dyDescent="0.2">
      <c r="B84" t="s">
        <v>1</v>
      </c>
      <c r="C84">
        <v>1998</v>
      </c>
      <c r="D84" t="s">
        <v>56</v>
      </c>
      <c r="E84" t="s">
        <v>46</v>
      </c>
      <c r="F84" t="s">
        <v>46</v>
      </c>
      <c r="G84" t="s">
        <v>46</v>
      </c>
      <c r="H84">
        <v>386</v>
      </c>
    </row>
    <row r="85" spans="2:9" x14ac:dyDescent="0.2">
      <c r="B85" t="s">
        <v>1</v>
      </c>
      <c r="C85">
        <v>1998</v>
      </c>
      <c r="D85" t="s">
        <v>57</v>
      </c>
      <c r="E85" t="s">
        <v>45</v>
      </c>
      <c r="F85" t="s">
        <v>46</v>
      </c>
      <c r="G85" t="s">
        <v>46</v>
      </c>
      <c r="H85">
        <v>462</v>
      </c>
    </row>
    <row r="86" spans="2:9" x14ac:dyDescent="0.2">
      <c r="B86" t="s">
        <v>1</v>
      </c>
      <c r="C86">
        <v>1998</v>
      </c>
      <c r="D86" t="s">
        <v>51</v>
      </c>
      <c r="E86" t="s">
        <v>45</v>
      </c>
      <c r="F86" t="s">
        <v>45</v>
      </c>
      <c r="G86" t="s">
        <v>46</v>
      </c>
      <c r="H86">
        <v>12</v>
      </c>
    </row>
    <row r="87" spans="2:9" x14ac:dyDescent="0.2">
      <c r="B87" t="s">
        <v>1</v>
      </c>
      <c r="C87">
        <v>1998</v>
      </c>
      <c r="D87" t="s">
        <v>58</v>
      </c>
      <c r="E87" t="s">
        <v>45</v>
      </c>
      <c r="F87" t="s">
        <v>46</v>
      </c>
      <c r="G87" t="s">
        <v>46</v>
      </c>
      <c r="H87">
        <v>335</v>
      </c>
    </row>
    <row r="88" spans="2:9" x14ac:dyDescent="0.2">
      <c r="B88" t="s">
        <v>1</v>
      </c>
      <c r="C88">
        <v>1998</v>
      </c>
      <c r="D88" t="s">
        <v>53</v>
      </c>
      <c r="E88" t="s">
        <v>45</v>
      </c>
      <c r="F88" t="s">
        <v>46</v>
      </c>
      <c r="G88" t="s">
        <v>46</v>
      </c>
      <c r="H88">
        <v>464</v>
      </c>
    </row>
    <row r="89" spans="2:9" x14ac:dyDescent="0.2">
      <c r="B89" s="1" t="s">
        <v>1</v>
      </c>
      <c r="C89"/>
      <c r="D89"/>
      <c r="E89"/>
      <c r="F89"/>
      <c r="G89"/>
      <c r="H89" s="1">
        <f>SUM(H79:H88)</f>
        <v>4071</v>
      </c>
    </row>
    <row r="90" spans="2:9" x14ac:dyDescent="0.2">
      <c r="B90"/>
      <c r="C90"/>
      <c r="D90"/>
      <c r="E90"/>
      <c r="F90"/>
      <c r="G90"/>
      <c r="H90"/>
    </row>
    <row r="91" spans="2:9" x14ac:dyDescent="0.2">
      <c r="B91" t="s">
        <v>2</v>
      </c>
      <c r="C91">
        <v>1998</v>
      </c>
      <c r="D91" t="s">
        <v>59</v>
      </c>
      <c r="E91" t="s">
        <v>45</v>
      </c>
      <c r="F91" t="s">
        <v>46</v>
      </c>
      <c r="G91" t="s">
        <v>46</v>
      </c>
      <c r="H91">
        <v>214</v>
      </c>
    </row>
    <row r="92" spans="2:9" x14ac:dyDescent="0.2">
      <c r="B92" t="s">
        <v>2</v>
      </c>
      <c r="C92">
        <v>1998</v>
      </c>
      <c r="D92" t="s">
        <v>60</v>
      </c>
      <c r="E92" t="s">
        <v>45</v>
      </c>
      <c r="F92" t="s">
        <v>46</v>
      </c>
      <c r="G92" t="s">
        <v>46</v>
      </c>
      <c r="H92">
        <v>3212</v>
      </c>
    </row>
    <row r="93" spans="2:9" x14ac:dyDescent="0.2">
      <c r="B93" t="s">
        <v>2</v>
      </c>
      <c r="C93">
        <v>1998</v>
      </c>
      <c r="D93" t="s">
        <v>56</v>
      </c>
      <c r="E93" t="s">
        <v>45</v>
      </c>
      <c r="F93" t="s">
        <v>46</v>
      </c>
      <c r="G93" t="s">
        <v>46</v>
      </c>
      <c r="H93">
        <v>701</v>
      </c>
    </row>
    <row r="94" spans="2:9" x14ac:dyDescent="0.2">
      <c r="B94" t="s">
        <v>2</v>
      </c>
      <c r="C94">
        <v>1998</v>
      </c>
      <c r="D94" t="s">
        <v>57</v>
      </c>
      <c r="E94" t="s">
        <v>45</v>
      </c>
      <c r="F94" t="s">
        <v>46</v>
      </c>
      <c r="G94" t="s">
        <v>46</v>
      </c>
      <c r="H94">
        <v>221</v>
      </c>
    </row>
    <row r="95" spans="2:9" x14ac:dyDescent="0.2">
      <c r="B95" t="s">
        <v>2</v>
      </c>
      <c r="C95">
        <v>1998</v>
      </c>
      <c r="D95" t="s">
        <v>53</v>
      </c>
      <c r="E95" t="s">
        <v>45</v>
      </c>
      <c r="F95" t="s">
        <v>46</v>
      </c>
      <c r="G95" t="s">
        <v>46</v>
      </c>
      <c r="H95">
        <v>419</v>
      </c>
      <c r="I95" t="s">
        <v>74</v>
      </c>
    </row>
    <row r="96" spans="2:9" x14ac:dyDescent="0.2">
      <c r="B96" s="1" t="s">
        <v>2</v>
      </c>
      <c r="C96"/>
      <c r="D96"/>
      <c r="E96"/>
      <c r="F96"/>
      <c r="G96"/>
      <c r="H96" s="1">
        <f>SUM(H91:H95)</f>
        <v>4767</v>
      </c>
      <c r="I96">
        <v>4871</v>
      </c>
    </row>
    <row r="97" spans="2:9" x14ac:dyDescent="0.2">
      <c r="B97"/>
      <c r="C97"/>
      <c r="D97"/>
      <c r="E97"/>
      <c r="F97"/>
      <c r="G97"/>
      <c r="H97"/>
    </row>
    <row r="98" spans="2:9" x14ac:dyDescent="0.2">
      <c r="B98" t="s">
        <v>3</v>
      </c>
      <c r="C98">
        <v>1997</v>
      </c>
      <c r="D98" t="s">
        <v>61</v>
      </c>
      <c r="E98" t="s">
        <v>45</v>
      </c>
      <c r="F98" t="s">
        <v>45</v>
      </c>
      <c r="G98" t="s">
        <v>45</v>
      </c>
      <c r="H98">
        <v>197</v>
      </c>
    </row>
    <row r="99" spans="2:9" x14ac:dyDescent="0.2">
      <c r="B99" t="s">
        <v>3</v>
      </c>
      <c r="C99">
        <v>1997</v>
      </c>
      <c r="D99" t="s">
        <v>62</v>
      </c>
      <c r="E99" t="s">
        <v>45</v>
      </c>
      <c r="F99" t="s">
        <v>45</v>
      </c>
      <c r="G99" t="s">
        <v>45</v>
      </c>
      <c r="H99">
        <v>130</v>
      </c>
    </row>
    <row r="100" spans="2:9" x14ac:dyDescent="0.2">
      <c r="B100" t="s">
        <v>3</v>
      </c>
      <c r="C100">
        <v>1997</v>
      </c>
      <c r="D100" t="s">
        <v>63</v>
      </c>
      <c r="E100" t="s">
        <v>45</v>
      </c>
      <c r="F100" t="s">
        <v>45</v>
      </c>
      <c r="G100" t="s">
        <v>45</v>
      </c>
      <c r="H100">
        <v>181</v>
      </c>
    </row>
    <row r="101" spans="2:9" x14ac:dyDescent="0.2">
      <c r="B101" t="s">
        <v>3</v>
      </c>
      <c r="C101">
        <v>1997</v>
      </c>
      <c r="D101" t="s">
        <v>64</v>
      </c>
      <c r="E101" t="s">
        <v>45</v>
      </c>
      <c r="F101" t="s">
        <v>45</v>
      </c>
      <c r="G101" t="s">
        <v>45</v>
      </c>
      <c r="H101">
        <v>281</v>
      </c>
    </row>
    <row r="102" spans="2:9" x14ac:dyDescent="0.2">
      <c r="B102" t="s">
        <v>3</v>
      </c>
      <c r="C102">
        <v>1997</v>
      </c>
      <c r="D102" t="s">
        <v>65</v>
      </c>
      <c r="E102" t="s">
        <v>45</v>
      </c>
      <c r="F102" t="s">
        <v>45</v>
      </c>
      <c r="G102" t="s">
        <v>45</v>
      </c>
      <c r="H102">
        <v>182</v>
      </c>
      <c r="I102" t="s">
        <v>74</v>
      </c>
    </row>
    <row r="103" spans="2:9" x14ac:dyDescent="0.2">
      <c r="B103" s="1" t="s">
        <v>3</v>
      </c>
      <c r="C103"/>
      <c r="D103"/>
      <c r="E103"/>
      <c r="F103"/>
      <c r="G103"/>
      <c r="H103" s="1">
        <f>SUM(H98:H102)</f>
        <v>971</v>
      </c>
      <c r="I103">
        <v>969</v>
      </c>
    </row>
    <row r="104" spans="2:9" x14ac:dyDescent="0.2">
      <c r="B104"/>
      <c r="C104"/>
      <c r="D104"/>
      <c r="E104"/>
      <c r="F104"/>
      <c r="G104"/>
      <c r="H104"/>
    </row>
    <row r="105" spans="2:9" x14ac:dyDescent="0.2">
      <c r="B105" t="s">
        <v>3</v>
      </c>
      <c r="C105">
        <v>1998</v>
      </c>
      <c r="D105" t="s">
        <v>61</v>
      </c>
      <c r="E105" t="s">
        <v>45</v>
      </c>
      <c r="F105" t="s">
        <v>45</v>
      </c>
      <c r="G105" t="s">
        <v>45</v>
      </c>
      <c r="H105">
        <v>439</v>
      </c>
    </row>
    <row r="106" spans="2:9" x14ac:dyDescent="0.2">
      <c r="B106" t="s">
        <v>3</v>
      </c>
      <c r="C106">
        <v>1998</v>
      </c>
      <c r="D106" t="s">
        <v>44</v>
      </c>
      <c r="E106" t="s">
        <v>45</v>
      </c>
      <c r="F106" t="s">
        <v>45</v>
      </c>
      <c r="G106" t="s">
        <v>45</v>
      </c>
      <c r="H106">
        <v>151</v>
      </c>
    </row>
    <row r="107" spans="2:9" x14ac:dyDescent="0.2">
      <c r="B107" t="s">
        <v>3</v>
      </c>
      <c r="C107">
        <v>1998</v>
      </c>
      <c r="D107" t="s">
        <v>62</v>
      </c>
      <c r="E107" t="s">
        <v>45</v>
      </c>
      <c r="F107" t="s">
        <v>45</v>
      </c>
      <c r="G107" t="s">
        <v>45</v>
      </c>
      <c r="H107">
        <v>130</v>
      </c>
    </row>
    <row r="108" spans="2:9" x14ac:dyDescent="0.2">
      <c r="B108" t="s">
        <v>3</v>
      </c>
      <c r="C108">
        <v>1998</v>
      </c>
      <c r="D108" t="s">
        <v>63</v>
      </c>
      <c r="E108" t="s">
        <v>45</v>
      </c>
      <c r="F108" t="s">
        <v>45</v>
      </c>
      <c r="G108" t="s">
        <v>45</v>
      </c>
      <c r="H108">
        <v>181</v>
      </c>
    </row>
    <row r="109" spans="2:9" x14ac:dyDescent="0.2">
      <c r="B109" t="s">
        <v>3</v>
      </c>
      <c r="C109">
        <v>1998</v>
      </c>
      <c r="D109" t="s">
        <v>64</v>
      </c>
      <c r="E109" t="s">
        <v>45</v>
      </c>
      <c r="F109" t="s">
        <v>45</v>
      </c>
      <c r="G109" t="s">
        <v>45</v>
      </c>
      <c r="H109">
        <v>281</v>
      </c>
    </row>
    <row r="110" spans="2:9" x14ac:dyDescent="0.2">
      <c r="B110" t="s">
        <v>3</v>
      </c>
      <c r="C110">
        <v>1998</v>
      </c>
      <c r="D110" t="s">
        <v>65</v>
      </c>
      <c r="E110" t="s">
        <v>45</v>
      </c>
      <c r="F110" t="s">
        <v>45</v>
      </c>
      <c r="G110" t="s">
        <v>45</v>
      </c>
      <c r="H110">
        <v>182</v>
      </c>
    </row>
    <row r="111" spans="2:9" x14ac:dyDescent="0.2">
      <c r="B111" s="1" t="s">
        <v>3</v>
      </c>
      <c r="C111"/>
      <c r="D111"/>
      <c r="E111"/>
      <c r="F111"/>
      <c r="G111"/>
      <c r="H111" s="1">
        <f>SUM(H105:H110)</f>
        <v>1364</v>
      </c>
    </row>
    <row r="112" spans="2:9" x14ac:dyDescent="0.2">
      <c r="B112"/>
      <c r="C112"/>
      <c r="D112"/>
      <c r="E112"/>
      <c r="F112"/>
      <c r="G112"/>
      <c r="H112"/>
    </row>
    <row r="113" spans="2:9" x14ac:dyDescent="0.2">
      <c r="B113" t="s">
        <v>4</v>
      </c>
      <c r="C113">
        <v>1997</v>
      </c>
      <c r="D113" t="s">
        <v>61</v>
      </c>
      <c r="E113" t="s">
        <v>45</v>
      </c>
      <c r="F113" t="s">
        <v>46</v>
      </c>
      <c r="G113" t="s">
        <v>46</v>
      </c>
      <c r="H113">
        <v>4333</v>
      </c>
    </row>
    <row r="114" spans="2:9" x14ac:dyDescent="0.2">
      <c r="B114" t="s">
        <v>4</v>
      </c>
      <c r="C114">
        <v>1997</v>
      </c>
      <c r="D114" t="s">
        <v>44</v>
      </c>
      <c r="E114" t="s">
        <v>45</v>
      </c>
      <c r="F114" t="s">
        <v>46</v>
      </c>
      <c r="G114" t="s">
        <v>46</v>
      </c>
      <c r="H114">
        <v>23</v>
      </c>
    </row>
    <row r="115" spans="2:9" x14ac:dyDescent="0.2">
      <c r="B115" t="s">
        <v>4</v>
      </c>
      <c r="C115">
        <v>1997</v>
      </c>
      <c r="D115" t="s">
        <v>48</v>
      </c>
      <c r="E115" t="s">
        <v>45</v>
      </c>
      <c r="F115" t="s">
        <v>46</v>
      </c>
      <c r="G115" t="s">
        <v>46</v>
      </c>
      <c r="H115">
        <v>2244</v>
      </c>
    </row>
    <row r="116" spans="2:9" x14ac:dyDescent="0.2">
      <c r="B116" t="s">
        <v>4</v>
      </c>
      <c r="C116">
        <v>1997</v>
      </c>
      <c r="D116" t="s">
        <v>56</v>
      </c>
      <c r="E116" t="s">
        <v>46</v>
      </c>
      <c r="F116" t="s">
        <v>45</v>
      </c>
      <c r="G116" t="s">
        <v>46</v>
      </c>
      <c r="H116">
        <v>56</v>
      </c>
    </row>
    <row r="117" spans="2:9" x14ac:dyDescent="0.2">
      <c r="B117" t="s">
        <v>4</v>
      </c>
      <c r="C117">
        <v>1997</v>
      </c>
      <c r="D117" t="s">
        <v>56</v>
      </c>
      <c r="E117" t="s">
        <v>46</v>
      </c>
      <c r="F117" t="s">
        <v>46</v>
      </c>
      <c r="G117" t="s">
        <v>46</v>
      </c>
      <c r="H117">
        <v>32</v>
      </c>
    </row>
    <row r="118" spans="2:9" x14ac:dyDescent="0.2">
      <c r="B118" t="s">
        <v>4</v>
      </c>
      <c r="C118">
        <v>1997</v>
      </c>
      <c r="D118" t="s">
        <v>49</v>
      </c>
      <c r="E118" t="s">
        <v>45</v>
      </c>
      <c r="F118" t="s">
        <v>46</v>
      </c>
      <c r="G118" t="s">
        <v>46</v>
      </c>
      <c r="H118">
        <v>274</v>
      </c>
    </row>
    <row r="119" spans="2:9" x14ac:dyDescent="0.2">
      <c r="B119" t="s">
        <v>4</v>
      </c>
      <c r="C119">
        <v>1997</v>
      </c>
      <c r="D119" t="s">
        <v>62</v>
      </c>
      <c r="E119" t="s">
        <v>45</v>
      </c>
      <c r="F119" t="s">
        <v>46</v>
      </c>
      <c r="G119" t="s">
        <v>46</v>
      </c>
      <c r="H119">
        <v>3121</v>
      </c>
    </row>
    <row r="120" spans="2:9" x14ac:dyDescent="0.2">
      <c r="B120" t="s">
        <v>4</v>
      </c>
      <c r="C120">
        <v>1997</v>
      </c>
      <c r="D120" t="s">
        <v>66</v>
      </c>
      <c r="E120" t="s">
        <v>45</v>
      </c>
      <c r="F120" t="s">
        <v>46</v>
      </c>
      <c r="G120" t="s">
        <v>46</v>
      </c>
      <c r="H120">
        <v>1677</v>
      </c>
    </row>
    <row r="121" spans="2:9" x14ac:dyDescent="0.2">
      <c r="B121" t="s">
        <v>4</v>
      </c>
      <c r="C121">
        <v>1997</v>
      </c>
      <c r="D121" t="s">
        <v>67</v>
      </c>
      <c r="E121" t="s">
        <v>45</v>
      </c>
      <c r="F121" t="s">
        <v>46</v>
      </c>
      <c r="G121" t="s">
        <v>46</v>
      </c>
      <c r="H121">
        <v>90</v>
      </c>
    </row>
    <row r="122" spans="2:9" x14ac:dyDescent="0.2">
      <c r="B122" t="s">
        <v>4</v>
      </c>
      <c r="C122">
        <v>1997</v>
      </c>
      <c r="D122" t="s">
        <v>52</v>
      </c>
      <c r="E122" t="s">
        <v>45</v>
      </c>
      <c r="F122" t="s">
        <v>46</v>
      </c>
      <c r="G122" t="s">
        <v>46</v>
      </c>
      <c r="H122">
        <v>679</v>
      </c>
    </row>
    <row r="123" spans="2:9" x14ac:dyDescent="0.2">
      <c r="B123" t="s">
        <v>4</v>
      </c>
      <c r="C123">
        <v>1997</v>
      </c>
      <c r="D123" t="s">
        <v>65</v>
      </c>
      <c r="E123" t="s">
        <v>45</v>
      </c>
      <c r="F123" t="s">
        <v>46</v>
      </c>
      <c r="G123" t="s">
        <v>46</v>
      </c>
      <c r="H123">
        <v>831</v>
      </c>
    </row>
    <row r="124" spans="2:9" x14ac:dyDescent="0.2">
      <c r="B124" t="s">
        <v>4</v>
      </c>
      <c r="C124">
        <v>1997</v>
      </c>
      <c r="D124" t="s">
        <v>53</v>
      </c>
      <c r="E124" t="s">
        <v>45</v>
      </c>
      <c r="F124" t="s">
        <v>46</v>
      </c>
      <c r="G124" t="s">
        <v>46</v>
      </c>
      <c r="H124">
        <v>1547</v>
      </c>
    </row>
    <row r="125" spans="2:9" x14ac:dyDescent="0.2">
      <c r="B125" t="s">
        <v>4</v>
      </c>
      <c r="C125">
        <v>1997</v>
      </c>
      <c r="D125" t="s">
        <v>53</v>
      </c>
      <c r="E125" t="s">
        <v>46</v>
      </c>
      <c r="F125" t="s">
        <v>45</v>
      </c>
      <c r="G125" t="s">
        <v>46</v>
      </c>
      <c r="H125">
        <v>119</v>
      </c>
    </row>
    <row r="126" spans="2:9" x14ac:dyDescent="0.2">
      <c r="B126" t="s">
        <v>4</v>
      </c>
      <c r="C126">
        <v>1997</v>
      </c>
      <c r="D126" t="s">
        <v>53</v>
      </c>
      <c r="E126" t="s">
        <v>46</v>
      </c>
      <c r="F126" t="s">
        <v>46</v>
      </c>
      <c r="G126" t="s">
        <v>46</v>
      </c>
      <c r="H126">
        <v>64</v>
      </c>
    </row>
    <row r="127" spans="2:9" x14ac:dyDescent="0.2">
      <c r="B127" t="s">
        <v>4</v>
      </c>
      <c r="C127">
        <v>1997</v>
      </c>
      <c r="D127" t="s">
        <v>68</v>
      </c>
      <c r="E127" t="s">
        <v>45</v>
      </c>
      <c r="F127" t="s">
        <v>46</v>
      </c>
      <c r="G127" t="s">
        <v>46</v>
      </c>
      <c r="H127">
        <v>1337</v>
      </c>
      <c r="I127" t="s">
        <v>74</v>
      </c>
    </row>
    <row r="128" spans="2:9" x14ac:dyDescent="0.2">
      <c r="B128" s="1" t="s">
        <v>4</v>
      </c>
      <c r="C128"/>
      <c r="D128"/>
      <c r="E128"/>
      <c r="F128"/>
      <c r="G128"/>
      <c r="H128" s="1">
        <f>SUM(H113:H127)</f>
        <v>16427</v>
      </c>
      <c r="I128">
        <v>16802</v>
      </c>
    </row>
    <row r="129" spans="2:8" x14ac:dyDescent="0.2">
      <c r="B129"/>
      <c r="C129"/>
      <c r="D129"/>
      <c r="E129"/>
      <c r="F129"/>
      <c r="G129"/>
      <c r="H129"/>
    </row>
    <row r="130" spans="2:8" x14ac:dyDescent="0.2">
      <c r="B130" t="s">
        <v>5</v>
      </c>
      <c r="C130">
        <v>1997</v>
      </c>
      <c r="D130" t="s">
        <v>69</v>
      </c>
      <c r="E130" t="s">
        <v>45</v>
      </c>
      <c r="F130" t="s">
        <v>46</v>
      </c>
      <c r="G130" t="s">
        <v>46</v>
      </c>
      <c r="H130">
        <v>694</v>
      </c>
    </row>
    <row r="131" spans="2:8" x14ac:dyDescent="0.2">
      <c r="B131" t="s">
        <v>5</v>
      </c>
      <c r="C131">
        <v>1997</v>
      </c>
      <c r="D131" t="s">
        <v>70</v>
      </c>
      <c r="E131" t="s">
        <v>45</v>
      </c>
      <c r="F131" t="s">
        <v>46</v>
      </c>
      <c r="G131" t="s">
        <v>46</v>
      </c>
      <c r="H131">
        <v>1</v>
      </c>
    </row>
    <row r="132" spans="2:8" x14ac:dyDescent="0.2">
      <c r="B132" t="s">
        <v>5</v>
      </c>
      <c r="C132">
        <v>1997</v>
      </c>
      <c r="D132" t="s">
        <v>71</v>
      </c>
      <c r="E132" t="s">
        <v>45</v>
      </c>
      <c r="F132" t="s">
        <v>45</v>
      </c>
      <c r="G132" t="s">
        <v>46</v>
      </c>
      <c r="H132">
        <v>11</v>
      </c>
    </row>
    <row r="133" spans="2:8" x14ac:dyDescent="0.2">
      <c r="B133" t="s">
        <v>5</v>
      </c>
      <c r="C133">
        <v>1997</v>
      </c>
      <c r="D133" t="s">
        <v>67</v>
      </c>
      <c r="E133" t="s">
        <v>45</v>
      </c>
      <c r="F133" t="s">
        <v>45</v>
      </c>
      <c r="G133" t="s">
        <v>45</v>
      </c>
      <c r="H133">
        <v>23</v>
      </c>
    </row>
    <row r="134" spans="2:8" x14ac:dyDescent="0.2">
      <c r="B134" t="s">
        <v>5</v>
      </c>
      <c r="C134">
        <v>1997</v>
      </c>
      <c r="D134" t="s">
        <v>67</v>
      </c>
      <c r="E134" t="s">
        <v>45</v>
      </c>
      <c r="F134" t="s">
        <v>46</v>
      </c>
      <c r="G134" t="s">
        <v>46</v>
      </c>
      <c r="H134">
        <v>1184</v>
      </c>
    </row>
    <row r="135" spans="2:8" x14ac:dyDescent="0.2">
      <c r="B135" t="s">
        <v>5</v>
      </c>
      <c r="C135">
        <v>1997</v>
      </c>
      <c r="D135" t="s">
        <v>52</v>
      </c>
      <c r="E135" t="s">
        <v>45</v>
      </c>
      <c r="F135" t="s">
        <v>46</v>
      </c>
      <c r="G135" t="s">
        <v>46</v>
      </c>
      <c r="H135">
        <v>65</v>
      </c>
    </row>
    <row r="136" spans="2:8" x14ac:dyDescent="0.2">
      <c r="B136" t="s">
        <v>5</v>
      </c>
      <c r="C136">
        <v>1997</v>
      </c>
      <c r="D136" t="s">
        <v>53</v>
      </c>
      <c r="E136" t="s">
        <v>45</v>
      </c>
      <c r="F136" t="s">
        <v>46</v>
      </c>
      <c r="G136" t="s">
        <v>46</v>
      </c>
      <c r="H136">
        <v>511</v>
      </c>
    </row>
    <row r="137" spans="2:8" x14ac:dyDescent="0.2">
      <c r="B137" s="1" t="s">
        <v>5</v>
      </c>
      <c r="C137"/>
      <c r="D137"/>
      <c r="E137"/>
      <c r="F137"/>
      <c r="G137"/>
      <c r="H137" s="1">
        <f>SUM(H130:H136)</f>
        <v>2489</v>
      </c>
    </row>
    <row r="138" spans="2:8" x14ac:dyDescent="0.2">
      <c r="B138" s="1"/>
      <c r="C138"/>
      <c r="D138"/>
      <c r="E138"/>
      <c r="F138"/>
      <c r="G138"/>
      <c r="H138" s="1"/>
    </row>
    <row r="139" spans="2:8" x14ac:dyDescent="0.2">
      <c r="B139" t="s">
        <v>5</v>
      </c>
      <c r="C139">
        <v>1998</v>
      </c>
      <c r="D139" t="s">
        <v>69</v>
      </c>
      <c r="E139" t="s">
        <v>45</v>
      </c>
      <c r="F139" t="s">
        <v>46</v>
      </c>
      <c r="G139" t="s">
        <v>46</v>
      </c>
      <c r="H139">
        <v>694</v>
      </c>
    </row>
    <row r="140" spans="2:8" x14ac:dyDescent="0.2">
      <c r="B140" t="s">
        <v>5</v>
      </c>
      <c r="C140">
        <v>1998</v>
      </c>
      <c r="D140" t="s">
        <v>70</v>
      </c>
      <c r="E140" t="s">
        <v>45</v>
      </c>
      <c r="F140" t="s">
        <v>46</v>
      </c>
      <c r="G140" t="s">
        <v>46</v>
      </c>
      <c r="H140">
        <v>1</v>
      </c>
    </row>
    <row r="141" spans="2:8" x14ac:dyDescent="0.2">
      <c r="B141" t="s">
        <v>5</v>
      </c>
      <c r="C141">
        <v>1998</v>
      </c>
      <c r="D141" t="s">
        <v>71</v>
      </c>
      <c r="E141" t="s">
        <v>45</v>
      </c>
      <c r="F141" t="s">
        <v>45</v>
      </c>
      <c r="G141" t="s">
        <v>46</v>
      </c>
      <c r="H141">
        <v>11</v>
      </c>
    </row>
    <row r="142" spans="2:8" x14ac:dyDescent="0.2">
      <c r="B142" t="s">
        <v>5</v>
      </c>
      <c r="C142">
        <v>1998</v>
      </c>
      <c r="D142" t="s">
        <v>67</v>
      </c>
      <c r="E142" t="s">
        <v>45</v>
      </c>
      <c r="F142" t="s">
        <v>45</v>
      </c>
      <c r="G142" t="s">
        <v>45</v>
      </c>
      <c r="H142">
        <v>23</v>
      </c>
    </row>
    <row r="143" spans="2:8" x14ac:dyDescent="0.2">
      <c r="B143" t="s">
        <v>5</v>
      </c>
      <c r="C143">
        <v>1998</v>
      </c>
      <c r="D143" t="s">
        <v>67</v>
      </c>
      <c r="E143" t="s">
        <v>45</v>
      </c>
      <c r="F143" t="s">
        <v>46</v>
      </c>
      <c r="G143" t="s">
        <v>46</v>
      </c>
      <c r="H143">
        <v>1209</v>
      </c>
    </row>
    <row r="144" spans="2:8" x14ac:dyDescent="0.2">
      <c r="B144" t="s">
        <v>5</v>
      </c>
      <c r="C144">
        <v>1998</v>
      </c>
      <c r="D144" t="s">
        <v>52</v>
      </c>
      <c r="E144" t="s">
        <v>45</v>
      </c>
      <c r="F144" t="s">
        <v>46</v>
      </c>
      <c r="G144" t="s">
        <v>46</v>
      </c>
      <c r="H144">
        <v>65</v>
      </c>
    </row>
    <row r="145" spans="2:9" x14ac:dyDescent="0.2">
      <c r="B145" t="s">
        <v>5</v>
      </c>
      <c r="C145">
        <v>1998</v>
      </c>
      <c r="D145" t="s">
        <v>53</v>
      </c>
      <c r="E145" t="s">
        <v>45</v>
      </c>
      <c r="F145" t="s">
        <v>46</v>
      </c>
      <c r="G145" t="s">
        <v>46</v>
      </c>
      <c r="H145">
        <v>511</v>
      </c>
      <c r="I145" t="s">
        <v>74</v>
      </c>
    </row>
    <row r="146" spans="2:9" x14ac:dyDescent="0.2">
      <c r="B146" s="1" t="s">
        <v>5</v>
      </c>
      <c r="C146"/>
      <c r="D146"/>
      <c r="E146"/>
      <c r="F146"/>
      <c r="G146"/>
      <c r="H146" s="1">
        <f>SUM(H139:H145)</f>
        <v>2514</v>
      </c>
      <c r="I146">
        <v>2512</v>
      </c>
    </row>
    <row r="147" spans="2:9" x14ac:dyDescent="0.2">
      <c r="B147"/>
      <c r="C147"/>
      <c r="D147"/>
      <c r="E147"/>
      <c r="F147"/>
      <c r="G147"/>
      <c r="H147"/>
    </row>
    <row r="148" spans="2:9" x14ac:dyDescent="0.2">
      <c r="B148"/>
      <c r="C148"/>
      <c r="D148"/>
      <c r="E148"/>
      <c r="F148"/>
      <c r="G148"/>
      <c r="H148"/>
    </row>
    <row r="149" spans="2:9" x14ac:dyDescent="0.2">
      <c r="B149" t="s">
        <v>5</v>
      </c>
      <c r="C149">
        <v>1996</v>
      </c>
      <c r="D149">
        <v>2533</v>
      </c>
      <c r="E149"/>
      <c r="F149"/>
      <c r="G149"/>
      <c r="H149"/>
    </row>
    <row r="150" spans="2:9" x14ac:dyDescent="0.2">
      <c r="B150" t="s">
        <v>4</v>
      </c>
      <c r="C150">
        <v>1996</v>
      </c>
      <c r="D150">
        <v>15637</v>
      </c>
      <c r="E150"/>
      <c r="F150"/>
      <c r="G150"/>
      <c r="H150"/>
    </row>
    <row r="151" spans="2:9" x14ac:dyDescent="0.2">
      <c r="B151" t="s">
        <v>0</v>
      </c>
      <c r="C151">
        <v>1996</v>
      </c>
      <c r="D151">
        <v>6468</v>
      </c>
      <c r="E151"/>
      <c r="F151"/>
      <c r="G151"/>
      <c r="H151"/>
    </row>
    <row r="152" spans="2:9" x14ac:dyDescent="0.2">
      <c r="B152" t="s">
        <v>1</v>
      </c>
      <c r="C152">
        <v>1996</v>
      </c>
      <c r="D152">
        <v>4134</v>
      </c>
      <c r="E152"/>
      <c r="F152"/>
      <c r="G152"/>
      <c r="H152"/>
    </row>
    <row r="153" spans="2:9" x14ac:dyDescent="0.2">
      <c r="B153"/>
      <c r="C153"/>
      <c r="D153"/>
      <c r="E153"/>
      <c r="F153"/>
      <c r="G153"/>
      <c r="H153"/>
    </row>
  </sheetData>
  <mergeCells count="5">
    <mergeCell ref="J25:M25"/>
    <mergeCell ref="J9:K9"/>
    <mergeCell ref="J19:K19"/>
    <mergeCell ref="J23:M23"/>
    <mergeCell ref="J24:M24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opLeftCell="A77" workbookViewId="0">
      <selection activeCell="A97" sqref="A97"/>
    </sheetView>
  </sheetViews>
  <sheetFormatPr defaultRowHeight="11.25" x14ac:dyDescent="0.2"/>
  <cols>
    <col min="1" max="1" width="26.7109375" style="42" bestFit="1" customWidth="1"/>
    <col min="2" max="2" width="6" style="42" bestFit="1" customWidth="1"/>
    <col min="3" max="3" width="17.140625" style="42" bestFit="1" customWidth="1"/>
    <col min="4" max="5" width="14.85546875" style="42" bestFit="1" customWidth="1"/>
    <col min="6" max="6" width="19.140625" style="42" bestFit="1" customWidth="1"/>
    <col min="7" max="7" width="10.42578125" style="42" bestFit="1" customWidth="1"/>
    <col min="8" max="8" width="18" style="42" customWidth="1"/>
    <col min="9" max="10" width="10.85546875" style="42" customWidth="1"/>
    <col min="11" max="11" width="10.85546875" style="42" bestFit="1" customWidth="1"/>
    <col min="12" max="12" width="11.85546875" style="42" bestFit="1" customWidth="1"/>
    <col min="13" max="14" width="11.7109375" style="42" bestFit="1" customWidth="1"/>
    <col min="15" max="15" width="10.42578125" style="42" bestFit="1" customWidth="1"/>
    <col min="16" max="16384" width="9.140625" style="42"/>
  </cols>
  <sheetData>
    <row r="1" spans="1:11" x14ac:dyDescent="0.2">
      <c r="A1" s="177" t="s">
        <v>245</v>
      </c>
    </row>
    <row r="3" spans="1:11" x14ac:dyDescent="0.2">
      <c r="A3" s="42" t="s">
        <v>6</v>
      </c>
      <c r="B3" s="42" t="s">
        <v>7</v>
      </c>
      <c r="C3" s="42" t="s">
        <v>222</v>
      </c>
    </row>
    <row r="4" spans="1:11" x14ac:dyDescent="0.2">
      <c r="A4" s="42" t="s">
        <v>0</v>
      </c>
      <c r="B4" s="42">
        <v>1996</v>
      </c>
      <c r="C4" s="146">
        <v>49739629</v>
      </c>
    </row>
    <row r="5" spans="1:11" x14ac:dyDescent="0.2">
      <c r="A5" s="42" t="s">
        <v>1</v>
      </c>
      <c r="B5" s="42">
        <v>1996</v>
      </c>
      <c r="C5" s="146">
        <v>27308228</v>
      </c>
      <c r="G5" s="336" t="s">
        <v>129</v>
      </c>
      <c r="H5" s="336"/>
      <c r="I5" s="336"/>
      <c r="J5" s="336"/>
      <c r="K5" s="336"/>
    </row>
    <row r="6" spans="1:11" x14ac:dyDescent="0.2">
      <c r="A6" s="42" t="s">
        <v>105</v>
      </c>
      <c r="B6" s="42">
        <v>1996</v>
      </c>
      <c r="C6" s="146">
        <v>74227058</v>
      </c>
      <c r="G6" s="42" t="s">
        <v>123</v>
      </c>
      <c r="H6" s="42" t="s">
        <v>124</v>
      </c>
      <c r="I6" s="42" t="s">
        <v>125</v>
      </c>
      <c r="J6" s="42" t="s">
        <v>82</v>
      </c>
      <c r="K6" s="42" t="s">
        <v>83</v>
      </c>
    </row>
    <row r="7" spans="1:11" x14ac:dyDescent="0.2">
      <c r="A7" s="42" t="s">
        <v>4</v>
      </c>
      <c r="B7" s="42">
        <v>1996</v>
      </c>
      <c r="C7" s="146">
        <v>72155927</v>
      </c>
      <c r="F7" s="42">
        <v>1992</v>
      </c>
      <c r="G7" s="42">
        <v>1534</v>
      </c>
      <c r="H7" s="42">
        <v>639</v>
      </c>
      <c r="I7" s="42">
        <v>1923</v>
      </c>
      <c r="J7" s="42">
        <v>1551</v>
      </c>
      <c r="K7" s="42">
        <v>441</v>
      </c>
    </row>
    <row r="8" spans="1:11" x14ac:dyDescent="0.2">
      <c r="A8" s="42" t="s">
        <v>5</v>
      </c>
      <c r="B8" s="42">
        <v>1996</v>
      </c>
      <c r="C8" s="146">
        <v>18564555</v>
      </c>
      <c r="F8" s="42">
        <v>1993</v>
      </c>
      <c r="G8" s="42">
        <v>1184</v>
      </c>
      <c r="H8" s="42">
        <v>610</v>
      </c>
      <c r="I8" s="42">
        <v>1838</v>
      </c>
      <c r="J8" s="42">
        <v>1165</v>
      </c>
      <c r="K8" s="42">
        <v>358</v>
      </c>
    </row>
    <row r="9" spans="1:11" x14ac:dyDescent="0.2">
      <c r="A9" s="42" t="s">
        <v>0</v>
      </c>
      <c r="B9" s="42">
        <v>1997</v>
      </c>
      <c r="C9" s="146">
        <v>43180531</v>
      </c>
      <c r="F9" s="42">
        <v>1994</v>
      </c>
      <c r="G9" s="42">
        <v>1107</v>
      </c>
      <c r="H9" s="42">
        <v>589</v>
      </c>
      <c r="I9" s="42">
        <v>1734</v>
      </c>
      <c r="J9" s="42">
        <v>1229</v>
      </c>
      <c r="K9" s="42">
        <v>375</v>
      </c>
    </row>
    <row r="10" spans="1:11" x14ac:dyDescent="0.2">
      <c r="A10" s="42" t="s">
        <v>1</v>
      </c>
      <c r="B10" s="42">
        <v>1997</v>
      </c>
      <c r="C10" s="146">
        <v>18668519</v>
      </c>
      <c r="F10" s="42">
        <v>1995</v>
      </c>
      <c r="G10" s="42">
        <v>967</v>
      </c>
      <c r="H10" s="42">
        <v>573</v>
      </c>
      <c r="I10" s="42">
        <v>1541</v>
      </c>
      <c r="J10" s="42">
        <v>1188</v>
      </c>
      <c r="K10" s="42">
        <v>251</v>
      </c>
    </row>
    <row r="11" spans="1:11" x14ac:dyDescent="0.2">
      <c r="A11" s="42" t="s">
        <v>105</v>
      </c>
      <c r="B11" s="42">
        <v>1997</v>
      </c>
      <c r="C11" s="146">
        <v>67130685</v>
      </c>
    </row>
    <row r="12" spans="1:11" x14ac:dyDescent="0.2">
      <c r="A12" s="42" t="s">
        <v>4</v>
      </c>
      <c r="B12" s="42">
        <v>1997</v>
      </c>
      <c r="C12" s="146">
        <v>73507362</v>
      </c>
    </row>
    <row r="13" spans="1:11" x14ac:dyDescent="0.2">
      <c r="A13" s="42" t="s">
        <v>5</v>
      </c>
      <c r="B13" s="42">
        <v>1997</v>
      </c>
      <c r="C13" s="146">
        <v>18528531</v>
      </c>
      <c r="D13" s="42" t="s">
        <v>223</v>
      </c>
      <c r="E13" s="42" t="s">
        <v>224</v>
      </c>
      <c r="F13" s="42" t="s">
        <v>225</v>
      </c>
      <c r="H13" s="337" t="s">
        <v>226</v>
      </c>
      <c r="I13" s="338"/>
      <c r="J13" s="339"/>
    </row>
    <row r="14" spans="1:11" x14ac:dyDescent="0.2">
      <c r="A14" s="42" t="s">
        <v>0</v>
      </c>
      <c r="B14" s="42">
        <v>1998</v>
      </c>
      <c r="C14" s="146">
        <v>42123102</v>
      </c>
      <c r="D14" s="42">
        <f>G10</f>
        <v>967</v>
      </c>
      <c r="E14" s="146">
        <f>C14/D14</f>
        <v>43560.601861427094</v>
      </c>
      <c r="F14" s="146">
        <f>(C14+C15)/(D14+D15)</f>
        <v>37862.705844155847</v>
      </c>
      <c r="G14" s="42" t="s">
        <v>153</v>
      </c>
      <c r="H14" s="152"/>
      <c r="I14" s="153" t="s">
        <v>153</v>
      </c>
      <c r="J14" s="154" t="s">
        <v>125</v>
      </c>
    </row>
    <row r="15" spans="1:11" x14ac:dyDescent="0.2">
      <c r="A15" s="42" t="s">
        <v>1</v>
      </c>
      <c r="B15" s="42">
        <v>1998</v>
      </c>
      <c r="C15" s="146">
        <v>16185465</v>
      </c>
      <c r="D15" s="42">
        <f>H10</f>
        <v>573</v>
      </c>
      <c r="E15" s="146">
        <f>C15/D15</f>
        <v>28246.884816753925</v>
      </c>
      <c r="F15" s="146"/>
      <c r="H15" s="152" t="s">
        <v>214</v>
      </c>
      <c r="I15" s="155">
        <f>Results!H48</f>
        <v>60949743.3214316</v>
      </c>
      <c r="J15" s="156">
        <f>Results!M48</f>
        <v>22718565.937286705</v>
      </c>
    </row>
    <row r="16" spans="1:11" x14ac:dyDescent="0.2">
      <c r="A16" s="42" t="s">
        <v>105</v>
      </c>
      <c r="B16" s="42">
        <v>1998</v>
      </c>
      <c r="C16" s="146">
        <v>62891355</v>
      </c>
      <c r="D16" s="42">
        <f>I10</f>
        <v>1541</v>
      </c>
      <c r="E16" s="146">
        <f>C16/D16</f>
        <v>40812.040882543806</v>
      </c>
      <c r="F16" s="146">
        <f>E16</f>
        <v>40812.040882543806</v>
      </c>
      <c r="G16" s="42" t="s">
        <v>125</v>
      </c>
      <c r="H16" s="157" t="s">
        <v>227</v>
      </c>
      <c r="I16" s="158">
        <f>I15*H31</f>
        <v>20790269.039197143</v>
      </c>
      <c r="J16" s="159">
        <f>J15*H32</f>
        <v>6893312.5956694735</v>
      </c>
    </row>
    <row r="17" spans="1:10" x14ac:dyDescent="0.2">
      <c r="A17" s="42" t="s">
        <v>4</v>
      </c>
      <c r="B17" s="42">
        <v>1998</v>
      </c>
      <c r="C17" s="146">
        <v>72128271</v>
      </c>
      <c r="D17" s="42">
        <f>J10</f>
        <v>1188</v>
      </c>
      <c r="E17" s="146">
        <f>C17/D17</f>
        <v>60714.032828282827</v>
      </c>
      <c r="F17" s="146">
        <f>(C17+C18)/(D17+D18)</f>
        <v>61138.422515635859</v>
      </c>
      <c r="G17" s="42" t="s">
        <v>169</v>
      </c>
    </row>
    <row r="18" spans="1:10" x14ac:dyDescent="0.2">
      <c r="A18" s="42" t="s">
        <v>5</v>
      </c>
      <c r="B18" s="42">
        <v>1998</v>
      </c>
      <c r="C18" s="146">
        <v>15849919</v>
      </c>
      <c r="D18" s="42">
        <f>K10</f>
        <v>251</v>
      </c>
      <c r="E18" s="146">
        <f>C18/D18</f>
        <v>63147.087649402391</v>
      </c>
      <c r="F18" s="146"/>
      <c r="G18" s="146"/>
      <c r="H18" s="337" t="s">
        <v>235</v>
      </c>
      <c r="I18" s="338"/>
      <c r="J18" s="339"/>
    </row>
    <row r="19" spans="1:10" x14ac:dyDescent="0.2">
      <c r="H19" s="152"/>
      <c r="I19" s="153" t="s">
        <v>153</v>
      </c>
      <c r="J19" s="154" t="s">
        <v>125</v>
      </c>
    </row>
    <row r="20" spans="1:10" ht="12" thickBot="1" x14ac:dyDescent="0.25">
      <c r="H20" s="152" t="s">
        <v>214</v>
      </c>
      <c r="I20" s="160">
        <f>I16/F14</f>
        <v>549.09623006793493</v>
      </c>
      <c r="J20" s="161">
        <f>J16/F16</f>
        <v>168.90389322867441</v>
      </c>
    </row>
    <row r="21" spans="1:10" ht="12" thickBot="1" x14ac:dyDescent="0.25">
      <c r="H21" s="157" t="s">
        <v>228</v>
      </c>
      <c r="I21" s="173">
        <f>I20/(D14+D15)</f>
        <v>0.35655599355060708</v>
      </c>
      <c r="J21" s="173">
        <f>J20/(D16)</f>
        <v>0.10960667957733576</v>
      </c>
    </row>
    <row r="22" spans="1:10" ht="12" thickBot="1" x14ac:dyDescent="0.25">
      <c r="A22" s="42" t="s">
        <v>6</v>
      </c>
      <c r="B22" s="42" t="s">
        <v>7</v>
      </c>
      <c r="C22" s="42" t="s">
        <v>229</v>
      </c>
      <c r="D22" s="42" t="s">
        <v>93</v>
      </c>
      <c r="E22" s="162" t="s">
        <v>230</v>
      </c>
    </row>
    <row r="23" spans="1:10" x14ac:dyDescent="0.2">
      <c r="A23" s="42" t="s">
        <v>5</v>
      </c>
      <c r="B23" s="42">
        <v>1998</v>
      </c>
      <c r="C23" s="146">
        <v>7106479</v>
      </c>
      <c r="D23" s="146">
        <v>20092145</v>
      </c>
      <c r="E23" s="165">
        <f>C23/D23</f>
        <v>0.35369439151469395</v>
      </c>
      <c r="H23" s="290" t="s">
        <v>296</v>
      </c>
      <c r="I23" s="319"/>
      <c r="J23" s="291"/>
    </row>
    <row r="24" spans="1:10" x14ac:dyDescent="0.2">
      <c r="A24" s="42" t="s">
        <v>5</v>
      </c>
      <c r="B24" s="42">
        <v>1997</v>
      </c>
      <c r="C24" s="146">
        <v>7881778</v>
      </c>
      <c r="D24" s="146">
        <v>18656996</v>
      </c>
      <c r="E24" s="165">
        <f>C24/D24</f>
        <v>0.42245697002882993</v>
      </c>
      <c r="H24" s="250"/>
      <c r="I24" s="283" t="s">
        <v>289</v>
      </c>
      <c r="J24" s="247" t="s">
        <v>291</v>
      </c>
    </row>
    <row r="25" spans="1:10" x14ac:dyDescent="0.2">
      <c r="A25" s="42" t="s">
        <v>5</v>
      </c>
      <c r="B25" s="42">
        <v>1996</v>
      </c>
      <c r="C25" s="146">
        <v>7209625</v>
      </c>
      <c r="D25" s="146">
        <v>8238910</v>
      </c>
      <c r="E25" s="165">
        <f>C25/D25</f>
        <v>0.87507024594272786</v>
      </c>
      <c r="H25" s="163" t="s">
        <v>231</v>
      </c>
      <c r="I25" s="155">
        <f>I20*F14</f>
        <v>20790269.039197143</v>
      </c>
      <c r="J25" s="166">
        <f>J20*F16</f>
        <v>6893312.5956694735</v>
      </c>
    </row>
    <row r="26" spans="1:10" x14ac:dyDescent="0.2">
      <c r="C26" s="146"/>
      <c r="D26" s="146"/>
      <c r="E26" s="165"/>
      <c r="H26" s="167" t="s">
        <v>295</v>
      </c>
      <c r="I26" s="168">
        <f>I25*0.1</f>
        <v>2079026.9039197145</v>
      </c>
      <c r="J26" s="169">
        <f>J25*0.1</f>
        <v>689331.25956694735</v>
      </c>
    </row>
    <row r="27" spans="1:10" ht="12" thickBot="1" x14ac:dyDescent="0.25">
      <c r="A27" s="42" t="s">
        <v>4</v>
      </c>
      <c r="B27" s="42">
        <v>1998</v>
      </c>
      <c r="C27" s="146">
        <v>30660621</v>
      </c>
      <c r="D27" s="146">
        <v>91469234</v>
      </c>
      <c r="E27" s="165">
        <f>C27/D27</f>
        <v>0.33520146238460902</v>
      </c>
      <c r="H27" s="170" t="s">
        <v>232</v>
      </c>
      <c r="I27" s="171">
        <f>I25+I26</f>
        <v>22869295.943116859</v>
      </c>
      <c r="J27" s="172">
        <f>J25+J26</f>
        <v>7582643.8552364204</v>
      </c>
    </row>
    <row r="28" spans="1:10" x14ac:dyDescent="0.2">
      <c r="A28" s="42" t="s">
        <v>4</v>
      </c>
      <c r="B28" s="42">
        <v>1997</v>
      </c>
      <c r="C28" s="146">
        <v>31528473</v>
      </c>
      <c r="D28" s="146">
        <v>95553390</v>
      </c>
      <c r="E28" s="165">
        <f>C28/D28</f>
        <v>0.32995661378418911</v>
      </c>
    </row>
    <row r="29" spans="1:10" x14ac:dyDescent="0.2">
      <c r="A29" s="42" t="s">
        <v>4</v>
      </c>
      <c r="B29" s="42">
        <v>1996</v>
      </c>
      <c r="C29" s="146">
        <v>33576068</v>
      </c>
      <c r="D29" s="146">
        <v>99621407</v>
      </c>
      <c r="E29" s="165">
        <f>C29/D29</f>
        <v>0.33703667726756759</v>
      </c>
    </row>
    <row r="30" spans="1:10" x14ac:dyDescent="0.2">
      <c r="C30" s="146"/>
      <c r="D30" s="146"/>
      <c r="E30" s="165"/>
      <c r="H30" s="330" t="s">
        <v>236</v>
      </c>
      <c r="I30" s="331"/>
    </row>
    <row r="31" spans="1:10" x14ac:dyDescent="0.2">
      <c r="A31" s="42" t="s">
        <v>105</v>
      </c>
      <c r="B31" s="42">
        <v>1998</v>
      </c>
      <c r="C31" s="146">
        <v>14492102</v>
      </c>
      <c r="D31" s="162">
        <v>47762200</v>
      </c>
      <c r="E31" s="165">
        <f>C31/D31</f>
        <v>0.30342199479923454</v>
      </c>
      <c r="H31" s="180">
        <f>(C35+C39)/(D35+D39)</f>
        <v>0.34110511228169055</v>
      </c>
      <c r="I31" s="175" t="s">
        <v>233</v>
      </c>
    </row>
    <row r="32" spans="1:10" x14ac:dyDescent="0.2">
      <c r="A32" s="42" t="s">
        <v>105</v>
      </c>
      <c r="B32" s="42">
        <v>1997</v>
      </c>
      <c r="C32" s="146">
        <v>13283055</v>
      </c>
      <c r="D32" s="162">
        <v>52153684</v>
      </c>
      <c r="E32" s="165">
        <f>C32/D32</f>
        <v>0.25469063700274752</v>
      </c>
      <c r="H32" s="181">
        <f>E31</f>
        <v>0.30342199479923454</v>
      </c>
      <c r="I32" s="176" t="s">
        <v>234</v>
      </c>
    </row>
    <row r="33" spans="1:5" x14ac:dyDescent="0.2">
      <c r="A33" s="42" t="s">
        <v>105</v>
      </c>
      <c r="B33" s="42">
        <v>1996</v>
      </c>
      <c r="C33" s="146">
        <v>13424544</v>
      </c>
      <c r="D33" s="162">
        <v>41312174</v>
      </c>
      <c r="E33" s="165">
        <f>C33/D33</f>
        <v>0.32495370492968972</v>
      </c>
    </row>
    <row r="34" spans="1:5" x14ac:dyDescent="0.2">
      <c r="C34" s="146"/>
      <c r="D34" s="162"/>
      <c r="E34" s="165"/>
    </row>
    <row r="35" spans="1:5" x14ac:dyDescent="0.2">
      <c r="A35" s="42" t="s">
        <v>1</v>
      </c>
      <c r="B35" s="42">
        <v>1998</v>
      </c>
      <c r="C35" s="146">
        <v>15932622</v>
      </c>
      <c r="D35" s="146">
        <v>36179656</v>
      </c>
      <c r="E35" s="165">
        <f>C35/D35</f>
        <v>0.44037516553501782</v>
      </c>
    </row>
    <row r="36" spans="1:5" x14ac:dyDescent="0.2">
      <c r="A36" s="42" t="s">
        <v>1</v>
      </c>
      <c r="B36" s="42">
        <v>1997</v>
      </c>
      <c r="C36" s="146">
        <v>17615404</v>
      </c>
      <c r="D36" s="146">
        <v>37537546</v>
      </c>
      <c r="E36" s="165">
        <f>C36/D36</f>
        <v>0.46927425676681156</v>
      </c>
    </row>
    <row r="37" spans="1:5" x14ac:dyDescent="0.2">
      <c r="A37" s="42" t="s">
        <v>1</v>
      </c>
      <c r="B37" s="42">
        <v>1996</v>
      </c>
      <c r="C37" s="146">
        <v>17972746</v>
      </c>
      <c r="D37" s="146">
        <v>40421836</v>
      </c>
      <c r="E37" s="165">
        <f>C37/D37</f>
        <v>0.44462963038096537</v>
      </c>
    </row>
    <row r="38" spans="1:5" x14ac:dyDescent="0.2">
      <c r="C38" s="146"/>
      <c r="D38" s="146"/>
      <c r="E38" s="165"/>
    </row>
    <row r="39" spans="1:5" x14ac:dyDescent="0.2">
      <c r="A39" s="42" t="s">
        <v>0</v>
      </c>
      <c r="B39" s="42">
        <v>1998</v>
      </c>
      <c r="C39" s="146">
        <v>27543453</v>
      </c>
      <c r="D39" s="146">
        <v>91276877</v>
      </c>
      <c r="E39" s="165">
        <f>C39/D39</f>
        <v>0.30175717997012541</v>
      </c>
    </row>
    <row r="40" spans="1:5" x14ac:dyDescent="0.2">
      <c r="A40" s="42" t="s">
        <v>0</v>
      </c>
      <c r="B40" s="42">
        <v>1997</v>
      </c>
      <c r="C40" s="146">
        <v>22833864</v>
      </c>
      <c r="D40" s="146">
        <v>85474507</v>
      </c>
      <c r="E40" s="165">
        <f>C40/D40</f>
        <v>0.26714238901664561</v>
      </c>
    </row>
    <row r="41" spans="1:5" x14ac:dyDescent="0.2">
      <c r="A41" s="42" t="s">
        <v>0</v>
      </c>
      <c r="B41" s="42">
        <v>1996</v>
      </c>
      <c r="C41" s="146">
        <v>25105733</v>
      </c>
      <c r="D41" s="146">
        <v>85871296</v>
      </c>
      <c r="E41" s="165">
        <f>C41/D41</f>
        <v>0.29236466863152966</v>
      </c>
    </row>
    <row r="42" spans="1:5" x14ac:dyDescent="0.2">
      <c r="C42" s="146"/>
      <c r="D42" s="146"/>
      <c r="E42" s="165"/>
    </row>
    <row r="43" spans="1:5" x14ac:dyDescent="0.2">
      <c r="A43" s="42" t="s">
        <v>244</v>
      </c>
      <c r="C43" s="146">
        <f>SUM(C23:C41)</f>
        <v>286166567</v>
      </c>
      <c r="D43" s="146">
        <f>SUM(D23:D41)</f>
        <v>851621858</v>
      </c>
      <c r="E43" s="235">
        <f>C43/D43</f>
        <v>0.3360253900387794</v>
      </c>
    </row>
    <row r="44" spans="1:5" s="178" customFormat="1" ht="12" thickBot="1" x14ac:dyDescent="0.25">
      <c r="C44" s="171"/>
      <c r="D44" s="171"/>
      <c r="E44" s="236"/>
    </row>
    <row r="45" spans="1:5" s="40" customFormat="1" x14ac:dyDescent="0.2">
      <c r="C45" s="155"/>
      <c r="D45" s="155"/>
      <c r="E45" s="238"/>
    </row>
    <row r="46" spans="1:5" ht="12" thickBot="1" x14ac:dyDescent="0.25">
      <c r="A46" s="177" t="s">
        <v>246</v>
      </c>
      <c r="C46" s="146"/>
      <c r="D46" s="146"/>
      <c r="E46" s="165"/>
    </row>
    <row r="47" spans="1:5" ht="12" x14ac:dyDescent="0.2">
      <c r="C47" s="332" t="s">
        <v>199</v>
      </c>
      <c r="D47" s="334">
        <v>0.09</v>
      </c>
      <c r="E47" s="237"/>
    </row>
    <row r="48" spans="1:5" ht="13.5" customHeight="1" thickBot="1" x14ac:dyDescent="0.25">
      <c r="C48" s="333"/>
      <c r="D48" s="335"/>
      <c r="E48" s="237"/>
    </row>
    <row r="49" spans="1:15" x14ac:dyDescent="0.2">
      <c r="C49" s="146"/>
      <c r="D49" s="146"/>
      <c r="E49" s="165"/>
    </row>
    <row r="50" spans="1:15" x14ac:dyDescent="0.2">
      <c r="A50" s="42" t="s">
        <v>154</v>
      </c>
      <c r="B50" s="42" t="s">
        <v>7</v>
      </c>
      <c r="C50" s="42" t="s">
        <v>255</v>
      </c>
      <c r="D50" s="160" t="s">
        <v>287</v>
      </c>
      <c r="E50" s="271" t="s">
        <v>286</v>
      </c>
      <c r="F50" s="42" t="s">
        <v>254</v>
      </c>
      <c r="G50" s="42" t="s">
        <v>253</v>
      </c>
      <c r="H50" s="42" t="s">
        <v>252</v>
      </c>
      <c r="I50" s="271"/>
    </row>
    <row r="51" spans="1:15" x14ac:dyDescent="0.2">
      <c r="A51" s="42" t="s">
        <v>140</v>
      </c>
      <c r="B51" s="42">
        <v>1998</v>
      </c>
      <c r="C51" s="146">
        <v>9045313</v>
      </c>
      <c r="D51" s="240">
        <f>3485</f>
        <v>3485</v>
      </c>
      <c r="E51" s="272">
        <v>5.0199999999999996</v>
      </c>
      <c r="F51" s="240">
        <f>D51*E51/100</f>
        <v>174.94699999999997</v>
      </c>
      <c r="G51" s="146">
        <v>132363266</v>
      </c>
      <c r="H51" s="146">
        <f t="shared" ref="H51:H66" si="0">C51/F51</f>
        <v>51703.161528920195</v>
      </c>
      <c r="I51" s="272"/>
    </row>
    <row r="52" spans="1:15" x14ac:dyDescent="0.2">
      <c r="A52" s="42" t="s">
        <v>141</v>
      </c>
      <c r="B52" s="42">
        <v>1998</v>
      </c>
      <c r="C52" s="146">
        <v>2139439</v>
      </c>
      <c r="D52" s="240">
        <f>1490</f>
        <v>1490</v>
      </c>
      <c r="E52" s="272">
        <v>2.4300000000000002</v>
      </c>
      <c r="F52" s="240">
        <f t="shared" ref="F52:F65" si="1">D52*E52/100</f>
        <v>36.207000000000001</v>
      </c>
      <c r="G52" s="146">
        <v>71947343</v>
      </c>
      <c r="H52" s="146">
        <f t="shared" si="0"/>
        <v>59089.098793051067</v>
      </c>
      <c r="I52" s="272"/>
    </row>
    <row r="53" spans="1:15" ht="12" thickBot="1" x14ac:dyDescent="0.25">
      <c r="A53" s="42" t="s">
        <v>142</v>
      </c>
      <c r="B53" s="42">
        <v>1998</v>
      </c>
      <c r="C53" s="146">
        <v>7561583</v>
      </c>
      <c r="D53" s="240">
        <f>3058</f>
        <v>3058</v>
      </c>
      <c r="E53" s="272">
        <v>4.42</v>
      </c>
      <c r="F53" s="240">
        <f t="shared" si="1"/>
        <v>135.1636</v>
      </c>
      <c r="G53" s="146">
        <v>139190297</v>
      </c>
      <c r="H53" s="146">
        <f t="shared" si="0"/>
        <v>55943.930170548876</v>
      </c>
      <c r="I53" s="272"/>
    </row>
    <row r="54" spans="1:15" x14ac:dyDescent="0.2">
      <c r="A54" s="42" t="s">
        <v>143</v>
      </c>
      <c r="B54" s="42">
        <v>1998</v>
      </c>
      <c r="C54" s="146">
        <v>1182791</v>
      </c>
      <c r="D54" s="240">
        <f>690</f>
        <v>690</v>
      </c>
      <c r="E54" s="272">
        <v>3.78</v>
      </c>
      <c r="F54" s="240">
        <f t="shared" si="1"/>
        <v>26.081999999999997</v>
      </c>
      <c r="G54" s="146">
        <v>22469833</v>
      </c>
      <c r="H54" s="146">
        <f t="shared" si="0"/>
        <v>45348.937964880002</v>
      </c>
      <c r="I54" s="272"/>
      <c r="J54" s="290" t="s">
        <v>293</v>
      </c>
      <c r="K54" s="319"/>
      <c r="L54" s="319"/>
      <c r="M54" s="319"/>
      <c r="N54" s="319"/>
      <c r="O54" s="291"/>
    </row>
    <row r="55" spans="1:15" x14ac:dyDescent="0.2">
      <c r="A55" s="42" t="s">
        <v>144</v>
      </c>
      <c r="B55" s="42">
        <v>1998</v>
      </c>
      <c r="C55" s="146">
        <v>267088</v>
      </c>
      <c r="D55" s="240">
        <f>64</f>
        <v>64</v>
      </c>
      <c r="E55" s="272">
        <v>7.64</v>
      </c>
      <c r="F55" s="240">
        <f t="shared" si="1"/>
        <v>4.8895999999999997</v>
      </c>
      <c r="G55" s="146">
        <v>2608141</v>
      </c>
      <c r="H55" s="146">
        <f t="shared" si="0"/>
        <v>54623.69109947644</v>
      </c>
      <c r="I55" s="272"/>
      <c r="J55" s="250"/>
      <c r="K55" s="283" t="s">
        <v>288</v>
      </c>
      <c r="L55" s="283" t="s">
        <v>289</v>
      </c>
      <c r="M55" s="283" t="s">
        <v>290</v>
      </c>
      <c r="N55" s="283" t="s">
        <v>291</v>
      </c>
      <c r="O55" s="247" t="s">
        <v>292</v>
      </c>
    </row>
    <row r="56" spans="1:15" x14ac:dyDescent="0.2">
      <c r="A56" s="42" t="s">
        <v>145</v>
      </c>
      <c r="B56" s="42">
        <v>1998</v>
      </c>
      <c r="C56" s="146">
        <v>7234853</v>
      </c>
      <c r="D56" s="240">
        <f>3241</f>
        <v>3241</v>
      </c>
      <c r="E56" s="272">
        <v>4.79</v>
      </c>
      <c r="F56" s="240">
        <f t="shared" si="1"/>
        <v>155.2439</v>
      </c>
      <c r="G56" s="146">
        <v>122771098</v>
      </c>
      <c r="H56" s="146">
        <f t="shared" si="0"/>
        <v>46603.138674047739</v>
      </c>
      <c r="I56" s="272"/>
      <c r="J56" s="163" t="s">
        <v>231</v>
      </c>
      <c r="K56" s="155">
        <f>H58*F58*K60</f>
        <v>2492571.7799999998</v>
      </c>
      <c r="L56" s="155">
        <f>H59*F59*K60</f>
        <v>376764.3</v>
      </c>
      <c r="M56" s="155">
        <f>H61*F61*K60</f>
        <v>1627760.52</v>
      </c>
      <c r="N56" s="155">
        <f>H60*F60*K60</f>
        <v>1547056.26</v>
      </c>
      <c r="O56" s="166">
        <f>H66*F66*K60</f>
        <v>897155.27999999991</v>
      </c>
    </row>
    <row r="57" spans="1:15" x14ac:dyDescent="0.2">
      <c r="A57" s="42" t="s">
        <v>146</v>
      </c>
      <c r="B57" s="42">
        <v>1998</v>
      </c>
      <c r="C57" s="146">
        <v>264175</v>
      </c>
      <c r="D57" s="240">
        <f>80</f>
        <v>80</v>
      </c>
      <c r="E57" s="272">
        <v>6.82</v>
      </c>
      <c r="F57" s="240">
        <f t="shared" si="1"/>
        <v>5.4560000000000004</v>
      </c>
      <c r="G57" s="146">
        <v>2854329</v>
      </c>
      <c r="H57" s="146">
        <f t="shared" si="0"/>
        <v>48419.171554252192</v>
      </c>
      <c r="I57" s="272"/>
      <c r="J57" s="167" t="s">
        <v>294</v>
      </c>
      <c r="K57" s="168">
        <f>K56*K61</f>
        <v>249257.17799999999</v>
      </c>
      <c r="L57" s="168">
        <f>L56*K61</f>
        <v>37676.43</v>
      </c>
      <c r="M57" s="168">
        <f>M56*K61</f>
        <v>162776.05200000003</v>
      </c>
      <c r="N57" s="168">
        <f>N56*K61</f>
        <v>154705.62600000002</v>
      </c>
      <c r="O57" s="169">
        <f>O56*K61</f>
        <v>89715.527999999991</v>
      </c>
    </row>
    <row r="58" spans="1:15" ht="12" thickBot="1" x14ac:dyDescent="0.25">
      <c r="A58" s="177" t="s">
        <v>251</v>
      </c>
      <c r="C58" s="146">
        <f>SUM(C51:C57)</f>
        <v>27695242</v>
      </c>
      <c r="F58" s="271">
        <f>SUM(F51:F57)</f>
        <v>537.98909999999989</v>
      </c>
      <c r="G58" s="146"/>
      <c r="H58" s="239">
        <f t="shared" si="0"/>
        <v>51479.187961243093</v>
      </c>
      <c r="I58" s="272"/>
      <c r="J58" s="170" t="s">
        <v>232</v>
      </c>
      <c r="K58" s="171">
        <f>K56+K57</f>
        <v>2741828.9579999996</v>
      </c>
      <c r="L58" s="171">
        <f>L56+L57</f>
        <v>414440.73</v>
      </c>
      <c r="M58" s="171">
        <f>M56+M57</f>
        <v>1790536.5720000002</v>
      </c>
      <c r="N58" s="171">
        <f>N56+N57</f>
        <v>1701761.8859999999</v>
      </c>
      <c r="O58" s="172">
        <f>O56+O57</f>
        <v>986870.80799999996</v>
      </c>
    </row>
    <row r="59" spans="1:15" x14ac:dyDescent="0.2">
      <c r="A59" s="177" t="s">
        <v>162</v>
      </c>
      <c r="B59" s="42">
        <v>1998</v>
      </c>
      <c r="C59" s="146">
        <v>4186270</v>
      </c>
      <c r="D59" s="274">
        <f>5527</f>
        <v>5527</v>
      </c>
      <c r="E59" s="273">
        <v>1.27</v>
      </c>
      <c r="F59" s="240">
        <f t="shared" si="1"/>
        <v>70.192899999999995</v>
      </c>
      <c r="G59" s="146">
        <v>234792794</v>
      </c>
      <c r="H59" s="239">
        <f t="shared" si="0"/>
        <v>59639.50769949668</v>
      </c>
      <c r="I59" s="273"/>
      <c r="J59" s="177"/>
    </row>
    <row r="60" spans="1:15" x14ac:dyDescent="0.2">
      <c r="A60" s="177" t="s">
        <v>151</v>
      </c>
      <c r="B60" s="42">
        <v>1998</v>
      </c>
      <c r="C60" s="146">
        <v>17189514</v>
      </c>
      <c r="D60" s="274">
        <f>8981</f>
        <v>8981</v>
      </c>
      <c r="E60" s="273">
        <v>3.15</v>
      </c>
      <c r="F60" s="240">
        <f t="shared" si="1"/>
        <v>282.9015</v>
      </c>
      <c r="G60" s="146">
        <v>427665010</v>
      </c>
      <c r="H60" s="239">
        <f t="shared" si="0"/>
        <v>60761.480585999016</v>
      </c>
      <c r="I60" s="273"/>
      <c r="J60" s="174" t="s">
        <v>250</v>
      </c>
      <c r="K60" s="242">
        <f>D47</f>
        <v>0.09</v>
      </c>
    </row>
    <row r="61" spans="1:15" x14ac:dyDescent="0.2">
      <c r="A61" s="177" t="s">
        <v>161</v>
      </c>
      <c r="B61" s="42">
        <v>1998</v>
      </c>
      <c r="C61" s="146">
        <v>18086228</v>
      </c>
      <c r="D61" s="274">
        <f>8388</f>
        <v>8388</v>
      </c>
      <c r="E61" s="273">
        <v>3.31</v>
      </c>
      <c r="F61" s="240">
        <f t="shared" si="1"/>
        <v>277.64279999999997</v>
      </c>
      <c r="G61" s="146">
        <v>449860437</v>
      </c>
      <c r="H61" s="239">
        <f t="shared" si="0"/>
        <v>65142.074636907571</v>
      </c>
      <c r="I61" s="273"/>
      <c r="J61" s="157" t="s">
        <v>249</v>
      </c>
      <c r="K61" s="241">
        <v>0.1</v>
      </c>
    </row>
    <row r="62" spans="1:15" x14ac:dyDescent="0.2">
      <c r="A62" s="42" t="s">
        <v>147</v>
      </c>
      <c r="B62" s="42">
        <v>1998</v>
      </c>
      <c r="C62" s="146">
        <v>3970509</v>
      </c>
      <c r="D62" s="240">
        <f>1778</f>
        <v>1778</v>
      </c>
      <c r="E62" s="272">
        <v>2.75</v>
      </c>
      <c r="F62" s="240">
        <f t="shared" si="1"/>
        <v>48.895000000000003</v>
      </c>
      <c r="G62" s="146">
        <v>117998267</v>
      </c>
      <c r="H62" s="146">
        <f t="shared" si="0"/>
        <v>81204.806217404635</v>
      </c>
      <c r="I62" s="272"/>
    </row>
    <row r="63" spans="1:15" x14ac:dyDescent="0.2">
      <c r="A63" s="42" t="s">
        <v>148</v>
      </c>
      <c r="B63" s="42">
        <v>1998</v>
      </c>
      <c r="C63" s="146">
        <v>3430114</v>
      </c>
      <c r="D63" s="240">
        <f>1907</f>
        <v>1907</v>
      </c>
      <c r="E63" s="272">
        <v>3.23</v>
      </c>
      <c r="F63" s="240">
        <f t="shared" si="1"/>
        <v>61.5961</v>
      </c>
      <c r="G63" s="146">
        <v>88834805</v>
      </c>
      <c r="H63" s="146">
        <f t="shared" si="0"/>
        <v>55687.194481468796</v>
      </c>
      <c r="I63" s="272"/>
    </row>
    <row r="64" spans="1:15" x14ac:dyDescent="0.2">
      <c r="A64" s="42" t="s">
        <v>149</v>
      </c>
      <c r="B64" s="42">
        <v>1998</v>
      </c>
      <c r="C64" s="146">
        <v>1215232</v>
      </c>
      <c r="D64" s="240">
        <f>866</f>
        <v>866</v>
      </c>
      <c r="E64" s="272">
        <v>2.36</v>
      </c>
      <c r="F64" s="240">
        <f t="shared" si="1"/>
        <v>20.4376</v>
      </c>
      <c r="G64" s="146">
        <v>47010535</v>
      </c>
      <c r="H64" s="146">
        <f t="shared" si="0"/>
        <v>59460.602027635337</v>
      </c>
      <c r="I64" s="272"/>
    </row>
    <row r="65" spans="1:8" x14ac:dyDescent="0.2">
      <c r="A65" s="42" t="s">
        <v>150</v>
      </c>
      <c r="B65" s="42">
        <v>1998</v>
      </c>
      <c r="C65" s="146">
        <v>1352537</v>
      </c>
      <c r="D65" s="240">
        <f>971</f>
        <v>971</v>
      </c>
      <c r="E65" s="272">
        <v>1.6</v>
      </c>
      <c r="F65" s="240">
        <f t="shared" si="1"/>
        <v>15.536000000000001</v>
      </c>
      <c r="G65" s="146">
        <v>70522183</v>
      </c>
      <c r="H65" s="146">
        <f t="shared" si="0"/>
        <v>87058.251802265702</v>
      </c>
    </row>
    <row r="66" spans="1:8" x14ac:dyDescent="0.2">
      <c r="A66" s="177" t="s">
        <v>248</v>
      </c>
      <c r="C66" s="146">
        <f>SUM(C62:C65)</f>
        <v>9968392</v>
      </c>
      <c r="D66" s="146">
        <f>SUM(D62:D65)</f>
        <v>5522</v>
      </c>
      <c r="F66" s="240">
        <f>SUM(F62:F65)</f>
        <v>146.46469999999999</v>
      </c>
      <c r="H66" s="239">
        <f t="shared" si="0"/>
        <v>68060.030847023212</v>
      </c>
    </row>
    <row r="67" spans="1:8" x14ac:dyDescent="0.2">
      <c r="A67" s="177" t="s">
        <v>285</v>
      </c>
      <c r="E67" s="177"/>
      <c r="F67" s="271">
        <f>F58+F59+F60+F61+F66</f>
        <v>1315.1909999999998</v>
      </c>
    </row>
    <row r="68" spans="1:8" x14ac:dyDescent="0.2">
      <c r="G68" s="177"/>
      <c r="H68" s="177"/>
    </row>
    <row r="69" spans="1:8" x14ac:dyDescent="0.2">
      <c r="H69" s="177"/>
    </row>
    <row r="70" spans="1:8" x14ac:dyDescent="0.2">
      <c r="A70" s="42" t="s">
        <v>140</v>
      </c>
      <c r="B70" s="42">
        <v>1997</v>
      </c>
      <c r="C70" s="42">
        <v>8796175</v>
      </c>
      <c r="E70" s="42">
        <v>118277743</v>
      </c>
    </row>
    <row r="71" spans="1:8" x14ac:dyDescent="0.2">
      <c r="A71" s="42" t="s">
        <v>141</v>
      </c>
      <c r="B71" s="42">
        <v>1997</v>
      </c>
      <c r="C71" s="42">
        <v>2130656</v>
      </c>
      <c r="E71" s="42">
        <v>71437942</v>
      </c>
    </row>
    <row r="72" spans="1:8" x14ac:dyDescent="0.2">
      <c r="A72" s="42" t="s">
        <v>142</v>
      </c>
      <c r="B72" s="42">
        <v>1997</v>
      </c>
      <c r="C72" s="42">
        <v>7183550</v>
      </c>
      <c r="E72" s="42">
        <v>140181961</v>
      </c>
    </row>
    <row r="73" spans="1:8" x14ac:dyDescent="0.2">
      <c r="A73" s="42" t="s">
        <v>143</v>
      </c>
      <c r="B73" s="42">
        <v>1997</v>
      </c>
      <c r="C73" s="42">
        <v>1026397</v>
      </c>
      <c r="E73" s="42">
        <v>24729389</v>
      </c>
    </row>
    <row r="74" spans="1:8" x14ac:dyDescent="0.2">
      <c r="A74" s="42" t="s">
        <v>144</v>
      </c>
      <c r="B74" s="42">
        <v>1997</v>
      </c>
      <c r="C74" s="42">
        <v>301169</v>
      </c>
      <c r="E74" s="42">
        <v>2684382</v>
      </c>
    </row>
    <row r="75" spans="1:8" x14ac:dyDescent="0.2">
      <c r="A75" s="42" t="s">
        <v>145</v>
      </c>
      <c r="B75" s="42">
        <v>1997</v>
      </c>
      <c r="C75" s="42">
        <v>7245623</v>
      </c>
      <c r="E75" s="42">
        <v>121200898</v>
      </c>
    </row>
    <row r="76" spans="1:8" x14ac:dyDescent="0.2">
      <c r="A76" s="42" t="s">
        <v>146</v>
      </c>
      <c r="B76" s="42">
        <v>1997</v>
      </c>
      <c r="C76" s="42">
        <v>275877</v>
      </c>
      <c r="E76" s="42">
        <v>3026751</v>
      </c>
    </row>
    <row r="77" spans="1:8" x14ac:dyDescent="0.2">
      <c r="A77" s="42" t="s">
        <v>162</v>
      </c>
      <c r="B77" s="42">
        <v>1997</v>
      </c>
      <c r="C77" s="42">
        <v>3967341</v>
      </c>
      <c r="E77" s="42">
        <v>222813003</v>
      </c>
    </row>
    <row r="78" spans="1:8" x14ac:dyDescent="0.2">
      <c r="A78" s="42" t="s">
        <v>151</v>
      </c>
      <c r="B78" s="42">
        <v>1997</v>
      </c>
      <c r="C78" s="42">
        <v>14255957</v>
      </c>
      <c r="E78" s="42">
        <v>420570801</v>
      </c>
    </row>
    <row r="79" spans="1:8" x14ac:dyDescent="0.2">
      <c r="A79" s="42" t="s">
        <v>161</v>
      </c>
      <c r="B79" s="42">
        <v>1997</v>
      </c>
      <c r="C79" s="42">
        <v>15837118</v>
      </c>
      <c r="E79" s="42">
        <v>403043410</v>
      </c>
    </row>
    <row r="80" spans="1:8" x14ac:dyDescent="0.2">
      <c r="A80" s="42" t="s">
        <v>147</v>
      </c>
      <c r="B80" s="42">
        <v>1997</v>
      </c>
      <c r="C80" s="42">
        <v>5566038</v>
      </c>
      <c r="E80" s="42">
        <v>86573096</v>
      </c>
    </row>
    <row r="81" spans="1:5" x14ac:dyDescent="0.2">
      <c r="A81" s="42" t="s">
        <v>148</v>
      </c>
      <c r="B81" s="42">
        <v>1997</v>
      </c>
      <c r="C81" s="42">
        <v>6712621</v>
      </c>
      <c r="E81" s="42">
        <v>131743506</v>
      </c>
    </row>
    <row r="82" spans="1:5" x14ac:dyDescent="0.2">
      <c r="A82" s="42" t="s">
        <v>149</v>
      </c>
      <c r="B82" s="42">
        <v>1997</v>
      </c>
      <c r="C82" s="42">
        <v>1704174</v>
      </c>
      <c r="E82" s="42">
        <v>22814882</v>
      </c>
    </row>
    <row r="83" spans="1:5" x14ac:dyDescent="0.2">
      <c r="A83" s="42" t="s">
        <v>150</v>
      </c>
      <c r="B83" s="42">
        <v>1997</v>
      </c>
      <c r="C83" s="42">
        <v>1470541</v>
      </c>
      <c r="E83" s="42">
        <v>48926837</v>
      </c>
    </row>
    <row r="84" spans="1:5" x14ac:dyDescent="0.2">
      <c r="A84" s="42" t="s">
        <v>140</v>
      </c>
      <c r="B84" s="42">
        <v>1996</v>
      </c>
      <c r="C84" s="42">
        <v>10052540</v>
      </c>
      <c r="E84" s="42">
        <v>127620876</v>
      </c>
    </row>
    <row r="85" spans="1:5" x14ac:dyDescent="0.2">
      <c r="A85" s="42" t="s">
        <v>141</v>
      </c>
      <c r="B85" s="42">
        <v>1996</v>
      </c>
      <c r="C85" s="42">
        <v>3337837</v>
      </c>
      <c r="E85" s="42">
        <v>74003053</v>
      </c>
    </row>
    <row r="86" spans="1:5" x14ac:dyDescent="0.2">
      <c r="A86" s="42" t="s">
        <v>142</v>
      </c>
      <c r="B86" s="42">
        <v>1996</v>
      </c>
      <c r="C86" s="42">
        <v>7747155</v>
      </c>
      <c r="E86" s="42">
        <v>126379204</v>
      </c>
    </row>
    <row r="87" spans="1:5" x14ac:dyDescent="0.2">
      <c r="A87" s="42" t="s">
        <v>143</v>
      </c>
      <c r="B87" s="42">
        <v>1996</v>
      </c>
      <c r="C87" s="42">
        <v>1097187</v>
      </c>
      <c r="E87" s="42">
        <v>26362900</v>
      </c>
    </row>
    <row r="88" spans="1:5" x14ac:dyDescent="0.2">
      <c r="A88" s="42" t="s">
        <v>144</v>
      </c>
      <c r="B88" s="42">
        <v>1996</v>
      </c>
      <c r="C88" s="42">
        <v>252259</v>
      </c>
      <c r="E88" s="42">
        <v>3255794</v>
      </c>
    </row>
    <row r="89" spans="1:5" x14ac:dyDescent="0.2">
      <c r="A89" s="42" t="s">
        <v>145</v>
      </c>
      <c r="B89" s="42">
        <v>1996</v>
      </c>
      <c r="C89" s="42">
        <v>7257659</v>
      </c>
      <c r="E89" s="42">
        <v>132938891</v>
      </c>
    </row>
    <row r="90" spans="1:5" x14ac:dyDescent="0.2">
      <c r="A90" s="42" t="s">
        <v>146</v>
      </c>
      <c r="B90" s="42">
        <v>1996</v>
      </c>
      <c r="C90" s="42">
        <v>149460</v>
      </c>
      <c r="E90" s="42">
        <v>3260110</v>
      </c>
    </row>
    <row r="91" spans="1:5" x14ac:dyDescent="0.2">
      <c r="A91" s="42" t="s">
        <v>162</v>
      </c>
      <c r="B91" s="42">
        <v>1996</v>
      </c>
      <c r="C91" s="42">
        <v>3741362</v>
      </c>
      <c r="E91" s="42">
        <v>231212760</v>
      </c>
    </row>
    <row r="92" spans="1:5" x14ac:dyDescent="0.2">
      <c r="A92" s="42" t="s">
        <v>151</v>
      </c>
      <c r="B92" s="42">
        <v>1996</v>
      </c>
      <c r="C92" s="42">
        <v>12287820</v>
      </c>
      <c r="E92" s="42">
        <v>454827274</v>
      </c>
    </row>
    <row r="93" spans="1:5" x14ac:dyDescent="0.2">
      <c r="A93" s="42" t="s">
        <v>161</v>
      </c>
      <c r="B93" s="42">
        <v>1996</v>
      </c>
      <c r="C93" s="42">
        <v>14016090</v>
      </c>
      <c r="E93" s="42">
        <v>421462026</v>
      </c>
    </row>
    <row r="94" spans="1:5" x14ac:dyDescent="0.2">
      <c r="A94" s="42" t="s">
        <v>147</v>
      </c>
      <c r="B94" s="42">
        <v>1996</v>
      </c>
      <c r="C94" s="42">
        <v>6459797</v>
      </c>
      <c r="E94" s="42">
        <v>94838524</v>
      </c>
    </row>
    <row r="95" spans="1:5" x14ac:dyDescent="0.2">
      <c r="A95" s="42" t="s">
        <v>148</v>
      </c>
      <c r="B95" s="42">
        <v>1996</v>
      </c>
      <c r="C95" s="42">
        <v>7000460</v>
      </c>
      <c r="E95" s="42">
        <v>138261433</v>
      </c>
    </row>
    <row r="96" spans="1:5" x14ac:dyDescent="0.2">
      <c r="A96" s="42" t="s">
        <v>149</v>
      </c>
      <c r="B96" s="42">
        <v>1996</v>
      </c>
      <c r="C96" s="42">
        <v>1635914</v>
      </c>
      <c r="E96" s="42">
        <v>23205691</v>
      </c>
    </row>
    <row r="97" spans="1:13" x14ac:dyDescent="0.2">
      <c r="A97" s="42" t="s">
        <v>150</v>
      </c>
      <c r="B97" s="42">
        <v>1996</v>
      </c>
      <c r="C97" s="42">
        <v>2011443</v>
      </c>
      <c r="E97" s="42">
        <v>54391830</v>
      </c>
    </row>
    <row r="99" spans="1:13" ht="12" thickBot="1" x14ac:dyDescent="0.25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</row>
    <row r="101" spans="1:13" x14ac:dyDescent="0.2">
      <c r="A101" s="42" t="s">
        <v>247</v>
      </c>
      <c r="I101" s="42" t="s">
        <v>121</v>
      </c>
    </row>
    <row r="102" spans="1:13" s="178" customFormat="1" ht="12" thickBo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</row>
    <row r="103" spans="1:13" x14ac:dyDescent="0.2">
      <c r="B103" s="179" t="s">
        <v>123</v>
      </c>
      <c r="C103" s="179" t="s">
        <v>124</v>
      </c>
      <c r="D103" s="179" t="s">
        <v>125</v>
      </c>
      <c r="E103" s="179"/>
      <c r="F103" s="179" t="s">
        <v>82</v>
      </c>
      <c r="G103" s="179" t="s">
        <v>83</v>
      </c>
      <c r="J103" s="42" t="s">
        <v>123</v>
      </c>
      <c r="K103" s="42" t="s">
        <v>124</v>
      </c>
      <c r="L103" s="42" t="s">
        <v>125</v>
      </c>
    </row>
    <row r="104" spans="1:13" x14ac:dyDescent="0.2">
      <c r="A104" s="42">
        <v>1992</v>
      </c>
      <c r="B104" s="42">
        <v>1534</v>
      </c>
      <c r="C104" s="42">
        <v>639</v>
      </c>
      <c r="D104" s="42">
        <v>1923</v>
      </c>
      <c r="F104" s="42">
        <v>1551</v>
      </c>
      <c r="G104" s="42">
        <v>441</v>
      </c>
      <c r="I104" s="42">
        <v>1992</v>
      </c>
      <c r="J104" s="146">
        <v>484095791</v>
      </c>
      <c r="K104" s="146">
        <v>773261839</v>
      </c>
      <c r="L104" s="146">
        <v>683774853</v>
      </c>
    </row>
    <row r="105" spans="1:13" x14ac:dyDescent="0.2">
      <c r="A105" s="42">
        <v>1993</v>
      </c>
      <c r="B105" s="42">
        <v>1184</v>
      </c>
      <c r="C105" s="42">
        <v>610</v>
      </c>
      <c r="D105" s="42">
        <v>1838</v>
      </c>
      <c r="F105" s="42">
        <v>1165</v>
      </c>
      <c r="G105" s="42">
        <v>358</v>
      </c>
      <c r="I105" s="42">
        <v>1993</v>
      </c>
      <c r="J105" s="146">
        <v>428764121</v>
      </c>
      <c r="K105" s="146">
        <v>440270698</v>
      </c>
      <c r="L105" s="146">
        <v>1026951052</v>
      </c>
    </row>
    <row r="106" spans="1:13" x14ac:dyDescent="0.2">
      <c r="A106" s="42">
        <v>1994</v>
      </c>
      <c r="B106" s="42">
        <v>1107</v>
      </c>
      <c r="C106" s="42">
        <v>589</v>
      </c>
      <c r="D106" s="42">
        <v>1734</v>
      </c>
      <c r="F106" s="42">
        <v>1229</v>
      </c>
      <c r="G106" s="42">
        <v>375</v>
      </c>
      <c r="I106" s="42">
        <v>1994</v>
      </c>
      <c r="J106" s="146">
        <v>384771104</v>
      </c>
      <c r="K106" s="146">
        <v>352193770</v>
      </c>
      <c r="L106" s="146">
        <v>488753661</v>
      </c>
    </row>
    <row r="107" spans="1:13" x14ac:dyDescent="0.2">
      <c r="A107" s="42">
        <v>1995</v>
      </c>
      <c r="B107" s="42">
        <v>967</v>
      </c>
      <c r="C107" s="42">
        <v>573</v>
      </c>
      <c r="D107" s="42">
        <v>1541</v>
      </c>
      <c r="F107" s="42">
        <v>1188</v>
      </c>
      <c r="G107" s="42">
        <v>251</v>
      </c>
      <c r="I107" s="42">
        <v>1995</v>
      </c>
      <c r="J107" s="146">
        <v>369718664</v>
      </c>
      <c r="K107" s="146">
        <v>158314714</v>
      </c>
      <c r="L107" s="146">
        <v>501084776</v>
      </c>
    </row>
    <row r="109" spans="1:13" x14ac:dyDescent="0.2">
      <c r="A109" s="42" t="s">
        <v>130</v>
      </c>
      <c r="B109" s="147">
        <f>(B107/B104)^0.333333333-1</f>
        <v>-0.14256664979459499</v>
      </c>
      <c r="C109" s="147">
        <f>(C107/C104)^0.333333333-1</f>
        <v>-3.5687222669181451E-2</v>
      </c>
      <c r="D109" s="147">
        <f>(D107/D104)^0.333333333-1</f>
        <v>-7.115955429176779E-2</v>
      </c>
      <c r="E109" s="147"/>
      <c r="F109" s="147">
        <f>(F107/F104)^0.333333333-1</f>
        <v>-8.5041180742855382E-2</v>
      </c>
      <c r="G109" s="147">
        <f>(G107/G104)^0.333333333-1</f>
        <v>-0.17127257575558674</v>
      </c>
      <c r="I109" s="148" t="s">
        <v>132</v>
      </c>
      <c r="J109" s="42" t="s">
        <v>123</v>
      </c>
      <c r="K109" s="42" t="s">
        <v>124</v>
      </c>
      <c r="L109" s="42" t="s">
        <v>125</v>
      </c>
    </row>
    <row r="110" spans="1:13" x14ac:dyDescent="0.2">
      <c r="B110" s="147"/>
      <c r="C110" s="149"/>
      <c r="D110" s="149"/>
      <c r="E110" s="149"/>
      <c r="I110" s="42">
        <v>1992</v>
      </c>
      <c r="J110" s="146">
        <f t="shared" ref="J110:L113" si="2">J104/B104</f>
        <v>315577.43872229464</v>
      </c>
      <c r="K110" s="146">
        <f t="shared" si="2"/>
        <v>1210112.4241001564</v>
      </c>
      <c r="L110" s="146">
        <f t="shared" si="2"/>
        <v>355577.14664586581</v>
      </c>
    </row>
    <row r="111" spans="1:13" x14ac:dyDescent="0.2">
      <c r="A111" s="42" t="s">
        <v>131</v>
      </c>
      <c r="B111" s="149"/>
      <c r="C111" s="149"/>
      <c r="D111" s="149"/>
      <c r="E111" s="149"/>
      <c r="I111" s="42">
        <v>1993</v>
      </c>
      <c r="J111" s="146">
        <f t="shared" si="2"/>
        <v>362131.85895270272</v>
      </c>
      <c r="K111" s="146">
        <f t="shared" si="2"/>
        <v>721755.24262295081</v>
      </c>
      <c r="L111" s="146">
        <f t="shared" si="2"/>
        <v>558732.89009793254</v>
      </c>
    </row>
    <row r="112" spans="1:13" x14ac:dyDescent="0.2">
      <c r="A112" s="42">
        <v>1993</v>
      </c>
      <c r="B112" s="147">
        <f t="shared" ref="B112:D114" si="3">(B104-B105)/B104</f>
        <v>0.22816166883963493</v>
      </c>
      <c r="C112" s="147">
        <f t="shared" si="3"/>
        <v>4.5383411580594682E-2</v>
      </c>
      <c r="D112" s="147">
        <f t="shared" si="3"/>
        <v>4.4201768070722826E-2</v>
      </c>
      <c r="E112" s="147"/>
      <c r="F112" s="147">
        <f t="shared" ref="F112:G114" si="4">(F104-F105)/F104</f>
        <v>0.24887169568020631</v>
      </c>
      <c r="G112" s="147">
        <f t="shared" si="4"/>
        <v>0.18820861678004536</v>
      </c>
      <c r="I112" s="42">
        <v>1994</v>
      </c>
      <c r="J112" s="146">
        <f t="shared" si="2"/>
        <v>347580.03974706412</v>
      </c>
      <c r="K112" s="146">
        <f t="shared" si="2"/>
        <v>597952.07130730047</v>
      </c>
      <c r="L112" s="146">
        <f t="shared" si="2"/>
        <v>281864.85640138411</v>
      </c>
    </row>
    <row r="113" spans="1:12" x14ac:dyDescent="0.2">
      <c r="A113" s="42">
        <v>1994</v>
      </c>
      <c r="B113" s="147">
        <f t="shared" si="3"/>
        <v>6.5033783783783786E-2</v>
      </c>
      <c r="C113" s="147">
        <f t="shared" si="3"/>
        <v>3.4426229508196723E-2</v>
      </c>
      <c r="D113" s="147">
        <f t="shared" si="3"/>
        <v>5.6583242655059846E-2</v>
      </c>
      <c r="E113" s="147"/>
      <c r="F113" s="147">
        <f t="shared" si="4"/>
        <v>-5.4935622317596564E-2</v>
      </c>
      <c r="G113" s="147">
        <f t="shared" si="4"/>
        <v>-4.7486033519553071E-2</v>
      </c>
      <c r="I113" s="42">
        <v>1995</v>
      </c>
      <c r="J113" s="146">
        <f t="shared" si="2"/>
        <v>382335.7435367115</v>
      </c>
      <c r="K113" s="146">
        <f t="shared" si="2"/>
        <v>276290.94938917976</v>
      </c>
      <c r="L113" s="146">
        <f t="shared" si="2"/>
        <v>325168.57624918886</v>
      </c>
    </row>
    <row r="114" spans="1:12" x14ac:dyDescent="0.2">
      <c r="A114" s="42">
        <v>1995</v>
      </c>
      <c r="B114" s="147">
        <f t="shared" si="3"/>
        <v>0.12646793134598014</v>
      </c>
      <c r="C114" s="147">
        <f t="shared" si="3"/>
        <v>2.7164685908319185E-2</v>
      </c>
      <c r="D114" s="147">
        <f t="shared" si="3"/>
        <v>0.11130334486735871</v>
      </c>
      <c r="E114" s="147"/>
      <c r="F114" s="147">
        <f t="shared" si="4"/>
        <v>3.3360455655004069E-2</v>
      </c>
      <c r="G114" s="147">
        <f t="shared" si="4"/>
        <v>0.33066666666666666</v>
      </c>
      <c r="J114" s="146"/>
      <c r="K114" s="146"/>
      <c r="L114" s="146"/>
    </row>
    <row r="115" spans="1:12" x14ac:dyDescent="0.2">
      <c r="B115" s="147"/>
      <c r="C115" s="147"/>
      <c r="D115" s="147"/>
      <c r="E115" s="147"/>
      <c r="F115" s="147"/>
      <c r="G115" s="147"/>
      <c r="J115" s="146"/>
      <c r="K115" s="146"/>
      <c r="L115" s="146"/>
    </row>
    <row r="116" spans="1:12" x14ac:dyDescent="0.2">
      <c r="A116" s="42" t="s">
        <v>133</v>
      </c>
    </row>
    <row r="117" spans="1:12" x14ac:dyDescent="0.2">
      <c r="A117" s="42">
        <v>1995</v>
      </c>
      <c r="B117" s="42">
        <v>967</v>
      </c>
      <c r="C117" s="42">
        <v>573</v>
      </c>
      <c r="D117" s="42">
        <v>1541</v>
      </c>
      <c r="F117" s="42">
        <v>1188</v>
      </c>
      <c r="G117" s="42">
        <v>251</v>
      </c>
    </row>
    <row r="118" spans="1:12" x14ac:dyDescent="0.2">
      <c r="A118" s="42">
        <v>1996</v>
      </c>
      <c r="B118" s="150">
        <f>B117*(1+$B$109)</f>
        <v>829.13804964862663</v>
      </c>
      <c r="C118" s="150">
        <f>C117*(1+$C$109)</f>
        <v>552.55122141055904</v>
      </c>
      <c r="D118" s="150">
        <f>D117*(1+$D$109)</f>
        <v>1431.3431268363859</v>
      </c>
      <c r="E118" s="150"/>
      <c r="F118" s="150">
        <f t="shared" ref="F118:G120" si="5">F117*(1+$D$109)</f>
        <v>1103.46244950138</v>
      </c>
      <c r="G118" s="150">
        <f t="shared" si="5"/>
        <v>233.13895187276628</v>
      </c>
    </row>
    <row r="119" spans="1:12" x14ac:dyDescent="0.2">
      <c r="A119" s="42">
        <v>1997</v>
      </c>
      <c r="B119" s="150">
        <f>B118*(1+$B$109)</f>
        <v>710.93061569299732</v>
      </c>
      <c r="C119" s="150">
        <f>C118*(1+$C$109)</f>
        <v>532.83220293595218</v>
      </c>
      <c r="D119" s="150">
        <f>D118*(1+$D$109)</f>
        <v>1329.4893878921234</v>
      </c>
      <c r="E119" s="150"/>
      <c r="F119" s="150">
        <f t="shared" si="5"/>
        <v>1024.9405534171594</v>
      </c>
      <c r="G119" s="150">
        <f t="shared" si="5"/>
        <v>216.54888796945033</v>
      </c>
    </row>
    <row r="120" spans="1:12" x14ac:dyDescent="0.2">
      <c r="A120" s="42">
        <v>1998</v>
      </c>
      <c r="B120" s="150">
        <f>B119*(1+$B$109)</f>
        <v>609.57561957723794</v>
      </c>
      <c r="C120" s="150">
        <f>C119*(1+$C$109)</f>
        <v>513.81690146446635</v>
      </c>
      <c r="D120" s="150">
        <f>D119*(1+$D$109)</f>
        <v>1234.8835156140847</v>
      </c>
      <c r="E120" s="150"/>
      <c r="F120" s="150">
        <f t="shared" si="5"/>
        <v>952.00624046043652</v>
      </c>
      <c r="G120" s="150">
        <f t="shared" si="5"/>
        <v>201.13936561916628</v>
      </c>
    </row>
  </sheetData>
  <mergeCells count="8">
    <mergeCell ref="H30:I30"/>
    <mergeCell ref="C47:C48"/>
    <mergeCell ref="D47:D48"/>
    <mergeCell ref="J54:O54"/>
    <mergeCell ref="G5:K5"/>
    <mergeCell ref="H13:J13"/>
    <mergeCell ref="H18:J18"/>
    <mergeCell ref="H23:J23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A30" sqref="A30"/>
    </sheetView>
  </sheetViews>
  <sheetFormatPr defaultRowHeight="12.75" x14ac:dyDescent="0.2"/>
  <cols>
    <col min="1" max="1" width="33.140625" style="17" customWidth="1"/>
    <col min="2" max="2" width="6.5703125" style="36" customWidth="1"/>
    <col min="3" max="3" width="10.7109375" style="17" customWidth="1"/>
    <col min="4" max="5" width="10.140625" style="17" customWidth="1"/>
    <col min="6" max="6" width="18.5703125" style="17" customWidth="1"/>
    <col min="7" max="7" width="21.7109375" style="17" customWidth="1"/>
    <col min="8" max="16384" width="9.140625" style="17"/>
  </cols>
  <sheetData>
    <row r="1" spans="1:7" x14ac:dyDescent="0.2">
      <c r="A1" s="17" t="s">
        <v>6</v>
      </c>
      <c r="B1" s="36" t="s">
        <v>7</v>
      </c>
      <c r="C1" s="17" t="s">
        <v>30</v>
      </c>
      <c r="D1" s="17" t="s">
        <v>31</v>
      </c>
      <c r="E1" s="17" t="s">
        <v>32</v>
      </c>
      <c r="F1" s="17" t="s">
        <v>136</v>
      </c>
      <c r="G1" s="18" t="s">
        <v>137</v>
      </c>
    </row>
    <row r="2" spans="1:7" x14ac:dyDescent="0.2">
      <c r="A2" s="17" t="s">
        <v>0</v>
      </c>
      <c r="B2" s="36">
        <v>1988</v>
      </c>
      <c r="C2" s="17">
        <v>769965</v>
      </c>
      <c r="D2" s="17">
        <v>0</v>
      </c>
      <c r="E2" s="17">
        <v>2540131</v>
      </c>
      <c r="F2" s="17">
        <v>0</v>
      </c>
      <c r="G2" s="17">
        <f>C2+D2+E2-F2</f>
        <v>3310096</v>
      </c>
    </row>
    <row r="3" spans="1:7" x14ac:dyDescent="0.2">
      <c r="A3" s="17" t="s">
        <v>0</v>
      </c>
      <c r="B3" s="36">
        <v>1989</v>
      </c>
      <c r="C3" s="17">
        <v>967058</v>
      </c>
      <c r="D3" s="17">
        <v>0</v>
      </c>
      <c r="E3" s="17">
        <v>2882803</v>
      </c>
      <c r="F3" s="17">
        <v>15383</v>
      </c>
      <c r="G3" s="17">
        <f t="shared" ref="G3:G63" si="0">C3+D3+E3-F3</f>
        <v>3834478</v>
      </c>
    </row>
    <row r="4" spans="1:7" x14ac:dyDescent="0.2">
      <c r="A4" s="17" t="s">
        <v>0</v>
      </c>
      <c r="B4" s="36">
        <v>1991</v>
      </c>
      <c r="C4" s="17">
        <v>688464</v>
      </c>
      <c r="D4" s="17">
        <v>0</v>
      </c>
      <c r="E4" s="17">
        <v>2869799</v>
      </c>
      <c r="F4" s="17">
        <v>0</v>
      </c>
      <c r="G4" s="17">
        <f t="shared" si="0"/>
        <v>3558263</v>
      </c>
    </row>
    <row r="5" spans="1:7" x14ac:dyDescent="0.2">
      <c r="A5" s="17" t="s">
        <v>0</v>
      </c>
      <c r="B5" s="36">
        <v>1992</v>
      </c>
      <c r="C5" s="17">
        <v>1605312</v>
      </c>
      <c r="D5" s="17">
        <v>0</v>
      </c>
      <c r="E5" s="17">
        <v>3704384</v>
      </c>
      <c r="F5" s="17">
        <v>968000</v>
      </c>
      <c r="G5" s="17">
        <f t="shared" si="0"/>
        <v>4341696</v>
      </c>
    </row>
    <row r="6" spans="1:7" x14ac:dyDescent="0.2">
      <c r="A6" s="17" t="s">
        <v>0</v>
      </c>
      <c r="B6" s="36">
        <v>1993</v>
      </c>
      <c r="C6" s="17">
        <v>3566505</v>
      </c>
      <c r="D6" s="17">
        <v>0</v>
      </c>
      <c r="E6" s="17">
        <v>6927349</v>
      </c>
      <c r="F6" s="17">
        <v>600000</v>
      </c>
      <c r="G6" s="17">
        <f t="shared" si="0"/>
        <v>9893854</v>
      </c>
    </row>
    <row r="7" spans="1:7" x14ac:dyDescent="0.2">
      <c r="A7" s="17" t="s">
        <v>0</v>
      </c>
      <c r="B7" s="36">
        <v>1994</v>
      </c>
      <c r="C7" s="17">
        <v>2263780</v>
      </c>
      <c r="D7" s="17">
        <v>0</v>
      </c>
      <c r="E7" s="17">
        <v>7580232</v>
      </c>
      <c r="F7" s="17">
        <v>500000</v>
      </c>
      <c r="G7" s="17">
        <f t="shared" si="0"/>
        <v>9344012</v>
      </c>
    </row>
    <row r="8" spans="1:7" x14ac:dyDescent="0.2">
      <c r="A8" s="17" t="s">
        <v>0</v>
      </c>
      <c r="B8" s="36">
        <v>1995</v>
      </c>
      <c r="C8" s="17">
        <v>1312777</v>
      </c>
      <c r="D8" s="17">
        <v>0</v>
      </c>
      <c r="E8" s="17">
        <v>5743723</v>
      </c>
      <c r="F8" s="17">
        <v>0</v>
      </c>
      <c r="G8" s="17">
        <f t="shared" si="0"/>
        <v>7056500</v>
      </c>
    </row>
    <row r="9" spans="1:7" x14ac:dyDescent="0.2">
      <c r="A9" s="17" t="s">
        <v>0</v>
      </c>
      <c r="B9" s="36">
        <v>1996</v>
      </c>
      <c r="C9" s="17">
        <v>863942</v>
      </c>
      <c r="D9" s="17">
        <v>0</v>
      </c>
      <c r="E9" s="17">
        <v>3245161</v>
      </c>
      <c r="F9" s="17">
        <v>0</v>
      </c>
      <c r="G9" s="17">
        <f t="shared" si="0"/>
        <v>4109103</v>
      </c>
    </row>
    <row r="10" spans="1:7" x14ac:dyDescent="0.2">
      <c r="A10" s="17" t="s">
        <v>0</v>
      </c>
      <c r="B10" s="36">
        <v>1997</v>
      </c>
      <c r="C10" s="17">
        <v>833764</v>
      </c>
      <c r="D10" s="17">
        <v>0</v>
      </c>
      <c r="E10" s="17">
        <v>2922368</v>
      </c>
      <c r="F10" s="17">
        <v>0</v>
      </c>
      <c r="G10" s="17">
        <f t="shared" si="0"/>
        <v>3756132</v>
      </c>
    </row>
    <row r="11" spans="1:7" x14ac:dyDescent="0.2">
      <c r="A11" s="17" t="s">
        <v>0</v>
      </c>
      <c r="B11" s="36">
        <v>1998</v>
      </c>
      <c r="C11" s="17">
        <v>920470</v>
      </c>
      <c r="D11" s="17">
        <v>0</v>
      </c>
      <c r="E11" s="17">
        <v>2588605</v>
      </c>
      <c r="F11" s="17">
        <v>0</v>
      </c>
      <c r="G11" s="17">
        <f t="shared" si="0"/>
        <v>3509075</v>
      </c>
    </row>
    <row r="14" spans="1:7" x14ac:dyDescent="0.2">
      <c r="A14" s="17" t="s">
        <v>1</v>
      </c>
      <c r="B14" s="36">
        <v>1988</v>
      </c>
      <c r="C14" s="17">
        <v>240213</v>
      </c>
      <c r="D14" s="17">
        <v>0</v>
      </c>
      <c r="E14" s="17">
        <v>1274674</v>
      </c>
      <c r="F14" s="17">
        <v>38763</v>
      </c>
      <c r="G14" s="17">
        <f t="shared" si="0"/>
        <v>1476124</v>
      </c>
    </row>
    <row r="15" spans="1:7" x14ac:dyDescent="0.2">
      <c r="A15" s="17" t="s">
        <v>1</v>
      </c>
      <c r="B15" s="36">
        <v>1989</v>
      </c>
      <c r="C15" s="17">
        <v>253610</v>
      </c>
      <c r="D15" s="17">
        <v>0</v>
      </c>
      <c r="E15" s="17">
        <v>1767444</v>
      </c>
      <c r="F15" s="17">
        <v>0</v>
      </c>
      <c r="G15" s="17">
        <f t="shared" si="0"/>
        <v>2021054</v>
      </c>
    </row>
    <row r="16" spans="1:7" x14ac:dyDescent="0.2">
      <c r="A16" s="17" t="s">
        <v>1</v>
      </c>
      <c r="B16" s="36">
        <v>1990</v>
      </c>
      <c r="C16" s="17">
        <v>430931</v>
      </c>
      <c r="D16" s="17">
        <v>0</v>
      </c>
      <c r="E16" s="17">
        <v>1527247</v>
      </c>
      <c r="F16" s="17">
        <v>166510</v>
      </c>
      <c r="G16" s="17">
        <f t="shared" si="0"/>
        <v>1791668</v>
      </c>
    </row>
    <row r="17" spans="1:7" x14ac:dyDescent="0.2">
      <c r="A17" s="17" t="s">
        <v>1</v>
      </c>
      <c r="B17" s="36">
        <v>1991</v>
      </c>
      <c r="C17" s="17">
        <v>393217</v>
      </c>
      <c r="D17" s="17">
        <v>0</v>
      </c>
      <c r="E17" s="17">
        <v>2307149</v>
      </c>
      <c r="F17" s="17">
        <v>-185</v>
      </c>
      <c r="G17" s="17">
        <f t="shared" si="0"/>
        <v>2700551</v>
      </c>
    </row>
    <row r="18" spans="1:7" x14ac:dyDescent="0.2">
      <c r="A18" s="17" t="s">
        <v>1</v>
      </c>
      <c r="B18" s="36">
        <v>1992</v>
      </c>
      <c r="C18" s="17">
        <v>815806</v>
      </c>
      <c r="D18" s="17">
        <v>0</v>
      </c>
      <c r="E18" s="17">
        <v>2743284</v>
      </c>
      <c r="F18" s="17">
        <v>0</v>
      </c>
      <c r="G18" s="17">
        <f t="shared" si="0"/>
        <v>3559090</v>
      </c>
    </row>
    <row r="19" spans="1:7" x14ac:dyDescent="0.2">
      <c r="A19" s="17" t="s">
        <v>1</v>
      </c>
      <c r="B19" s="36">
        <v>1993</v>
      </c>
      <c r="C19" s="17">
        <v>1629429</v>
      </c>
      <c r="D19" s="17">
        <v>0</v>
      </c>
      <c r="E19" s="17">
        <v>3707292</v>
      </c>
      <c r="F19" s="17">
        <v>0</v>
      </c>
      <c r="G19" s="17">
        <f t="shared" si="0"/>
        <v>5336721</v>
      </c>
    </row>
    <row r="20" spans="1:7" x14ac:dyDescent="0.2">
      <c r="A20" s="17" t="s">
        <v>1</v>
      </c>
      <c r="B20" s="36">
        <v>1994</v>
      </c>
      <c r="C20" s="17">
        <v>1779975</v>
      </c>
      <c r="D20" s="17">
        <v>0</v>
      </c>
      <c r="E20" s="17">
        <v>4533420</v>
      </c>
      <c r="F20" s="17">
        <v>444259</v>
      </c>
      <c r="G20" s="17">
        <f t="shared" si="0"/>
        <v>5869136</v>
      </c>
    </row>
    <row r="21" spans="1:7" x14ac:dyDescent="0.2">
      <c r="A21" s="17" t="s">
        <v>1</v>
      </c>
      <c r="B21" s="36">
        <v>1995</v>
      </c>
      <c r="C21" s="17">
        <v>1238965</v>
      </c>
      <c r="D21" s="17">
        <v>0</v>
      </c>
      <c r="E21" s="17">
        <v>4066277</v>
      </c>
      <c r="F21" s="17">
        <v>0</v>
      </c>
      <c r="G21" s="17">
        <f t="shared" si="0"/>
        <v>5305242</v>
      </c>
    </row>
    <row r="22" spans="1:7" x14ac:dyDescent="0.2">
      <c r="A22" s="17" t="s">
        <v>1</v>
      </c>
      <c r="B22" s="36">
        <v>1996</v>
      </c>
      <c r="C22" s="17">
        <v>458830</v>
      </c>
      <c r="D22" s="17">
        <v>0</v>
      </c>
      <c r="E22" s="17">
        <v>2343391</v>
      </c>
      <c r="F22" s="17">
        <v>0</v>
      </c>
      <c r="G22" s="17">
        <f t="shared" si="0"/>
        <v>2802221</v>
      </c>
    </row>
    <row r="23" spans="1:7" x14ac:dyDescent="0.2">
      <c r="A23" s="17" t="s">
        <v>1</v>
      </c>
      <c r="B23" s="36">
        <v>1997</v>
      </c>
      <c r="C23" s="17">
        <v>316538</v>
      </c>
      <c r="D23" s="17">
        <v>0</v>
      </c>
      <c r="E23" s="17">
        <v>2134877</v>
      </c>
      <c r="F23" s="17">
        <v>0</v>
      </c>
      <c r="G23" s="17">
        <f t="shared" si="0"/>
        <v>2451415</v>
      </c>
    </row>
    <row r="24" spans="1:7" x14ac:dyDescent="0.2">
      <c r="A24" s="17" t="s">
        <v>1</v>
      </c>
      <c r="B24" s="36">
        <v>1998</v>
      </c>
      <c r="C24" s="17">
        <v>274009</v>
      </c>
      <c r="D24" s="17">
        <v>0</v>
      </c>
      <c r="E24" s="17">
        <v>2050059</v>
      </c>
      <c r="F24" s="17">
        <v>0</v>
      </c>
      <c r="G24" s="17">
        <f t="shared" si="0"/>
        <v>2324068</v>
      </c>
    </row>
    <row r="27" spans="1:7" x14ac:dyDescent="0.2">
      <c r="A27" s="17" t="s">
        <v>105</v>
      </c>
      <c r="B27" s="36">
        <v>1988</v>
      </c>
      <c r="C27" s="17">
        <v>28790</v>
      </c>
      <c r="D27" s="17">
        <v>0</v>
      </c>
      <c r="E27" s="17">
        <v>368878</v>
      </c>
      <c r="F27" s="17">
        <v>28790</v>
      </c>
      <c r="G27" s="17">
        <f t="shared" si="0"/>
        <v>368878</v>
      </c>
    </row>
    <row r="28" spans="1:7" x14ac:dyDescent="0.2">
      <c r="A28" s="17" t="s">
        <v>105</v>
      </c>
      <c r="B28" s="36">
        <v>1989</v>
      </c>
      <c r="C28" s="17">
        <v>0</v>
      </c>
      <c r="D28" s="17">
        <v>0</v>
      </c>
      <c r="E28" s="17">
        <v>353943</v>
      </c>
      <c r="F28" s="17">
        <v>0</v>
      </c>
      <c r="G28" s="17">
        <f t="shared" si="0"/>
        <v>353943</v>
      </c>
    </row>
    <row r="29" spans="1:7" x14ac:dyDescent="0.2">
      <c r="A29" s="17" t="s">
        <v>105</v>
      </c>
      <c r="B29" s="36">
        <v>1990</v>
      </c>
      <c r="C29" s="17">
        <v>0</v>
      </c>
      <c r="D29" s="17">
        <v>0</v>
      </c>
      <c r="E29" s="17">
        <v>343671</v>
      </c>
      <c r="F29" s="17">
        <v>0</v>
      </c>
      <c r="G29" s="17">
        <f t="shared" si="0"/>
        <v>343671</v>
      </c>
    </row>
    <row r="30" spans="1:7" x14ac:dyDescent="0.2">
      <c r="A30" s="17" t="s">
        <v>105</v>
      </c>
      <c r="B30" s="36">
        <v>1991</v>
      </c>
      <c r="C30" s="17">
        <v>0</v>
      </c>
      <c r="D30" s="17">
        <v>0</v>
      </c>
      <c r="E30" s="17">
        <v>366775</v>
      </c>
      <c r="F30" s="17">
        <v>0</v>
      </c>
      <c r="G30" s="17">
        <f t="shared" si="0"/>
        <v>366775</v>
      </c>
    </row>
    <row r="31" spans="1:7" x14ac:dyDescent="0.2">
      <c r="A31" s="17" t="s">
        <v>105</v>
      </c>
      <c r="B31" s="36">
        <v>1992</v>
      </c>
      <c r="C31" s="17">
        <v>0</v>
      </c>
      <c r="D31" s="17">
        <v>0</v>
      </c>
      <c r="E31" s="17">
        <v>451450</v>
      </c>
      <c r="F31" s="17">
        <v>0</v>
      </c>
      <c r="G31" s="17">
        <f t="shared" si="0"/>
        <v>451450</v>
      </c>
    </row>
    <row r="32" spans="1:7" x14ac:dyDescent="0.2">
      <c r="A32" s="17" t="s">
        <v>105</v>
      </c>
      <c r="B32" s="36">
        <v>1993</v>
      </c>
      <c r="C32" s="17">
        <v>651889</v>
      </c>
      <c r="D32" s="17">
        <v>0</v>
      </c>
      <c r="E32" s="17">
        <v>546925</v>
      </c>
      <c r="F32" s="17">
        <v>651889</v>
      </c>
      <c r="G32" s="17">
        <f t="shared" si="0"/>
        <v>546925</v>
      </c>
    </row>
    <row r="33" spans="1:7" x14ac:dyDescent="0.2">
      <c r="A33" s="17" t="s">
        <v>105</v>
      </c>
      <c r="B33" s="36">
        <v>1994</v>
      </c>
      <c r="C33" s="17">
        <v>47893</v>
      </c>
      <c r="D33" s="17">
        <v>15000</v>
      </c>
      <c r="E33" s="17">
        <v>558783</v>
      </c>
      <c r="F33" s="17">
        <v>47893</v>
      </c>
      <c r="G33" s="17">
        <f t="shared" si="0"/>
        <v>573783</v>
      </c>
    </row>
    <row r="34" spans="1:7" x14ac:dyDescent="0.2">
      <c r="A34" s="17" t="s">
        <v>105</v>
      </c>
      <c r="B34" s="36">
        <v>1995</v>
      </c>
      <c r="C34" s="17">
        <v>-320888</v>
      </c>
      <c r="D34" s="17">
        <v>0</v>
      </c>
      <c r="E34" s="17">
        <v>410195</v>
      </c>
      <c r="F34" s="17">
        <v>-320888</v>
      </c>
      <c r="G34" s="17">
        <f t="shared" si="0"/>
        <v>410195</v>
      </c>
    </row>
    <row r="35" spans="1:7" x14ac:dyDescent="0.2">
      <c r="A35" s="17" t="s">
        <v>105</v>
      </c>
      <c r="B35" s="36">
        <v>1996</v>
      </c>
      <c r="C35" s="17">
        <v>1355790</v>
      </c>
      <c r="D35" s="17">
        <v>0</v>
      </c>
      <c r="E35" s="17">
        <v>467283</v>
      </c>
      <c r="F35" s="17">
        <v>1355790</v>
      </c>
      <c r="G35" s="17">
        <f t="shared" si="0"/>
        <v>467283</v>
      </c>
    </row>
    <row r="36" spans="1:7" x14ac:dyDescent="0.2">
      <c r="A36" s="17" t="s">
        <v>105</v>
      </c>
      <c r="B36" s="36">
        <v>1997</v>
      </c>
      <c r="C36" s="17">
        <v>1100438</v>
      </c>
      <c r="D36" s="17">
        <v>0</v>
      </c>
      <c r="E36" s="17">
        <v>521562</v>
      </c>
      <c r="F36" s="17">
        <v>1100438</v>
      </c>
      <c r="G36" s="17">
        <f t="shared" si="0"/>
        <v>521562</v>
      </c>
    </row>
    <row r="37" spans="1:7" x14ac:dyDescent="0.2">
      <c r="A37" s="17" t="s">
        <v>105</v>
      </c>
      <c r="B37" s="36">
        <v>1998</v>
      </c>
      <c r="C37" s="17">
        <v>-2058462</v>
      </c>
      <c r="D37" s="17">
        <v>17</v>
      </c>
      <c r="E37" s="17">
        <v>389753</v>
      </c>
      <c r="F37" s="17">
        <v>-2058462</v>
      </c>
      <c r="G37" s="17">
        <f t="shared" si="0"/>
        <v>389770</v>
      </c>
    </row>
    <row r="40" spans="1:7" x14ac:dyDescent="0.2">
      <c r="A40" s="17" t="s">
        <v>4</v>
      </c>
      <c r="B40" s="36">
        <v>1988</v>
      </c>
      <c r="C40" s="17">
        <v>300000</v>
      </c>
      <c r="D40" s="17">
        <v>745127</v>
      </c>
      <c r="E40" s="17">
        <v>2121685</v>
      </c>
      <c r="F40" s="17">
        <v>300000</v>
      </c>
      <c r="G40" s="17">
        <f t="shared" si="0"/>
        <v>2866812</v>
      </c>
    </row>
    <row r="41" spans="1:7" x14ac:dyDescent="0.2">
      <c r="A41" s="17" t="s">
        <v>4</v>
      </c>
      <c r="B41" s="36">
        <v>1989</v>
      </c>
      <c r="C41" s="17">
        <v>1046312</v>
      </c>
      <c r="D41" s="17">
        <v>1917007</v>
      </c>
      <c r="E41" s="17">
        <v>4410458</v>
      </c>
      <c r="F41" s="17">
        <v>1046312</v>
      </c>
      <c r="G41" s="17">
        <f t="shared" si="0"/>
        <v>6327465</v>
      </c>
    </row>
    <row r="42" spans="1:7" x14ac:dyDescent="0.2">
      <c r="A42" s="17" t="s">
        <v>4</v>
      </c>
      <c r="B42" s="36">
        <v>1990</v>
      </c>
      <c r="C42" s="17">
        <v>300000</v>
      </c>
      <c r="D42" s="17">
        <v>869496</v>
      </c>
      <c r="E42" s="17">
        <v>6810202</v>
      </c>
      <c r="F42" s="17">
        <v>300000</v>
      </c>
      <c r="G42" s="17">
        <f t="shared" si="0"/>
        <v>7679698</v>
      </c>
    </row>
    <row r="43" spans="1:7" x14ac:dyDescent="0.2">
      <c r="A43" s="17" t="s">
        <v>4</v>
      </c>
      <c r="B43" s="36">
        <v>1991</v>
      </c>
      <c r="C43" s="17">
        <v>596577</v>
      </c>
      <c r="D43" s="17">
        <v>1270355</v>
      </c>
      <c r="E43" s="17">
        <v>5738719</v>
      </c>
      <c r="F43" s="17">
        <v>596577</v>
      </c>
      <c r="G43" s="17">
        <f t="shared" si="0"/>
        <v>7009074</v>
      </c>
    </row>
    <row r="44" spans="1:7" x14ac:dyDescent="0.2">
      <c r="A44" s="17" t="s">
        <v>4</v>
      </c>
      <c r="B44" s="36">
        <v>1992</v>
      </c>
      <c r="C44" s="17">
        <v>-1510501</v>
      </c>
      <c r="D44" s="17">
        <v>195065</v>
      </c>
      <c r="E44" s="17">
        <v>7248204</v>
      </c>
      <c r="F44" s="17">
        <v>-1510501</v>
      </c>
      <c r="G44" s="17">
        <f t="shared" si="0"/>
        <v>7443269</v>
      </c>
    </row>
    <row r="45" spans="1:7" x14ac:dyDescent="0.2">
      <c r="A45" s="17" t="s">
        <v>4</v>
      </c>
      <c r="B45" s="36">
        <v>1993</v>
      </c>
      <c r="C45" s="17">
        <v>1764768</v>
      </c>
      <c r="D45" s="17">
        <v>153947</v>
      </c>
      <c r="E45" s="17">
        <v>6858734</v>
      </c>
      <c r="F45" s="17">
        <v>1764768</v>
      </c>
      <c r="G45" s="17">
        <f t="shared" si="0"/>
        <v>7012681</v>
      </c>
    </row>
    <row r="46" spans="1:7" x14ac:dyDescent="0.2">
      <c r="A46" s="17" t="s">
        <v>4</v>
      </c>
      <c r="B46" s="36">
        <v>1994</v>
      </c>
      <c r="C46" s="17">
        <v>305116</v>
      </c>
      <c r="D46" s="17">
        <v>203936</v>
      </c>
      <c r="E46" s="17">
        <v>7449618</v>
      </c>
      <c r="F46" s="17">
        <v>151244</v>
      </c>
      <c r="G46" s="17">
        <f t="shared" si="0"/>
        <v>7807426</v>
      </c>
    </row>
    <row r="47" spans="1:7" x14ac:dyDescent="0.2">
      <c r="A47" s="17" t="s">
        <v>4</v>
      </c>
      <c r="B47" s="36">
        <v>1995</v>
      </c>
      <c r="C47" s="17">
        <v>300181</v>
      </c>
      <c r="D47" s="17">
        <v>208406</v>
      </c>
      <c r="E47" s="17">
        <v>5364522</v>
      </c>
      <c r="F47" s="17">
        <v>164716</v>
      </c>
      <c r="G47" s="17">
        <f t="shared" si="0"/>
        <v>5708393</v>
      </c>
    </row>
    <row r="48" spans="1:7" x14ac:dyDescent="0.2">
      <c r="A48" s="17" t="s">
        <v>4</v>
      </c>
      <c r="B48" s="36">
        <v>1996</v>
      </c>
      <c r="C48" s="17">
        <v>1380297</v>
      </c>
      <c r="D48" s="17">
        <v>0</v>
      </c>
      <c r="E48" s="17">
        <v>260101</v>
      </c>
      <c r="F48" s="17">
        <v>1018860</v>
      </c>
      <c r="G48" s="17">
        <f t="shared" si="0"/>
        <v>621538</v>
      </c>
    </row>
    <row r="49" spans="1:7" x14ac:dyDescent="0.2">
      <c r="A49" s="17" t="s">
        <v>4</v>
      </c>
      <c r="B49" s="36">
        <v>1997</v>
      </c>
      <c r="C49" s="17">
        <v>437802</v>
      </c>
      <c r="D49" s="17">
        <v>0</v>
      </c>
      <c r="E49" s="17">
        <v>221956</v>
      </c>
      <c r="F49" s="17">
        <v>168731</v>
      </c>
      <c r="G49" s="17">
        <f t="shared" si="0"/>
        <v>491027</v>
      </c>
    </row>
    <row r="50" spans="1:7" x14ac:dyDescent="0.2">
      <c r="A50" s="17" t="s">
        <v>4</v>
      </c>
      <c r="B50" s="36">
        <v>1998</v>
      </c>
      <c r="C50" s="17">
        <v>-910495</v>
      </c>
      <c r="D50" s="17">
        <v>0</v>
      </c>
      <c r="E50" s="17">
        <v>335598</v>
      </c>
      <c r="F50" s="17">
        <v>-1352838</v>
      </c>
      <c r="G50" s="17">
        <f t="shared" si="0"/>
        <v>777941</v>
      </c>
    </row>
    <row r="53" spans="1:7" x14ac:dyDescent="0.2">
      <c r="A53" s="17" t="s">
        <v>5</v>
      </c>
      <c r="B53" s="36">
        <v>1988</v>
      </c>
      <c r="C53" s="17">
        <v>-300000</v>
      </c>
      <c r="D53" s="17">
        <v>0</v>
      </c>
      <c r="E53" s="17">
        <v>78709</v>
      </c>
      <c r="F53" s="17">
        <v>-300000</v>
      </c>
      <c r="G53" s="17">
        <f t="shared" si="0"/>
        <v>78709</v>
      </c>
    </row>
    <row r="54" spans="1:7" x14ac:dyDescent="0.2">
      <c r="A54" s="17" t="s">
        <v>5</v>
      </c>
      <c r="B54" s="36">
        <v>1989</v>
      </c>
      <c r="C54" s="17">
        <v>0</v>
      </c>
      <c r="D54" s="17">
        <v>0</v>
      </c>
      <c r="E54" s="17">
        <v>143507</v>
      </c>
      <c r="F54" s="17">
        <v>0</v>
      </c>
      <c r="G54" s="17">
        <f t="shared" si="0"/>
        <v>143507</v>
      </c>
    </row>
    <row r="55" spans="1:7" x14ac:dyDescent="0.2">
      <c r="A55" s="17" t="s">
        <v>5</v>
      </c>
      <c r="B55" s="36">
        <v>1990</v>
      </c>
      <c r="C55" s="17">
        <v>0</v>
      </c>
      <c r="D55" s="17">
        <v>0</v>
      </c>
      <c r="E55" s="17">
        <v>142320</v>
      </c>
      <c r="F55" s="17">
        <v>0</v>
      </c>
      <c r="G55" s="17">
        <f t="shared" si="0"/>
        <v>142320</v>
      </c>
    </row>
    <row r="56" spans="1:7" x14ac:dyDescent="0.2">
      <c r="A56" s="17" t="s">
        <v>5</v>
      </c>
      <c r="B56" s="36">
        <v>1991</v>
      </c>
      <c r="C56" s="17">
        <v>0</v>
      </c>
      <c r="D56" s="17">
        <v>0</v>
      </c>
      <c r="E56" s="17">
        <v>112550</v>
      </c>
      <c r="F56" s="17">
        <v>0</v>
      </c>
      <c r="G56" s="17">
        <f t="shared" si="0"/>
        <v>112550</v>
      </c>
    </row>
    <row r="57" spans="1:7" x14ac:dyDescent="0.2">
      <c r="A57" s="17" t="s">
        <v>5</v>
      </c>
      <c r="B57" s="36">
        <v>1992</v>
      </c>
      <c r="C57" s="17">
        <v>0</v>
      </c>
      <c r="D57" s="17">
        <v>0</v>
      </c>
      <c r="E57" s="17">
        <v>64109</v>
      </c>
      <c r="F57" s="17">
        <v>0</v>
      </c>
      <c r="G57" s="17">
        <f t="shared" si="0"/>
        <v>64109</v>
      </c>
    </row>
    <row r="58" spans="1:7" x14ac:dyDescent="0.2">
      <c r="A58" s="17" t="s">
        <v>5</v>
      </c>
      <c r="B58" s="36">
        <v>1993</v>
      </c>
      <c r="C58" s="17">
        <v>1394211</v>
      </c>
      <c r="D58" s="17">
        <v>0</v>
      </c>
      <c r="E58" s="17">
        <v>56181</v>
      </c>
      <c r="F58" s="17">
        <v>1394211</v>
      </c>
      <c r="G58" s="17">
        <f t="shared" si="0"/>
        <v>56181</v>
      </c>
    </row>
    <row r="59" spans="1:7" x14ac:dyDescent="0.2">
      <c r="A59" s="17" t="s">
        <v>5</v>
      </c>
      <c r="B59" s="36">
        <v>1994</v>
      </c>
      <c r="C59" s="17">
        <v>4406000</v>
      </c>
      <c r="D59" s="17">
        <v>0</v>
      </c>
      <c r="E59" s="17">
        <v>29007</v>
      </c>
      <c r="F59" s="17">
        <v>4406000</v>
      </c>
      <c r="G59" s="17">
        <f t="shared" si="0"/>
        <v>29007</v>
      </c>
    </row>
    <row r="60" spans="1:7" x14ac:dyDescent="0.2">
      <c r="A60" s="17" t="s">
        <v>5</v>
      </c>
      <c r="B60" s="36">
        <v>1995</v>
      </c>
      <c r="C60" s="17">
        <v>2374270</v>
      </c>
      <c r="D60" s="17">
        <v>0</v>
      </c>
      <c r="E60" s="17">
        <v>24720</v>
      </c>
      <c r="F60" s="17">
        <v>2357823</v>
      </c>
      <c r="G60" s="17">
        <f t="shared" si="0"/>
        <v>41167</v>
      </c>
    </row>
    <row r="61" spans="1:7" x14ac:dyDescent="0.2">
      <c r="A61" s="17" t="s">
        <v>5</v>
      </c>
      <c r="B61" s="36">
        <v>1996</v>
      </c>
      <c r="C61" s="17">
        <v>-7305362</v>
      </c>
      <c r="D61" s="17">
        <v>0</v>
      </c>
      <c r="E61" s="17">
        <v>41648</v>
      </c>
      <c r="F61" s="17">
        <v>-7387042</v>
      </c>
      <c r="G61" s="17">
        <f t="shared" si="0"/>
        <v>123328</v>
      </c>
    </row>
    <row r="62" spans="1:7" x14ac:dyDescent="0.2">
      <c r="A62" s="17" t="s">
        <v>5</v>
      </c>
      <c r="B62" s="36">
        <v>1997</v>
      </c>
      <c r="C62" s="17">
        <v>1451128</v>
      </c>
      <c r="D62" s="17">
        <v>0</v>
      </c>
      <c r="E62" s="17">
        <v>0</v>
      </c>
      <c r="F62" s="17">
        <v>1394800</v>
      </c>
      <c r="G62" s="17">
        <f t="shared" si="0"/>
        <v>56328</v>
      </c>
    </row>
    <row r="63" spans="1:7" x14ac:dyDescent="0.2">
      <c r="A63" s="17" t="s">
        <v>5</v>
      </c>
      <c r="B63" s="36">
        <v>1998</v>
      </c>
      <c r="C63" s="17">
        <v>1148180</v>
      </c>
      <c r="D63" s="17">
        <v>0</v>
      </c>
      <c r="E63" s="17">
        <v>10844</v>
      </c>
      <c r="F63" s="17">
        <v>1089343</v>
      </c>
      <c r="G63" s="17">
        <f t="shared" si="0"/>
        <v>69681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workbookViewId="0">
      <selection activeCell="A5" sqref="A5"/>
    </sheetView>
  </sheetViews>
  <sheetFormatPr defaultRowHeight="12.75" x14ac:dyDescent="0.2"/>
  <cols>
    <col min="1" max="1" width="33.140625" style="2" bestFit="1" customWidth="1"/>
    <col min="2" max="2" width="11.140625" style="5" bestFit="1" customWidth="1"/>
    <col min="3" max="3" width="11.7109375" style="2" bestFit="1" customWidth="1"/>
    <col min="4" max="4" width="11.85546875" style="2" bestFit="1" customWidth="1"/>
    <col min="5" max="5" width="11.42578125" style="2" bestFit="1" customWidth="1"/>
    <col min="6" max="6" width="11.5703125" style="2" bestFit="1" customWidth="1"/>
    <col min="7" max="7" width="21.42578125" style="2" bestFit="1" customWidth="1"/>
    <col min="8" max="8" width="17.7109375" style="2" bestFit="1" customWidth="1"/>
    <col min="9" max="9" width="22.5703125" style="2" bestFit="1" customWidth="1"/>
    <col min="10" max="10" width="28.5703125" style="2" bestFit="1" customWidth="1"/>
    <col min="11" max="11" width="21.85546875" style="2" bestFit="1" customWidth="1"/>
    <col min="12" max="12" width="23.7109375" style="2" bestFit="1" customWidth="1"/>
    <col min="13" max="13" width="18.28515625" style="2" bestFit="1" customWidth="1"/>
    <col min="14" max="14" width="27" style="2" bestFit="1" customWidth="1"/>
    <col min="15" max="15" width="22.7109375" style="2" bestFit="1" customWidth="1"/>
    <col min="16" max="16" width="17.85546875" style="2" bestFit="1" customWidth="1"/>
    <col min="17" max="17" width="14.28515625" style="2" bestFit="1" customWidth="1"/>
    <col min="18" max="18" width="21.5703125" style="2" bestFit="1" customWidth="1"/>
    <col min="19" max="19" width="20" style="2" bestFit="1" customWidth="1"/>
    <col min="20" max="20" width="14.5703125" style="2" bestFit="1" customWidth="1"/>
    <col min="21" max="21" width="20.7109375" style="2" bestFit="1" customWidth="1"/>
    <col min="22" max="22" width="26.140625" style="2" bestFit="1" customWidth="1"/>
    <col min="23" max="23" width="17.85546875" style="2" bestFit="1" customWidth="1"/>
    <col min="24" max="24" width="17" style="2" bestFit="1" customWidth="1"/>
    <col min="25" max="25" width="17" style="2" customWidth="1"/>
    <col min="26" max="26" width="19.85546875" style="2" bestFit="1" customWidth="1"/>
    <col min="27" max="27" width="27.42578125" style="2" bestFit="1" customWidth="1"/>
    <col min="28" max="28" width="10.7109375" style="2" bestFit="1" customWidth="1"/>
    <col min="29" max="29" width="9.42578125" style="2" bestFit="1" customWidth="1"/>
    <col min="30" max="30" width="10.140625" style="2" bestFit="1" customWidth="1"/>
    <col min="31" max="31" width="17.140625" style="2" bestFit="1" customWidth="1"/>
    <col min="32" max="16384" width="9.140625" style="2"/>
  </cols>
  <sheetData>
    <row r="1" spans="1:31" x14ac:dyDescent="0.2">
      <c r="A1" s="3" t="s">
        <v>91</v>
      </c>
    </row>
    <row r="2" spans="1:31" x14ac:dyDescent="0.2">
      <c r="A2" s="3"/>
    </row>
    <row r="3" spans="1:31" x14ac:dyDescent="0.2">
      <c r="A3" s="2" t="s">
        <v>6</v>
      </c>
      <c r="B3" s="5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29</v>
      </c>
      <c r="Y3" s="3" t="s">
        <v>92</v>
      </c>
      <c r="Z3" s="3" t="s">
        <v>93</v>
      </c>
      <c r="AA3" s="3" t="s">
        <v>202</v>
      </c>
      <c r="AB3" s="2" t="s">
        <v>30</v>
      </c>
      <c r="AC3" s="2" t="s">
        <v>31</v>
      </c>
      <c r="AD3" s="2" t="s">
        <v>32</v>
      </c>
      <c r="AE3" s="3" t="s">
        <v>89</v>
      </c>
    </row>
    <row r="4" spans="1:31" x14ac:dyDescent="0.2">
      <c r="A4" s="2" t="s">
        <v>0</v>
      </c>
      <c r="B4" s="145">
        <v>1998</v>
      </c>
      <c r="C4" s="2">
        <v>28655101</v>
      </c>
      <c r="D4" s="2">
        <v>302255</v>
      </c>
      <c r="E4" s="2">
        <v>0</v>
      </c>
      <c r="F4" s="2">
        <v>0</v>
      </c>
      <c r="G4" s="2">
        <v>11178323</v>
      </c>
      <c r="H4" s="2">
        <v>724924</v>
      </c>
      <c r="I4" s="2">
        <v>494568</v>
      </c>
      <c r="J4" s="2">
        <v>16116778</v>
      </c>
      <c r="K4" s="2">
        <v>44379956</v>
      </c>
      <c r="L4" s="2">
        <v>0</v>
      </c>
      <c r="M4" s="2">
        <v>9691873</v>
      </c>
      <c r="N4" s="2">
        <v>2875029</v>
      </c>
      <c r="O4" s="2">
        <v>0</v>
      </c>
      <c r="P4" s="2">
        <v>686690</v>
      </c>
      <c r="Q4" s="2">
        <v>73480</v>
      </c>
      <c r="R4" s="2">
        <v>1125068</v>
      </c>
      <c r="S4" s="2">
        <v>694694</v>
      </c>
      <c r="T4" s="2">
        <v>1801963</v>
      </c>
      <c r="U4" s="2">
        <v>12271883</v>
      </c>
      <c r="V4" s="2">
        <v>259424</v>
      </c>
      <c r="W4" s="2">
        <v>98698</v>
      </c>
      <c r="X4" s="2">
        <v>4299606</v>
      </c>
      <c r="Y4" s="4">
        <f>SUM(C4:X4)</f>
        <v>135730313</v>
      </c>
      <c r="Z4" s="4">
        <f>Y4-Q4-O4-L4-K4</f>
        <v>91276877</v>
      </c>
      <c r="AA4" s="4"/>
      <c r="AB4" s="2">
        <v>920470</v>
      </c>
      <c r="AC4" s="2">
        <v>0</v>
      </c>
      <c r="AD4" s="2">
        <v>2588605</v>
      </c>
      <c r="AE4" s="4">
        <f>SUM(AB4:AD4)</f>
        <v>3509075</v>
      </c>
    </row>
    <row r="5" spans="1:31" x14ac:dyDescent="0.2">
      <c r="A5" s="2" t="s">
        <v>1</v>
      </c>
      <c r="B5" s="5">
        <v>1998</v>
      </c>
      <c r="C5" s="2">
        <v>671568</v>
      </c>
      <c r="D5" s="2">
        <v>162485</v>
      </c>
      <c r="E5" s="2">
        <v>0</v>
      </c>
      <c r="F5" s="2">
        <v>0</v>
      </c>
      <c r="G5" s="2">
        <v>3318442</v>
      </c>
      <c r="H5" s="2">
        <v>633007</v>
      </c>
      <c r="I5" s="2">
        <v>526042</v>
      </c>
      <c r="J5" s="2">
        <v>10783589</v>
      </c>
      <c r="K5" s="2">
        <v>23669065</v>
      </c>
      <c r="L5" s="2">
        <v>0</v>
      </c>
      <c r="M5" s="2">
        <v>5984297</v>
      </c>
      <c r="N5" s="2">
        <v>1210012</v>
      </c>
      <c r="O5" s="2">
        <v>10434996</v>
      </c>
      <c r="P5" s="2">
        <v>59303</v>
      </c>
      <c r="Q5" s="2">
        <v>651808</v>
      </c>
      <c r="R5" s="2">
        <v>440307</v>
      </c>
      <c r="S5" s="2">
        <v>726677</v>
      </c>
      <c r="T5" s="2">
        <v>3166875</v>
      </c>
      <c r="U5" s="2">
        <v>6658282</v>
      </c>
      <c r="V5" s="2">
        <v>377036</v>
      </c>
      <c r="W5" s="2">
        <v>221476</v>
      </c>
      <c r="X5" s="2">
        <v>1240258</v>
      </c>
      <c r="Y5" s="4">
        <f>SUM(C5:X5)</f>
        <v>70935525</v>
      </c>
      <c r="Z5" s="4">
        <f t="shared" ref="Z5:Z36" si="0">Y5-Q5-O5-L5-K5</f>
        <v>36179656</v>
      </c>
      <c r="AA5" s="3"/>
      <c r="AB5" s="2">
        <v>274009</v>
      </c>
      <c r="AC5" s="2">
        <v>0</v>
      </c>
      <c r="AD5" s="2">
        <v>2050059</v>
      </c>
      <c r="AE5" s="4">
        <f t="shared" ref="AE5:AE10" si="1">SUM(AB5:AD5)</f>
        <v>2324068</v>
      </c>
    </row>
    <row r="6" spans="1:31" s="3" customFormat="1" x14ac:dyDescent="0.2">
      <c r="A6" s="3" t="s">
        <v>37</v>
      </c>
      <c r="B6" s="21">
        <v>1998</v>
      </c>
      <c r="C6" s="3">
        <f>SUM(C4:C5)</f>
        <v>29326669</v>
      </c>
      <c r="D6" s="3">
        <f t="shared" ref="D6:AD6" si="2">SUM(D4:D5)</f>
        <v>464740</v>
      </c>
      <c r="E6" s="3">
        <f t="shared" si="2"/>
        <v>0</v>
      </c>
      <c r="F6" s="3">
        <f t="shared" si="2"/>
        <v>0</v>
      </c>
      <c r="G6" s="3">
        <f t="shared" si="2"/>
        <v>14496765</v>
      </c>
      <c r="H6" s="3">
        <f t="shared" si="2"/>
        <v>1357931</v>
      </c>
      <c r="I6" s="3">
        <f t="shared" si="2"/>
        <v>1020610</v>
      </c>
      <c r="J6" s="3">
        <f t="shared" si="2"/>
        <v>26900367</v>
      </c>
      <c r="K6" s="3">
        <f t="shared" si="2"/>
        <v>68049021</v>
      </c>
      <c r="L6" s="3">
        <f t="shared" si="2"/>
        <v>0</v>
      </c>
      <c r="M6" s="3">
        <f t="shared" si="2"/>
        <v>15676170</v>
      </c>
      <c r="N6" s="3">
        <f t="shared" si="2"/>
        <v>4085041</v>
      </c>
      <c r="O6" s="3">
        <f t="shared" si="2"/>
        <v>10434996</v>
      </c>
      <c r="P6" s="3">
        <f t="shared" si="2"/>
        <v>745993</v>
      </c>
      <c r="Q6" s="3">
        <f t="shared" si="2"/>
        <v>725288</v>
      </c>
      <c r="R6" s="3">
        <f t="shared" si="2"/>
        <v>1565375</v>
      </c>
      <c r="S6" s="3">
        <f t="shared" si="2"/>
        <v>1421371</v>
      </c>
      <c r="T6" s="3">
        <f t="shared" si="2"/>
        <v>4968838</v>
      </c>
      <c r="U6" s="3">
        <f t="shared" si="2"/>
        <v>18930165</v>
      </c>
      <c r="V6" s="3">
        <f t="shared" si="2"/>
        <v>636460</v>
      </c>
      <c r="W6" s="3">
        <f t="shared" si="2"/>
        <v>320174</v>
      </c>
      <c r="X6" s="3">
        <f t="shared" si="2"/>
        <v>5539864</v>
      </c>
      <c r="Y6" s="3">
        <f t="shared" si="2"/>
        <v>206665838</v>
      </c>
      <c r="Z6" s="3">
        <f t="shared" si="0"/>
        <v>127456533</v>
      </c>
      <c r="AA6" s="22">
        <f>Z6/(967+573)</f>
        <v>82763.982467532463</v>
      </c>
      <c r="AB6" s="3">
        <f t="shared" si="2"/>
        <v>1194479</v>
      </c>
      <c r="AC6" s="3">
        <f t="shared" si="2"/>
        <v>0</v>
      </c>
      <c r="AD6" s="3">
        <f t="shared" si="2"/>
        <v>4638664</v>
      </c>
      <c r="AE6" s="3">
        <f t="shared" si="1"/>
        <v>5833143</v>
      </c>
    </row>
    <row r="7" spans="1:31" x14ac:dyDescent="0.2">
      <c r="Y7" s="4"/>
      <c r="Z7" s="4"/>
      <c r="AA7" s="4"/>
      <c r="AE7" s="4"/>
    </row>
    <row r="8" spans="1:31" x14ac:dyDescent="0.2">
      <c r="A8" s="2" t="s">
        <v>4</v>
      </c>
      <c r="B8" s="5">
        <v>1998</v>
      </c>
      <c r="C8" s="2">
        <v>3967211</v>
      </c>
      <c r="D8" s="2">
        <v>3247959</v>
      </c>
      <c r="E8" s="2">
        <v>1970137</v>
      </c>
      <c r="F8" s="2">
        <v>784553</v>
      </c>
      <c r="G8" s="2">
        <v>3727109</v>
      </c>
      <c r="H8" s="2">
        <v>6839288</v>
      </c>
      <c r="I8" s="2">
        <v>1601345</v>
      </c>
      <c r="J8" s="2">
        <v>15813841</v>
      </c>
      <c r="K8" s="2">
        <v>46097151</v>
      </c>
      <c r="L8" s="2">
        <v>4208820</v>
      </c>
      <c r="M8" s="2">
        <v>17746709</v>
      </c>
      <c r="N8" s="2">
        <v>3928403</v>
      </c>
      <c r="O8" s="2">
        <v>1992681</v>
      </c>
      <c r="P8" s="2">
        <v>4179540</v>
      </c>
      <c r="Q8" s="2">
        <v>961027</v>
      </c>
      <c r="R8" s="2">
        <v>80067</v>
      </c>
      <c r="S8" s="2">
        <v>3821943</v>
      </c>
      <c r="T8" s="2">
        <v>5220496</v>
      </c>
      <c r="U8" s="2">
        <v>15486040</v>
      </c>
      <c r="V8" s="2">
        <v>1805848</v>
      </c>
      <c r="W8" s="2">
        <v>400785</v>
      </c>
      <c r="X8" s="2">
        <v>845962</v>
      </c>
      <c r="Y8" s="4">
        <f>SUM(B8:X8)</f>
        <v>144728913</v>
      </c>
      <c r="Z8" s="4">
        <f t="shared" si="0"/>
        <v>91469234</v>
      </c>
      <c r="AA8" s="4"/>
      <c r="AB8" s="2">
        <v>-910495</v>
      </c>
      <c r="AC8" s="2">
        <v>0</v>
      </c>
      <c r="AD8" s="2">
        <v>335598</v>
      </c>
      <c r="AE8" s="4">
        <f t="shared" si="1"/>
        <v>-574897</v>
      </c>
    </row>
    <row r="9" spans="1:31" x14ac:dyDescent="0.2">
      <c r="A9" s="2" t="s">
        <v>5</v>
      </c>
      <c r="B9" s="5">
        <v>1998</v>
      </c>
      <c r="C9" s="2">
        <v>0</v>
      </c>
      <c r="D9" s="2">
        <v>0</v>
      </c>
      <c r="E9" s="2">
        <v>0</v>
      </c>
      <c r="F9" s="2">
        <v>0</v>
      </c>
      <c r="G9" s="2">
        <v>440293</v>
      </c>
      <c r="H9" s="2">
        <v>158952</v>
      </c>
      <c r="I9" s="2">
        <v>276424</v>
      </c>
      <c r="J9" s="2">
        <v>8318528</v>
      </c>
      <c r="K9" s="2">
        <v>18182436</v>
      </c>
      <c r="L9" s="2">
        <v>1871402</v>
      </c>
      <c r="M9" s="2">
        <v>4507731</v>
      </c>
      <c r="N9" s="2">
        <v>1293799</v>
      </c>
      <c r="O9" s="2">
        <v>21484</v>
      </c>
      <c r="P9" s="2">
        <v>230584</v>
      </c>
      <c r="Q9" s="2">
        <v>35750</v>
      </c>
      <c r="R9" s="2">
        <v>7510</v>
      </c>
      <c r="S9" s="2">
        <v>258563</v>
      </c>
      <c r="T9" s="2">
        <v>1049785</v>
      </c>
      <c r="U9" s="2">
        <v>2972857</v>
      </c>
      <c r="V9" s="2">
        <v>345017</v>
      </c>
      <c r="W9" s="2">
        <v>129339</v>
      </c>
      <c r="X9" s="2">
        <v>100765</v>
      </c>
      <c r="Y9" s="4">
        <f>SUM(B9:X9)</f>
        <v>40203217</v>
      </c>
      <c r="Z9" s="4">
        <f t="shared" si="0"/>
        <v>20092145</v>
      </c>
      <c r="AA9" s="4"/>
      <c r="AB9" s="2">
        <v>1148180</v>
      </c>
      <c r="AC9" s="2">
        <v>0</v>
      </c>
      <c r="AD9" s="2">
        <v>10844</v>
      </c>
      <c r="AE9" s="4">
        <f t="shared" si="1"/>
        <v>1159024</v>
      </c>
    </row>
    <row r="10" spans="1:31" s="3" customFormat="1" x14ac:dyDescent="0.2">
      <c r="A10" s="3" t="s">
        <v>33</v>
      </c>
      <c r="B10" s="21">
        <v>1998</v>
      </c>
      <c r="C10" s="3">
        <f t="shared" ref="C10:X10" si="3">SUM(C8:C9)</f>
        <v>3967211</v>
      </c>
      <c r="D10" s="3">
        <f t="shared" si="3"/>
        <v>3247959</v>
      </c>
      <c r="E10" s="3">
        <f t="shared" si="3"/>
        <v>1970137</v>
      </c>
      <c r="F10" s="3">
        <f t="shared" si="3"/>
        <v>784553</v>
      </c>
      <c r="G10" s="3">
        <f t="shared" si="3"/>
        <v>4167402</v>
      </c>
      <c r="H10" s="3">
        <f t="shared" si="3"/>
        <v>6998240</v>
      </c>
      <c r="I10" s="3">
        <f t="shared" si="3"/>
        <v>1877769</v>
      </c>
      <c r="J10" s="3">
        <f t="shared" si="3"/>
        <v>24132369</v>
      </c>
      <c r="K10" s="3">
        <f t="shared" si="3"/>
        <v>64279587</v>
      </c>
      <c r="L10" s="3">
        <f t="shared" si="3"/>
        <v>6080222</v>
      </c>
      <c r="M10" s="3">
        <f t="shared" si="3"/>
        <v>22254440</v>
      </c>
      <c r="N10" s="3">
        <f t="shared" si="3"/>
        <v>5222202</v>
      </c>
      <c r="O10" s="3">
        <f t="shared" si="3"/>
        <v>2014165</v>
      </c>
      <c r="P10" s="3">
        <f t="shared" si="3"/>
        <v>4410124</v>
      </c>
      <c r="Q10" s="3">
        <f t="shared" si="3"/>
        <v>996777</v>
      </c>
      <c r="R10" s="3">
        <f t="shared" si="3"/>
        <v>87577</v>
      </c>
      <c r="S10" s="3">
        <f t="shared" si="3"/>
        <v>4080506</v>
      </c>
      <c r="T10" s="3">
        <f t="shared" si="3"/>
        <v>6270281</v>
      </c>
      <c r="U10" s="3">
        <f t="shared" si="3"/>
        <v>18458897</v>
      </c>
      <c r="V10" s="3">
        <f t="shared" si="3"/>
        <v>2150865</v>
      </c>
      <c r="W10" s="3">
        <f t="shared" si="3"/>
        <v>530124</v>
      </c>
      <c r="X10" s="3">
        <f t="shared" si="3"/>
        <v>946727</v>
      </c>
      <c r="Y10" s="3">
        <f>SUM(B10:X10)</f>
        <v>184930132</v>
      </c>
      <c r="Z10" s="3">
        <f t="shared" si="0"/>
        <v>111559381</v>
      </c>
      <c r="AA10" s="4">
        <f>Z10/(251+1188)</f>
        <v>77525.62960389159</v>
      </c>
      <c r="AB10" s="3">
        <f>SUM(AB8:AB9)</f>
        <v>237685</v>
      </c>
      <c r="AC10" s="3">
        <f>SUM(AC8:AC9)</f>
        <v>0</v>
      </c>
      <c r="AD10" s="3">
        <f>SUM(AD8:AD9)</f>
        <v>346442</v>
      </c>
      <c r="AE10" s="3">
        <f t="shared" si="1"/>
        <v>584127</v>
      </c>
    </row>
    <row r="11" spans="1:31" s="19" customFormat="1" ht="13.5" thickBot="1" x14ac:dyDescent="0.25">
      <c r="B11" s="20"/>
      <c r="Z11" s="4"/>
    </row>
    <row r="12" spans="1:31" x14ac:dyDescent="0.2">
      <c r="Z12" s="4"/>
    </row>
    <row r="13" spans="1:31" x14ac:dyDescent="0.2">
      <c r="A13" s="2" t="s">
        <v>0</v>
      </c>
      <c r="B13" s="5">
        <v>1997</v>
      </c>
      <c r="C13" s="2">
        <v>30488951</v>
      </c>
      <c r="D13" s="2">
        <v>453131</v>
      </c>
      <c r="E13" s="2">
        <v>0</v>
      </c>
      <c r="F13" s="2">
        <v>0</v>
      </c>
      <c r="G13" s="2">
        <v>12021369</v>
      </c>
      <c r="H13" s="2">
        <v>653073</v>
      </c>
      <c r="I13" s="2">
        <v>1318669</v>
      </c>
      <c r="J13" s="2">
        <v>12161296</v>
      </c>
      <c r="K13" s="2">
        <v>70159188</v>
      </c>
      <c r="L13" s="2">
        <v>0</v>
      </c>
      <c r="M13" s="2">
        <v>6848746</v>
      </c>
      <c r="N13" s="2">
        <v>2030368</v>
      </c>
      <c r="O13" s="2">
        <v>0</v>
      </c>
      <c r="P13" s="2">
        <v>479169</v>
      </c>
      <c r="Q13" s="2">
        <v>127606</v>
      </c>
      <c r="R13" s="2">
        <v>3209159</v>
      </c>
      <c r="S13" s="2">
        <v>466287</v>
      </c>
      <c r="T13" s="2">
        <v>1339171</v>
      </c>
      <c r="U13" s="2">
        <v>9431930</v>
      </c>
      <c r="V13" s="2">
        <v>298525</v>
      </c>
      <c r="W13" s="2">
        <v>366993</v>
      </c>
      <c r="X13" s="2">
        <v>3907670</v>
      </c>
      <c r="Y13" s="4">
        <f>SUM(C13:X13)</f>
        <v>155761301</v>
      </c>
      <c r="Z13" s="4">
        <f t="shared" si="0"/>
        <v>85474507</v>
      </c>
      <c r="AB13" s="2">
        <v>833764</v>
      </c>
      <c r="AC13" s="2">
        <v>0</v>
      </c>
      <c r="AD13" s="2">
        <v>2922368</v>
      </c>
      <c r="AE13" s="22">
        <f t="shared" ref="AE13:AE36" si="4">SUM(AB13:AD13)</f>
        <v>3756132</v>
      </c>
    </row>
    <row r="14" spans="1:31" x14ac:dyDescent="0.2">
      <c r="A14" s="2" t="s">
        <v>1</v>
      </c>
      <c r="B14" s="5">
        <v>1997</v>
      </c>
      <c r="C14" s="2">
        <v>986379</v>
      </c>
      <c r="D14" s="2">
        <v>240106</v>
      </c>
      <c r="E14" s="2">
        <v>0</v>
      </c>
      <c r="F14" s="2">
        <v>0</v>
      </c>
      <c r="G14" s="2">
        <v>6665077</v>
      </c>
      <c r="H14" s="2">
        <v>645950</v>
      </c>
      <c r="I14" s="2">
        <v>1057051</v>
      </c>
      <c r="J14" s="2">
        <v>7279619</v>
      </c>
      <c r="K14" s="2">
        <v>35280623</v>
      </c>
      <c r="L14" s="2">
        <v>0</v>
      </c>
      <c r="M14" s="2">
        <v>4686671</v>
      </c>
      <c r="N14" s="2">
        <v>702149</v>
      </c>
      <c r="O14" s="2">
        <v>5889905</v>
      </c>
      <c r="P14" s="2">
        <v>17067</v>
      </c>
      <c r="Q14" s="2">
        <v>369581</v>
      </c>
      <c r="R14" s="2">
        <v>1656250</v>
      </c>
      <c r="S14" s="2">
        <v>706702</v>
      </c>
      <c r="T14" s="2">
        <v>2829238</v>
      </c>
      <c r="U14" s="2">
        <v>7835375</v>
      </c>
      <c r="V14" s="2">
        <v>196954</v>
      </c>
      <c r="W14" s="2">
        <v>248395</v>
      </c>
      <c r="X14" s="2">
        <v>1784563</v>
      </c>
      <c r="Y14" s="4">
        <f t="shared" ref="Y14:Y28" si="5">SUM(C14:X14)</f>
        <v>79077655</v>
      </c>
      <c r="Z14" s="4">
        <f t="shared" si="0"/>
        <v>37537546</v>
      </c>
      <c r="AB14" s="2">
        <v>316538</v>
      </c>
      <c r="AC14" s="2">
        <v>0</v>
      </c>
      <c r="AD14" s="2">
        <v>2134877</v>
      </c>
      <c r="AE14" s="22">
        <f t="shared" si="4"/>
        <v>2451415</v>
      </c>
    </row>
    <row r="15" spans="1:31" x14ac:dyDescent="0.2">
      <c r="A15" s="3" t="s">
        <v>37</v>
      </c>
      <c r="B15" s="21">
        <v>1997</v>
      </c>
      <c r="C15" s="3">
        <f>SUM(C13:C14)</f>
        <v>31475330</v>
      </c>
      <c r="D15" s="3">
        <f t="shared" ref="D15:AD15" si="6">SUM(D13:D14)</f>
        <v>693237</v>
      </c>
      <c r="E15" s="3">
        <f t="shared" si="6"/>
        <v>0</v>
      </c>
      <c r="F15" s="3">
        <f t="shared" si="6"/>
        <v>0</v>
      </c>
      <c r="G15" s="3">
        <f t="shared" si="6"/>
        <v>18686446</v>
      </c>
      <c r="H15" s="3">
        <f t="shared" si="6"/>
        <v>1299023</v>
      </c>
      <c r="I15" s="3">
        <f t="shared" si="6"/>
        <v>2375720</v>
      </c>
      <c r="J15" s="3">
        <f t="shared" si="6"/>
        <v>19440915</v>
      </c>
      <c r="K15" s="3">
        <f t="shared" si="6"/>
        <v>105439811</v>
      </c>
      <c r="L15" s="3">
        <f t="shared" si="6"/>
        <v>0</v>
      </c>
      <c r="M15" s="3">
        <f t="shared" si="6"/>
        <v>11535417</v>
      </c>
      <c r="N15" s="3">
        <f t="shared" si="6"/>
        <v>2732517</v>
      </c>
      <c r="O15" s="3">
        <f t="shared" si="6"/>
        <v>5889905</v>
      </c>
      <c r="P15" s="3">
        <f t="shared" si="6"/>
        <v>496236</v>
      </c>
      <c r="Q15" s="3">
        <f t="shared" si="6"/>
        <v>497187</v>
      </c>
      <c r="R15" s="3">
        <f t="shared" si="6"/>
        <v>4865409</v>
      </c>
      <c r="S15" s="3">
        <f t="shared" si="6"/>
        <v>1172989</v>
      </c>
      <c r="T15" s="3">
        <f t="shared" si="6"/>
        <v>4168409</v>
      </c>
      <c r="U15" s="3">
        <f t="shared" si="6"/>
        <v>17267305</v>
      </c>
      <c r="V15" s="3">
        <f t="shared" si="6"/>
        <v>495479</v>
      </c>
      <c r="W15" s="3">
        <f t="shared" si="6"/>
        <v>615388</v>
      </c>
      <c r="X15" s="3">
        <f t="shared" si="6"/>
        <v>5692233</v>
      </c>
      <c r="Y15" s="3">
        <f t="shared" si="5"/>
        <v>234838956</v>
      </c>
      <c r="Z15" s="3">
        <f t="shared" si="0"/>
        <v>123012053</v>
      </c>
      <c r="AA15" s="3"/>
      <c r="AB15" s="3">
        <f t="shared" si="6"/>
        <v>1150302</v>
      </c>
      <c r="AC15" s="3">
        <f t="shared" si="6"/>
        <v>0</v>
      </c>
      <c r="AD15" s="3">
        <f t="shared" si="6"/>
        <v>5057245</v>
      </c>
      <c r="AE15" s="3">
        <f t="shared" si="4"/>
        <v>6207547</v>
      </c>
    </row>
    <row r="16" spans="1:31" x14ac:dyDescent="0.2">
      <c r="A16" s="3"/>
      <c r="Y16" s="4"/>
      <c r="Z16" s="4"/>
      <c r="AE16" s="22"/>
    </row>
    <row r="17" spans="1:31" x14ac:dyDescent="0.2">
      <c r="A17" s="2" t="s">
        <v>4</v>
      </c>
      <c r="B17" s="5">
        <v>1997</v>
      </c>
      <c r="C17" s="2">
        <v>4195663</v>
      </c>
      <c r="D17" s="2">
        <v>3203451</v>
      </c>
      <c r="E17" s="2">
        <v>2768278</v>
      </c>
      <c r="F17" s="2">
        <v>738578</v>
      </c>
      <c r="G17" s="2">
        <v>4469044</v>
      </c>
      <c r="H17" s="2">
        <v>6819351</v>
      </c>
      <c r="I17" s="2">
        <v>1485623</v>
      </c>
      <c r="J17" s="2">
        <v>17220894</v>
      </c>
      <c r="K17" s="2">
        <v>79862182</v>
      </c>
      <c r="L17" s="2">
        <v>5850062</v>
      </c>
      <c r="M17" s="2">
        <v>17474261</v>
      </c>
      <c r="N17" s="2">
        <v>4386175</v>
      </c>
      <c r="O17" s="2">
        <v>2194930</v>
      </c>
      <c r="P17" s="2">
        <v>4670807</v>
      </c>
      <c r="Q17" s="2">
        <v>828653</v>
      </c>
      <c r="R17" s="2">
        <v>135709</v>
      </c>
      <c r="S17" s="2">
        <v>3154494</v>
      </c>
      <c r="T17" s="2">
        <v>4574498</v>
      </c>
      <c r="U17" s="2">
        <v>17656081</v>
      </c>
      <c r="V17" s="2">
        <v>1653959</v>
      </c>
      <c r="W17" s="2">
        <v>395514</v>
      </c>
      <c r="X17" s="2">
        <v>551010</v>
      </c>
      <c r="Y17" s="4">
        <f t="shared" si="5"/>
        <v>184289217</v>
      </c>
      <c r="Z17" s="4">
        <f t="shared" si="0"/>
        <v>95553390</v>
      </c>
      <c r="AB17" s="2">
        <v>437802</v>
      </c>
      <c r="AC17" s="2">
        <v>0</v>
      </c>
      <c r="AD17" s="2">
        <v>221956</v>
      </c>
      <c r="AE17" s="22">
        <f t="shared" si="4"/>
        <v>659758</v>
      </c>
    </row>
    <row r="18" spans="1:31" x14ac:dyDescent="0.2">
      <c r="A18" s="2" t="s">
        <v>5</v>
      </c>
      <c r="B18" s="5">
        <v>1997</v>
      </c>
      <c r="C18" s="2">
        <v>0</v>
      </c>
      <c r="D18" s="2">
        <v>0</v>
      </c>
      <c r="E18" s="2">
        <v>0</v>
      </c>
      <c r="F18" s="2">
        <v>0</v>
      </c>
      <c r="G18" s="2">
        <v>911278</v>
      </c>
      <c r="H18" s="2">
        <v>237737</v>
      </c>
      <c r="I18" s="2">
        <v>303812</v>
      </c>
      <c r="J18" s="2">
        <v>7684815</v>
      </c>
      <c r="K18" s="2">
        <v>14684751</v>
      </c>
      <c r="L18" s="2">
        <v>1455151</v>
      </c>
      <c r="M18" s="2">
        <v>3821912</v>
      </c>
      <c r="N18" s="2">
        <v>1655079</v>
      </c>
      <c r="O18" s="2">
        <v>36427</v>
      </c>
      <c r="P18" s="2">
        <v>315477</v>
      </c>
      <c r="Q18" s="2">
        <v>44342</v>
      </c>
      <c r="R18" s="2">
        <v>42964</v>
      </c>
      <c r="S18" s="2">
        <v>190169</v>
      </c>
      <c r="T18" s="2">
        <v>1042529</v>
      </c>
      <c r="U18" s="2">
        <v>1793632</v>
      </c>
      <c r="V18" s="2">
        <v>428509</v>
      </c>
      <c r="W18" s="2">
        <v>141890</v>
      </c>
      <c r="X18" s="2">
        <v>87193</v>
      </c>
      <c r="Y18" s="4">
        <f t="shared" si="5"/>
        <v>34877667</v>
      </c>
      <c r="Z18" s="4">
        <f t="shared" si="0"/>
        <v>18656996</v>
      </c>
      <c r="AB18" s="2">
        <v>1451128</v>
      </c>
      <c r="AC18" s="2">
        <v>0</v>
      </c>
      <c r="AD18" s="2">
        <v>0</v>
      </c>
      <c r="AE18" s="22">
        <f t="shared" si="4"/>
        <v>1451128</v>
      </c>
    </row>
    <row r="19" spans="1:31" x14ac:dyDescent="0.2">
      <c r="A19" s="3" t="s">
        <v>33</v>
      </c>
      <c r="B19" s="21">
        <v>1997</v>
      </c>
      <c r="C19" s="3">
        <f>SUM(C17:C18)</f>
        <v>4195663</v>
      </c>
      <c r="D19" s="3">
        <f t="shared" ref="D19:AD19" si="7">SUM(D17:D18)</f>
        <v>3203451</v>
      </c>
      <c r="E19" s="3">
        <f t="shared" si="7"/>
        <v>2768278</v>
      </c>
      <c r="F19" s="3">
        <f t="shared" si="7"/>
        <v>738578</v>
      </c>
      <c r="G19" s="3">
        <f t="shared" si="7"/>
        <v>5380322</v>
      </c>
      <c r="H19" s="3">
        <f t="shared" si="7"/>
        <v>7057088</v>
      </c>
      <c r="I19" s="3">
        <f t="shared" si="7"/>
        <v>1789435</v>
      </c>
      <c r="J19" s="3">
        <f t="shared" si="7"/>
        <v>24905709</v>
      </c>
      <c r="K19" s="3">
        <f t="shared" si="7"/>
        <v>94546933</v>
      </c>
      <c r="L19" s="3">
        <f t="shared" si="7"/>
        <v>7305213</v>
      </c>
      <c r="M19" s="3">
        <f t="shared" si="7"/>
        <v>21296173</v>
      </c>
      <c r="N19" s="3">
        <f t="shared" si="7"/>
        <v>6041254</v>
      </c>
      <c r="O19" s="3">
        <f t="shared" si="7"/>
        <v>2231357</v>
      </c>
      <c r="P19" s="3">
        <f t="shared" si="7"/>
        <v>4986284</v>
      </c>
      <c r="Q19" s="3">
        <f t="shared" si="7"/>
        <v>872995</v>
      </c>
      <c r="R19" s="3">
        <f t="shared" si="7"/>
        <v>178673</v>
      </c>
      <c r="S19" s="3">
        <f t="shared" si="7"/>
        <v>3344663</v>
      </c>
      <c r="T19" s="3">
        <f t="shared" si="7"/>
        <v>5617027</v>
      </c>
      <c r="U19" s="3">
        <f t="shared" si="7"/>
        <v>19449713</v>
      </c>
      <c r="V19" s="3">
        <f t="shared" si="7"/>
        <v>2082468</v>
      </c>
      <c r="W19" s="3">
        <f t="shared" si="7"/>
        <v>537404</v>
      </c>
      <c r="X19" s="3">
        <f t="shared" si="7"/>
        <v>638203</v>
      </c>
      <c r="Y19" s="3">
        <f t="shared" si="5"/>
        <v>219166884</v>
      </c>
      <c r="Z19" s="3">
        <f t="shared" si="0"/>
        <v>114210386</v>
      </c>
      <c r="AA19" s="3"/>
      <c r="AB19" s="3">
        <f t="shared" si="7"/>
        <v>1888930</v>
      </c>
      <c r="AC19" s="3">
        <f t="shared" si="7"/>
        <v>0</v>
      </c>
      <c r="AD19" s="3">
        <f t="shared" si="7"/>
        <v>221956</v>
      </c>
      <c r="AE19" s="3">
        <f t="shared" si="4"/>
        <v>2110886</v>
      </c>
    </row>
    <row r="20" spans="1:31" s="194" customFormat="1" x14ac:dyDescent="0.2">
      <c r="B20" s="195"/>
      <c r="Y20" s="196"/>
      <c r="Z20" s="196"/>
      <c r="AE20" s="197"/>
    </row>
    <row r="21" spans="1:31" x14ac:dyDescent="0.2">
      <c r="A21" s="3"/>
      <c r="Y21" s="4"/>
      <c r="Z21" s="4"/>
      <c r="AE21" s="22"/>
    </row>
    <row r="22" spans="1:31" x14ac:dyDescent="0.2">
      <c r="A22" s="2" t="s">
        <v>0</v>
      </c>
      <c r="B22" s="5">
        <v>1996</v>
      </c>
      <c r="C22" s="2">
        <v>29682350</v>
      </c>
      <c r="D22" s="2">
        <v>855677</v>
      </c>
      <c r="E22" s="2">
        <v>0</v>
      </c>
      <c r="F22" s="2">
        <v>0</v>
      </c>
      <c r="G22" s="2">
        <v>10044259</v>
      </c>
      <c r="H22" s="2">
        <v>722826</v>
      </c>
      <c r="I22" s="2">
        <v>1358831</v>
      </c>
      <c r="J22" s="2">
        <v>12978628</v>
      </c>
      <c r="K22" s="2">
        <v>72494226</v>
      </c>
      <c r="L22" s="2">
        <v>0</v>
      </c>
      <c r="M22" s="2">
        <v>4830323</v>
      </c>
      <c r="N22" s="2">
        <v>1704801</v>
      </c>
      <c r="O22" s="2">
        <v>0</v>
      </c>
      <c r="P22" s="2">
        <v>422011</v>
      </c>
      <c r="Q22" s="2">
        <v>110839</v>
      </c>
      <c r="R22" s="2">
        <v>5461898</v>
      </c>
      <c r="S22" s="2">
        <v>866094</v>
      </c>
      <c r="T22" s="2">
        <v>2263161</v>
      </c>
      <c r="U22" s="2">
        <v>11695661</v>
      </c>
      <c r="V22" s="2">
        <v>674144</v>
      </c>
      <c r="W22" s="2">
        <v>492654</v>
      </c>
      <c r="X22" s="2">
        <v>1817978</v>
      </c>
      <c r="Y22" s="4">
        <f t="shared" si="5"/>
        <v>158476361</v>
      </c>
      <c r="Z22" s="4">
        <f t="shared" si="0"/>
        <v>85871296</v>
      </c>
      <c r="AB22" s="2">
        <v>863942</v>
      </c>
      <c r="AC22" s="2">
        <v>0</v>
      </c>
      <c r="AD22" s="2">
        <v>3245161</v>
      </c>
      <c r="AE22" s="22">
        <f t="shared" si="4"/>
        <v>4109103</v>
      </c>
    </row>
    <row r="23" spans="1:31" x14ac:dyDescent="0.2">
      <c r="A23" s="2" t="s">
        <v>1</v>
      </c>
      <c r="B23" s="5">
        <v>1996</v>
      </c>
      <c r="C23" s="2">
        <v>633042</v>
      </c>
      <c r="D23" s="2">
        <v>238226</v>
      </c>
      <c r="E23" s="2">
        <v>0</v>
      </c>
      <c r="F23" s="2">
        <v>0</v>
      </c>
      <c r="G23" s="2">
        <v>5534276</v>
      </c>
      <c r="H23" s="2">
        <v>681543</v>
      </c>
      <c r="I23" s="2">
        <v>1032602</v>
      </c>
      <c r="J23" s="2">
        <v>7366238</v>
      </c>
      <c r="K23" s="2">
        <v>41850552</v>
      </c>
      <c r="L23" s="2">
        <v>0</v>
      </c>
      <c r="M23" s="2">
        <v>5852376</v>
      </c>
      <c r="N23" s="2">
        <v>601902</v>
      </c>
      <c r="O23" s="2">
        <v>20681835</v>
      </c>
      <c r="P23" s="2">
        <v>274358</v>
      </c>
      <c r="Q23" s="2">
        <v>140942</v>
      </c>
      <c r="R23" s="2">
        <v>2237230</v>
      </c>
      <c r="S23" s="2">
        <v>954343</v>
      </c>
      <c r="T23" s="2">
        <v>2812879</v>
      </c>
      <c r="U23" s="2">
        <v>7430275</v>
      </c>
      <c r="V23" s="2">
        <v>169489</v>
      </c>
      <c r="W23" s="2">
        <v>362675</v>
      </c>
      <c r="X23" s="2">
        <v>4240382</v>
      </c>
      <c r="Y23" s="4">
        <f t="shared" si="5"/>
        <v>103095165</v>
      </c>
      <c r="Z23" s="4">
        <f t="shared" si="0"/>
        <v>40421836</v>
      </c>
      <c r="AB23" s="2">
        <v>458830</v>
      </c>
      <c r="AC23" s="2">
        <v>0</v>
      </c>
      <c r="AD23" s="2">
        <v>2343391</v>
      </c>
      <c r="AE23" s="22">
        <f t="shared" si="4"/>
        <v>2802221</v>
      </c>
    </row>
    <row r="24" spans="1:31" x14ac:dyDescent="0.2">
      <c r="A24" s="3" t="s">
        <v>37</v>
      </c>
      <c r="B24" s="21">
        <v>1996</v>
      </c>
      <c r="C24" s="3">
        <f>SUM(C22:C23)</f>
        <v>30315392</v>
      </c>
      <c r="D24" s="3">
        <f t="shared" ref="D24:AD24" si="8">SUM(D22:D23)</f>
        <v>1093903</v>
      </c>
      <c r="E24" s="3">
        <f t="shared" si="8"/>
        <v>0</v>
      </c>
      <c r="F24" s="3">
        <f t="shared" si="8"/>
        <v>0</v>
      </c>
      <c r="G24" s="3">
        <f t="shared" si="8"/>
        <v>15578535</v>
      </c>
      <c r="H24" s="3">
        <f t="shared" si="8"/>
        <v>1404369</v>
      </c>
      <c r="I24" s="3">
        <f t="shared" si="8"/>
        <v>2391433</v>
      </c>
      <c r="J24" s="3">
        <f t="shared" si="8"/>
        <v>20344866</v>
      </c>
      <c r="K24" s="3">
        <f t="shared" si="8"/>
        <v>114344778</v>
      </c>
      <c r="L24" s="3">
        <f t="shared" si="8"/>
        <v>0</v>
      </c>
      <c r="M24" s="3">
        <f t="shared" si="8"/>
        <v>10682699</v>
      </c>
      <c r="N24" s="3">
        <f t="shared" si="8"/>
        <v>2306703</v>
      </c>
      <c r="O24" s="3">
        <f t="shared" si="8"/>
        <v>20681835</v>
      </c>
      <c r="P24" s="3">
        <f t="shared" si="8"/>
        <v>696369</v>
      </c>
      <c r="Q24" s="3">
        <f t="shared" si="8"/>
        <v>251781</v>
      </c>
      <c r="R24" s="3">
        <f t="shared" si="8"/>
        <v>7699128</v>
      </c>
      <c r="S24" s="3">
        <f t="shared" si="8"/>
        <v>1820437</v>
      </c>
      <c r="T24" s="3">
        <f t="shared" si="8"/>
        <v>5076040</v>
      </c>
      <c r="U24" s="3">
        <f t="shared" si="8"/>
        <v>19125936</v>
      </c>
      <c r="V24" s="3">
        <f t="shared" si="8"/>
        <v>843633</v>
      </c>
      <c r="W24" s="3">
        <f t="shared" si="8"/>
        <v>855329</v>
      </c>
      <c r="X24" s="3">
        <f t="shared" si="8"/>
        <v>6058360</v>
      </c>
      <c r="Y24" s="3">
        <f t="shared" si="5"/>
        <v>261571526</v>
      </c>
      <c r="Z24" s="3">
        <f t="shared" si="0"/>
        <v>126293132</v>
      </c>
      <c r="AA24" s="3"/>
      <c r="AB24" s="3">
        <f t="shared" si="8"/>
        <v>1322772</v>
      </c>
      <c r="AC24" s="3">
        <f t="shared" si="8"/>
        <v>0</v>
      </c>
      <c r="AD24" s="3">
        <f t="shared" si="8"/>
        <v>5588552</v>
      </c>
      <c r="AE24" s="3">
        <f t="shared" si="4"/>
        <v>6911324</v>
      </c>
    </row>
    <row r="25" spans="1:31" x14ac:dyDescent="0.2">
      <c r="Y25" s="4"/>
      <c r="Z25" s="4"/>
      <c r="AE25" s="22"/>
    </row>
    <row r="26" spans="1:31" x14ac:dyDescent="0.2">
      <c r="A26" s="2" t="s">
        <v>4</v>
      </c>
      <c r="B26" s="5">
        <v>1996</v>
      </c>
      <c r="C26" s="2">
        <v>4796355</v>
      </c>
      <c r="D26" s="2">
        <v>2842035</v>
      </c>
      <c r="E26" s="2">
        <v>3728225</v>
      </c>
      <c r="F26" s="2">
        <v>1004341</v>
      </c>
      <c r="G26" s="2">
        <v>7339446</v>
      </c>
      <c r="H26" s="2">
        <v>6722773</v>
      </c>
      <c r="I26" s="2">
        <v>1266863</v>
      </c>
      <c r="J26" s="2">
        <v>19196988</v>
      </c>
      <c r="K26" s="2">
        <v>72453567</v>
      </c>
      <c r="L26" s="2">
        <v>5581179</v>
      </c>
      <c r="M26" s="2">
        <v>18610862</v>
      </c>
      <c r="N26" s="2">
        <v>4570505</v>
      </c>
      <c r="O26" s="2">
        <v>6478226</v>
      </c>
      <c r="P26" s="2">
        <v>3284552</v>
      </c>
      <c r="Q26" s="2">
        <v>1102304</v>
      </c>
      <c r="R26" s="2">
        <v>159674</v>
      </c>
      <c r="S26" s="2">
        <v>1912529</v>
      </c>
      <c r="T26" s="2">
        <v>4082190</v>
      </c>
      <c r="U26" s="2">
        <v>18015787</v>
      </c>
      <c r="V26" s="2">
        <v>1325048</v>
      </c>
      <c r="W26" s="2">
        <v>314659</v>
      </c>
      <c r="X26" s="2">
        <v>448575</v>
      </c>
      <c r="Y26" s="4">
        <f t="shared" si="5"/>
        <v>185236683</v>
      </c>
      <c r="Z26" s="4">
        <f t="shared" si="0"/>
        <v>99621407</v>
      </c>
      <c r="AB26" s="2">
        <v>1380297</v>
      </c>
      <c r="AC26" s="2">
        <v>0</v>
      </c>
      <c r="AD26" s="2">
        <v>260101</v>
      </c>
      <c r="AE26" s="22">
        <f t="shared" si="4"/>
        <v>1640398</v>
      </c>
    </row>
    <row r="27" spans="1:31" x14ac:dyDescent="0.2">
      <c r="A27" s="2" t="s">
        <v>5</v>
      </c>
      <c r="B27" s="5">
        <v>1996</v>
      </c>
      <c r="C27" s="2">
        <v>0</v>
      </c>
      <c r="D27" s="2">
        <v>0</v>
      </c>
      <c r="E27" s="2">
        <v>0</v>
      </c>
      <c r="F27" s="2">
        <v>0</v>
      </c>
      <c r="G27" s="2">
        <v>1115117</v>
      </c>
      <c r="H27" s="2">
        <v>353044</v>
      </c>
      <c r="I27" s="2">
        <v>279431</v>
      </c>
      <c r="J27" s="2">
        <v>6050106</v>
      </c>
      <c r="K27" s="2">
        <v>7961005</v>
      </c>
      <c r="L27" s="2">
        <v>1499017</v>
      </c>
      <c r="M27" s="2">
        <v>3778394</v>
      </c>
      <c r="N27" s="2">
        <v>1814319</v>
      </c>
      <c r="O27" s="2">
        <v>56488</v>
      </c>
      <c r="P27" s="2">
        <v>400816</v>
      </c>
      <c r="Q27" s="2">
        <v>66159</v>
      </c>
      <c r="R27" s="2">
        <v>89196</v>
      </c>
      <c r="S27" s="2">
        <v>209297</v>
      </c>
      <c r="T27" s="2">
        <v>913852</v>
      </c>
      <c r="U27" s="2">
        <v>-7280514</v>
      </c>
      <c r="V27" s="2">
        <v>265699</v>
      </c>
      <c r="W27" s="2">
        <v>171236</v>
      </c>
      <c r="X27" s="2">
        <v>78917</v>
      </c>
      <c r="Y27" s="4">
        <f t="shared" si="5"/>
        <v>17821579</v>
      </c>
      <c r="Z27" s="4">
        <f t="shared" si="0"/>
        <v>8238910</v>
      </c>
      <c r="AB27" s="2">
        <v>-7305362</v>
      </c>
      <c r="AC27" s="2">
        <v>0</v>
      </c>
      <c r="AD27" s="2">
        <v>41648</v>
      </c>
      <c r="AE27" s="22">
        <f t="shared" si="4"/>
        <v>-7263714</v>
      </c>
    </row>
    <row r="28" spans="1:31" x14ac:dyDescent="0.2">
      <c r="A28" s="3" t="s">
        <v>33</v>
      </c>
      <c r="B28" s="21">
        <v>1996</v>
      </c>
      <c r="C28" s="3">
        <f>SUM(C26:C27)</f>
        <v>4796355</v>
      </c>
      <c r="D28" s="3">
        <f t="shared" ref="D28:AD28" si="9">SUM(D26:D27)</f>
        <v>2842035</v>
      </c>
      <c r="E28" s="3">
        <f t="shared" si="9"/>
        <v>3728225</v>
      </c>
      <c r="F28" s="3">
        <f t="shared" si="9"/>
        <v>1004341</v>
      </c>
      <c r="G28" s="3">
        <f t="shared" si="9"/>
        <v>8454563</v>
      </c>
      <c r="H28" s="3">
        <f t="shared" si="9"/>
        <v>7075817</v>
      </c>
      <c r="I28" s="3">
        <f t="shared" si="9"/>
        <v>1546294</v>
      </c>
      <c r="J28" s="3">
        <f t="shared" si="9"/>
        <v>25247094</v>
      </c>
      <c r="K28" s="3">
        <f t="shared" si="9"/>
        <v>80414572</v>
      </c>
      <c r="L28" s="3">
        <f t="shared" si="9"/>
        <v>7080196</v>
      </c>
      <c r="M28" s="3">
        <f t="shared" si="9"/>
        <v>22389256</v>
      </c>
      <c r="N28" s="3">
        <f t="shared" si="9"/>
        <v>6384824</v>
      </c>
      <c r="O28" s="3">
        <f t="shared" si="9"/>
        <v>6534714</v>
      </c>
      <c r="P28" s="3">
        <f t="shared" si="9"/>
        <v>3685368</v>
      </c>
      <c r="Q28" s="3">
        <f t="shared" si="9"/>
        <v>1168463</v>
      </c>
      <c r="R28" s="3">
        <f t="shared" si="9"/>
        <v>248870</v>
      </c>
      <c r="S28" s="3">
        <f t="shared" si="9"/>
        <v>2121826</v>
      </c>
      <c r="T28" s="3">
        <f t="shared" si="9"/>
        <v>4996042</v>
      </c>
      <c r="U28" s="3">
        <f t="shared" si="9"/>
        <v>10735273</v>
      </c>
      <c r="V28" s="3">
        <f t="shared" si="9"/>
        <v>1590747</v>
      </c>
      <c r="W28" s="3">
        <f t="shared" si="9"/>
        <v>485895</v>
      </c>
      <c r="X28" s="3">
        <f t="shared" si="9"/>
        <v>527492</v>
      </c>
      <c r="Y28" s="3">
        <f t="shared" si="5"/>
        <v>203058262</v>
      </c>
      <c r="Z28" s="3">
        <f t="shared" si="0"/>
        <v>107860317</v>
      </c>
      <c r="AA28" s="3"/>
      <c r="AB28" s="3">
        <f t="shared" si="9"/>
        <v>-5925065</v>
      </c>
      <c r="AC28" s="3">
        <f t="shared" si="9"/>
        <v>0</v>
      </c>
      <c r="AD28" s="3">
        <f t="shared" si="9"/>
        <v>301749</v>
      </c>
      <c r="AE28" s="3">
        <f t="shared" si="4"/>
        <v>-5623316</v>
      </c>
    </row>
    <row r="29" spans="1:31" s="194" customFormat="1" x14ac:dyDescent="0.2">
      <c r="B29" s="195"/>
      <c r="Z29" s="196"/>
      <c r="AE29" s="197"/>
    </row>
    <row r="30" spans="1:31" x14ac:dyDescent="0.2">
      <c r="Z30" s="4"/>
      <c r="AE30" s="22"/>
    </row>
    <row r="31" spans="1:31" x14ac:dyDescent="0.2">
      <c r="A31" s="2" t="s">
        <v>2</v>
      </c>
      <c r="B31" s="5">
        <v>1998</v>
      </c>
      <c r="C31" s="2">
        <v>0</v>
      </c>
      <c r="D31" s="2">
        <v>0</v>
      </c>
      <c r="E31" s="2">
        <v>0</v>
      </c>
      <c r="F31" s="2">
        <v>0</v>
      </c>
      <c r="G31" s="2">
        <v>3364119</v>
      </c>
      <c r="H31" s="2">
        <v>1088879</v>
      </c>
      <c r="I31" s="2">
        <v>220172</v>
      </c>
      <c r="J31" s="2">
        <v>13307158</v>
      </c>
      <c r="K31" s="2">
        <v>19400685</v>
      </c>
      <c r="L31" s="2">
        <v>810249</v>
      </c>
      <c r="M31" s="2">
        <v>5605855</v>
      </c>
      <c r="N31" s="2">
        <v>2539110</v>
      </c>
      <c r="O31" s="2">
        <v>7240178</v>
      </c>
      <c r="P31" s="2">
        <v>3068188</v>
      </c>
      <c r="Q31" s="2">
        <v>148198</v>
      </c>
      <c r="R31" s="2">
        <v>49688</v>
      </c>
      <c r="S31" s="2">
        <v>64380</v>
      </c>
      <c r="T31" s="2">
        <v>909098</v>
      </c>
      <c r="U31" s="2">
        <v>2897447</v>
      </c>
      <c r="V31" s="2">
        <v>268526</v>
      </c>
      <c r="W31" s="2">
        <v>219204</v>
      </c>
      <c r="X31" s="2">
        <v>4427</v>
      </c>
      <c r="Y31" s="4">
        <f t="shared" ref="Y31:Y36" si="10">SUM(B31:X31)</f>
        <v>61207559</v>
      </c>
      <c r="Z31" s="4">
        <f t="shared" si="0"/>
        <v>33608249</v>
      </c>
      <c r="AA31" s="4"/>
      <c r="AB31" s="2">
        <v>-492088</v>
      </c>
      <c r="AC31" s="2">
        <v>0</v>
      </c>
      <c r="AD31" s="2">
        <v>0</v>
      </c>
      <c r="AE31" s="22">
        <f t="shared" si="4"/>
        <v>-492088</v>
      </c>
    </row>
    <row r="32" spans="1:31" x14ac:dyDescent="0.2">
      <c r="A32" s="2" t="s">
        <v>3</v>
      </c>
      <c r="B32" s="5">
        <v>1998</v>
      </c>
      <c r="C32" s="2">
        <v>0</v>
      </c>
      <c r="D32" s="2">
        <v>0</v>
      </c>
      <c r="E32" s="2">
        <v>0</v>
      </c>
      <c r="F32" s="2">
        <v>0</v>
      </c>
      <c r="G32" s="2">
        <v>1591020</v>
      </c>
      <c r="H32" s="2">
        <v>619054</v>
      </c>
      <c r="I32" s="2">
        <v>502691</v>
      </c>
      <c r="J32" s="2">
        <v>2922737</v>
      </c>
      <c r="K32" s="2">
        <v>0</v>
      </c>
      <c r="L32" s="2">
        <v>0</v>
      </c>
      <c r="M32" s="2">
        <v>1546269</v>
      </c>
      <c r="N32" s="2">
        <v>308483</v>
      </c>
      <c r="O32" s="2">
        <v>0</v>
      </c>
      <c r="P32" s="2">
        <v>55040</v>
      </c>
      <c r="Q32" s="2">
        <v>33797</v>
      </c>
      <c r="R32" s="2">
        <v>78622</v>
      </c>
      <c r="S32" s="2">
        <v>90599</v>
      </c>
      <c r="T32" s="2">
        <v>86690</v>
      </c>
      <c r="U32" s="2">
        <v>259795</v>
      </c>
      <c r="V32" s="2">
        <v>46676</v>
      </c>
      <c r="W32" s="2">
        <v>46159</v>
      </c>
      <c r="X32" s="2">
        <v>8019</v>
      </c>
      <c r="Y32" s="4">
        <f t="shared" si="10"/>
        <v>8197649</v>
      </c>
      <c r="Z32" s="4">
        <f t="shared" si="0"/>
        <v>8163852</v>
      </c>
      <c r="AA32" s="4"/>
      <c r="AB32" s="2">
        <v>34064</v>
      </c>
      <c r="AC32" s="2">
        <v>46163</v>
      </c>
      <c r="AD32" s="2">
        <v>397506</v>
      </c>
      <c r="AE32" s="22">
        <f t="shared" si="4"/>
        <v>477733</v>
      </c>
    </row>
    <row r="33" spans="1:31" x14ac:dyDescent="0.2">
      <c r="A33" s="2" t="s">
        <v>2</v>
      </c>
      <c r="B33" s="5">
        <v>1997</v>
      </c>
      <c r="C33" s="2">
        <v>0</v>
      </c>
      <c r="D33" s="2">
        <v>0</v>
      </c>
      <c r="E33" s="2">
        <v>0</v>
      </c>
      <c r="F33" s="2">
        <v>0</v>
      </c>
      <c r="G33" s="2">
        <v>3712268</v>
      </c>
      <c r="H33" s="2">
        <v>1128593</v>
      </c>
      <c r="I33" s="2">
        <v>259451</v>
      </c>
      <c r="J33" s="2">
        <v>12372881</v>
      </c>
      <c r="K33" s="2">
        <v>27378637</v>
      </c>
      <c r="L33" s="2">
        <v>842041</v>
      </c>
      <c r="M33" s="2">
        <v>5298028</v>
      </c>
      <c r="N33" s="2">
        <v>2430374</v>
      </c>
      <c r="O33" s="2">
        <v>7363049</v>
      </c>
      <c r="P33" s="2">
        <v>2901863</v>
      </c>
      <c r="Q33" s="2">
        <v>144905</v>
      </c>
      <c r="R33" s="2">
        <v>195</v>
      </c>
      <c r="S33" s="2">
        <v>81274</v>
      </c>
      <c r="T33" s="2">
        <v>1202769</v>
      </c>
      <c r="U33" s="2">
        <v>2963325</v>
      </c>
      <c r="V33" s="2">
        <v>304959</v>
      </c>
      <c r="W33" s="2">
        <v>278588</v>
      </c>
      <c r="X33" s="2">
        <v>27659</v>
      </c>
      <c r="Y33" s="4">
        <f t="shared" si="10"/>
        <v>68692856</v>
      </c>
      <c r="Z33" s="4">
        <f t="shared" si="0"/>
        <v>32964224</v>
      </c>
      <c r="AB33" s="2">
        <v>775494</v>
      </c>
      <c r="AC33" s="2">
        <v>0</v>
      </c>
      <c r="AD33" s="2">
        <v>81</v>
      </c>
      <c r="AE33" s="22">
        <f t="shared" si="4"/>
        <v>775575</v>
      </c>
    </row>
    <row r="34" spans="1:31" x14ac:dyDescent="0.2">
      <c r="A34" s="2" t="s">
        <v>3</v>
      </c>
      <c r="B34" s="5">
        <v>1997</v>
      </c>
      <c r="C34" s="2">
        <v>0</v>
      </c>
      <c r="D34" s="2">
        <v>0</v>
      </c>
      <c r="E34" s="2">
        <v>0</v>
      </c>
      <c r="F34" s="2">
        <v>0</v>
      </c>
      <c r="G34" s="2">
        <v>1197412</v>
      </c>
      <c r="H34" s="2">
        <v>608617</v>
      </c>
      <c r="I34" s="2">
        <v>537734</v>
      </c>
      <c r="J34" s="2">
        <v>2027056</v>
      </c>
      <c r="K34" s="2">
        <v>0</v>
      </c>
      <c r="L34" s="2">
        <v>0</v>
      </c>
      <c r="M34" s="2">
        <v>1912572</v>
      </c>
      <c r="N34" s="2">
        <v>216386</v>
      </c>
      <c r="O34" s="2">
        <v>0</v>
      </c>
      <c r="P34" s="2">
        <v>32039</v>
      </c>
      <c r="Q34" s="2">
        <v>32404</v>
      </c>
      <c r="R34" s="2">
        <v>22187</v>
      </c>
      <c r="S34" s="2">
        <v>192424</v>
      </c>
      <c r="T34" s="2">
        <v>372433</v>
      </c>
      <c r="U34" s="2">
        <v>596084</v>
      </c>
      <c r="V34" s="2">
        <v>71736</v>
      </c>
      <c r="W34" s="2">
        <v>9254</v>
      </c>
      <c r="X34" s="2">
        <v>12509</v>
      </c>
      <c r="Y34" s="4">
        <f t="shared" si="10"/>
        <v>7842844</v>
      </c>
      <c r="Z34" s="4">
        <f t="shared" si="0"/>
        <v>7810440</v>
      </c>
      <c r="AB34" s="2">
        <v>24284</v>
      </c>
      <c r="AC34" s="2">
        <v>41833</v>
      </c>
      <c r="AD34" s="2">
        <v>377089</v>
      </c>
      <c r="AE34" s="22">
        <f t="shared" si="4"/>
        <v>443206</v>
      </c>
    </row>
    <row r="35" spans="1:31" x14ac:dyDescent="0.2">
      <c r="A35" s="2" t="s">
        <v>2</v>
      </c>
      <c r="B35" s="5">
        <v>1996</v>
      </c>
      <c r="C35" s="2">
        <v>0</v>
      </c>
      <c r="D35" s="2">
        <v>0</v>
      </c>
      <c r="E35" s="2">
        <v>0</v>
      </c>
      <c r="F35" s="2">
        <v>0</v>
      </c>
      <c r="G35" s="2">
        <v>3853130</v>
      </c>
      <c r="H35" s="2">
        <v>887347</v>
      </c>
      <c r="I35" s="2">
        <v>140691</v>
      </c>
      <c r="J35" s="2">
        <v>8018905</v>
      </c>
      <c r="K35" s="2">
        <v>25372582</v>
      </c>
      <c r="L35" s="2">
        <v>848516</v>
      </c>
      <c r="M35" s="2">
        <v>5980045</v>
      </c>
      <c r="N35" s="2">
        <v>2244947</v>
      </c>
      <c r="O35" s="2">
        <v>8204724</v>
      </c>
      <c r="P35" s="2">
        <v>-531052</v>
      </c>
      <c r="Q35" s="2">
        <v>150403</v>
      </c>
      <c r="R35" s="2">
        <v>2316</v>
      </c>
      <c r="S35" s="2">
        <v>45009</v>
      </c>
      <c r="T35" s="2">
        <v>1452811</v>
      </c>
      <c r="U35" s="2">
        <v>4139950</v>
      </c>
      <c r="V35" s="2">
        <v>350580</v>
      </c>
      <c r="W35" s="2">
        <v>246264</v>
      </c>
      <c r="X35" s="2">
        <v>34058</v>
      </c>
      <c r="Y35" s="4">
        <f t="shared" si="10"/>
        <v>61443222</v>
      </c>
      <c r="Z35" s="4">
        <f t="shared" si="0"/>
        <v>26866997</v>
      </c>
      <c r="AB35" s="2">
        <v>92411</v>
      </c>
      <c r="AC35" s="2">
        <v>0</v>
      </c>
      <c r="AD35" s="2">
        <v>81</v>
      </c>
      <c r="AE35" s="22">
        <f t="shared" si="4"/>
        <v>92492</v>
      </c>
    </row>
    <row r="36" spans="1:31" x14ac:dyDescent="0.2">
      <c r="A36" s="2" t="s">
        <v>3</v>
      </c>
      <c r="B36" s="5">
        <v>1996</v>
      </c>
      <c r="C36" s="2">
        <v>0</v>
      </c>
      <c r="D36" s="2">
        <v>0</v>
      </c>
      <c r="E36" s="2">
        <v>0</v>
      </c>
      <c r="F36" s="2">
        <v>0</v>
      </c>
      <c r="G36" s="2">
        <v>988246</v>
      </c>
      <c r="H36" s="2">
        <v>476676</v>
      </c>
      <c r="I36" s="2">
        <v>534644</v>
      </c>
      <c r="J36" s="2">
        <v>2157285</v>
      </c>
      <c r="K36" s="2">
        <v>0</v>
      </c>
      <c r="L36" s="2">
        <v>0</v>
      </c>
      <c r="M36" s="2">
        <v>1922661</v>
      </c>
      <c r="N36" s="2">
        <v>189102</v>
      </c>
      <c r="O36" s="2">
        <v>0</v>
      </c>
      <c r="P36" s="2">
        <v>87573</v>
      </c>
      <c r="Q36" s="2">
        <v>42344</v>
      </c>
      <c r="R36" s="2">
        <v>39098</v>
      </c>
      <c r="S36" s="2">
        <v>205865</v>
      </c>
      <c r="T36" s="2">
        <v>284218</v>
      </c>
      <c r="U36" s="2">
        <v>322358</v>
      </c>
      <c r="V36" s="2">
        <v>71227</v>
      </c>
      <c r="W36" s="2">
        <v>12855</v>
      </c>
      <c r="X36" s="2">
        <v>15146</v>
      </c>
      <c r="Y36" s="4">
        <f t="shared" si="10"/>
        <v>7351294</v>
      </c>
      <c r="Z36" s="4">
        <f t="shared" si="0"/>
        <v>7308950</v>
      </c>
      <c r="AB36" s="2">
        <v>25334</v>
      </c>
      <c r="AC36" s="2">
        <v>41688</v>
      </c>
      <c r="AD36" s="2">
        <v>171814</v>
      </c>
      <c r="AE36" s="22">
        <f t="shared" si="4"/>
        <v>238836</v>
      </c>
    </row>
    <row r="37" spans="1:31" s="194" customFormat="1" x14ac:dyDescent="0.2">
      <c r="B37" s="195"/>
    </row>
    <row r="38" spans="1:31" ht="13.5" thickBot="1" x14ac:dyDescent="0.25"/>
    <row r="39" spans="1:31" x14ac:dyDescent="0.2">
      <c r="A39" s="198" t="s">
        <v>94</v>
      </c>
      <c r="B39" s="199">
        <v>1998</v>
      </c>
      <c r="C39" s="200">
        <v>1997</v>
      </c>
      <c r="D39" s="200">
        <v>1996</v>
      </c>
      <c r="E39" s="201" t="s">
        <v>95</v>
      </c>
      <c r="G39" s="50" t="s">
        <v>167</v>
      </c>
      <c r="H39" s="55"/>
      <c r="I39" s="55"/>
      <c r="J39" s="56"/>
    </row>
    <row r="40" spans="1:31" x14ac:dyDescent="0.2">
      <c r="A40" s="79" t="s">
        <v>4</v>
      </c>
      <c r="B40" s="51">
        <f>Z8/Contiguity!H128</f>
        <v>5568.2251171851221</v>
      </c>
      <c r="C40" s="37">
        <f>Z17/Contiguity!H128</f>
        <v>5816.8496986668288</v>
      </c>
      <c r="D40" s="37">
        <f>Z26/Contiguity!D150</f>
        <v>6370.8772142994185</v>
      </c>
      <c r="E40" s="202" t="s">
        <v>96</v>
      </c>
      <c r="G40" s="10" t="s">
        <v>38</v>
      </c>
      <c r="H40" s="11" t="s">
        <v>166</v>
      </c>
      <c r="I40" s="11" t="s">
        <v>7</v>
      </c>
      <c r="J40" s="52" t="s">
        <v>167</v>
      </c>
    </row>
    <row r="41" spans="1:31" x14ac:dyDescent="0.2">
      <c r="A41" s="79" t="s">
        <v>5</v>
      </c>
      <c r="B41" s="44">
        <f>Z9/Contiguity!H146</f>
        <v>7992.1022275258556</v>
      </c>
      <c r="C41" s="37">
        <f>Z18/Contiguity!H137</f>
        <v>7495.7798312575333</v>
      </c>
      <c r="D41" s="37">
        <f>Z27/Contiguity!D149</f>
        <v>3252.6292933280697</v>
      </c>
      <c r="E41" s="203"/>
      <c r="G41" s="10" t="s">
        <v>0</v>
      </c>
      <c r="H41" s="11">
        <v>762100000</v>
      </c>
      <c r="I41" s="11">
        <v>1996</v>
      </c>
      <c r="J41" s="57">
        <f>Z22/H41</f>
        <v>0.11267720246686787</v>
      </c>
    </row>
    <row r="42" spans="1:31" ht="13.5" thickBot="1" x14ac:dyDescent="0.25">
      <c r="A42" s="204" t="s">
        <v>97</v>
      </c>
      <c r="B42" s="53">
        <f>Z10/(Contiguity!H146+Contiguity!H128)</f>
        <v>5889.8358587191806</v>
      </c>
      <c r="C42" s="37">
        <f>Z15/(Contiguity!H137+Contiguity!H128)</f>
        <v>6503.0689892154787</v>
      </c>
      <c r="D42" s="37">
        <f>Z28/(Contiguity!D149+Contiguity!D150)</f>
        <v>5936.1759493670888</v>
      </c>
      <c r="E42" s="203"/>
      <c r="G42" s="10" t="s">
        <v>0</v>
      </c>
      <c r="H42" s="11">
        <v>716209000</v>
      </c>
      <c r="I42" s="11">
        <v>1997</v>
      </c>
      <c r="J42" s="57">
        <f>Z13/H42</f>
        <v>0.11934296692725169</v>
      </c>
    </row>
    <row r="43" spans="1:31" ht="13.5" thickBot="1" x14ac:dyDescent="0.25">
      <c r="A43" s="205" t="s">
        <v>98</v>
      </c>
      <c r="B43" s="182">
        <f>(B42+C42+D42)/3</f>
        <v>6109.6935991005839</v>
      </c>
      <c r="C43" s="37"/>
      <c r="D43" s="37"/>
      <c r="E43" s="203"/>
      <c r="G43" s="10" t="s">
        <v>0</v>
      </c>
      <c r="H43" s="11">
        <v>598671000</v>
      </c>
      <c r="I43" s="11">
        <v>1998</v>
      </c>
      <c r="J43" s="57">
        <f>Z4/H43</f>
        <v>0.15246584016930836</v>
      </c>
    </row>
    <row r="44" spans="1:31" x14ac:dyDescent="0.2">
      <c r="A44" s="79"/>
      <c r="B44" s="54"/>
      <c r="C44" s="37"/>
      <c r="D44" s="37"/>
      <c r="E44" s="203"/>
      <c r="G44" s="10" t="s">
        <v>1</v>
      </c>
      <c r="H44" s="11">
        <v>732157000</v>
      </c>
      <c r="I44" s="11">
        <v>1996</v>
      </c>
      <c r="J44" s="57">
        <f>Z23/H44</f>
        <v>5.5209246104319154E-2</v>
      </c>
    </row>
    <row r="45" spans="1:31" x14ac:dyDescent="0.2">
      <c r="A45" s="79" t="s">
        <v>0</v>
      </c>
      <c r="B45" s="44">
        <f>Z4/Contiguity!H65</f>
        <v>14408.34680347277</v>
      </c>
      <c r="C45" s="37">
        <f>Z13/Contiguity!H65</f>
        <v>13492.424151539069</v>
      </c>
      <c r="D45" s="37">
        <f>Z22/Contiguity!D151</f>
        <v>13276.329004329004</v>
      </c>
      <c r="E45" s="202" t="s">
        <v>96</v>
      </c>
      <c r="G45" s="10" t="s">
        <v>1</v>
      </c>
      <c r="H45" s="11">
        <v>785250000</v>
      </c>
      <c r="I45" s="11">
        <v>1997</v>
      </c>
      <c r="J45" s="57">
        <f>Z14/H45</f>
        <v>4.7803305953517991E-2</v>
      </c>
    </row>
    <row r="46" spans="1:31" x14ac:dyDescent="0.2">
      <c r="A46" s="79" t="s">
        <v>1</v>
      </c>
      <c r="B46" s="44">
        <f>Z5/Contiguity!H89</f>
        <v>8887.1667894866132</v>
      </c>
      <c r="C46" s="37">
        <f>Z14/Contiguity!H77</f>
        <v>9060.4745353608505</v>
      </c>
      <c r="D46" s="37">
        <f>Z23/Contiguity!D152</f>
        <v>9777.899371069183</v>
      </c>
      <c r="E46" s="203"/>
      <c r="G46" s="10" t="s">
        <v>1</v>
      </c>
      <c r="H46" s="11">
        <v>779509000</v>
      </c>
      <c r="I46" s="11">
        <v>1998</v>
      </c>
      <c r="J46" s="57">
        <f>Z5/H46</f>
        <v>4.6413390993561329E-2</v>
      </c>
    </row>
    <row r="47" spans="1:31" ht="13.5" thickBot="1" x14ac:dyDescent="0.25">
      <c r="A47" s="204" t="s">
        <v>37</v>
      </c>
      <c r="B47" s="53">
        <f>Z6/(Contiguity!H65+Contiguity!H89)</f>
        <v>12248.369498366326</v>
      </c>
      <c r="C47" s="37">
        <f>Z15/(Contiguity!H77+Contiguity!H65)</f>
        <v>11740.031780874213</v>
      </c>
      <c r="D47" s="37">
        <f>Z24/(Contiguity!D151+Contiguity!D152)</f>
        <v>11912.198830409357</v>
      </c>
      <c r="E47" s="203"/>
      <c r="G47" s="10" t="s">
        <v>105</v>
      </c>
      <c r="H47" s="11">
        <v>1178437000</v>
      </c>
      <c r="I47" s="11">
        <v>1996</v>
      </c>
      <c r="J47" s="57">
        <f>J66/H47</f>
        <v>3.5056752291382567E-2</v>
      </c>
    </row>
    <row r="48" spans="1:31" ht="13.5" thickBot="1" x14ac:dyDescent="0.25">
      <c r="A48" s="205" t="s">
        <v>99</v>
      </c>
      <c r="B48" s="182">
        <f>(B47+C47+D47)/3</f>
        <v>11966.866703216632</v>
      </c>
      <c r="C48" s="37"/>
      <c r="D48" s="37"/>
      <c r="E48" s="203"/>
      <c r="G48" s="10" t="s">
        <v>105</v>
      </c>
      <c r="H48" s="11">
        <v>1164889000</v>
      </c>
      <c r="I48" s="11">
        <v>1997</v>
      </c>
      <c r="J48" s="57">
        <f>J67/H48</f>
        <v>4.4771376500250239E-2</v>
      </c>
    </row>
    <row r="49" spans="1:10" x14ac:dyDescent="0.2">
      <c r="A49" s="79"/>
      <c r="B49" s="54"/>
      <c r="C49" s="37"/>
      <c r="D49" s="37"/>
      <c r="E49" s="203"/>
      <c r="G49" s="10" t="s">
        <v>105</v>
      </c>
      <c r="H49" s="11">
        <v>2347924000</v>
      </c>
      <c r="I49" s="11">
        <v>1998</v>
      </c>
      <c r="J49" s="57">
        <f>J68/H49</f>
        <v>2.0342310909552439E-2</v>
      </c>
    </row>
    <row r="50" spans="1:10" x14ac:dyDescent="0.2">
      <c r="A50" s="73" t="s">
        <v>105</v>
      </c>
      <c r="B50" s="54"/>
      <c r="C50" s="37"/>
      <c r="D50" s="37"/>
      <c r="E50" s="203"/>
      <c r="G50" s="10" t="s">
        <v>4</v>
      </c>
      <c r="H50" s="11">
        <v>1750608000</v>
      </c>
      <c r="I50" s="11">
        <v>1996</v>
      </c>
      <c r="J50" s="57">
        <f>Z26/H50</f>
        <v>5.6906747255810554E-2</v>
      </c>
    </row>
    <row r="51" spans="1:10" ht="13.5" thickBot="1" x14ac:dyDescent="0.25">
      <c r="A51" s="204" t="s">
        <v>113</v>
      </c>
      <c r="B51" s="53">
        <f>K66</f>
        <v>9605.2485468495706</v>
      </c>
      <c r="C51" s="51">
        <f>K67</f>
        <v>12795.31010794897</v>
      </c>
      <c r="D51" s="44">
        <f>K68</f>
        <v>11652.159063186144</v>
      </c>
      <c r="E51" s="203"/>
      <c r="G51" s="10" t="s">
        <v>4</v>
      </c>
      <c r="H51" s="11">
        <v>1781014000</v>
      </c>
      <c r="I51" s="11">
        <v>1997</v>
      </c>
      <c r="J51" s="57">
        <f>Z17/H51</f>
        <v>5.3651116723394648E-2</v>
      </c>
    </row>
    <row r="52" spans="1:10" ht="13.5" thickBot="1" x14ac:dyDescent="0.25">
      <c r="A52" s="206" t="s">
        <v>114</v>
      </c>
      <c r="B52" s="182">
        <f>(B51+C51+D51)/3</f>
        <v>11350.905905994894</v>
      </c>
      <c r="C52" s="207"/>
      <c r="D52" s="208"/>
      <c r="E52" s="209"/>
      <c r="G52" s="10" t="s">
        <v>4</v>
      </c>
      <c r="H52" s="11">
        <v>1582616000</v>
      </c>
      <c r="I52" s="11">
        <v>1998</v>
      </c>
      <c r="J52" s="57">
        <f>Z8/H52</f>
        <v>5.7796227259170892E-2</v>
      </c>
    </row>
    <row r="53" spans="1:10" x14ac:dyDescent="0.2">
      <c r="G53" s="10" t="s">
        <v>5</v>
      </c>
      <c r="H53" s="11">
        <v>493582000</v>
      </c>
      <c r="I53" s="11">
        <v>1996</v>
      </c>
      <c r="J53" s="57">
        <f>Z27/H53</f>
        <v>1.66920795328841E-2</v>
      </c>
    </row>
    <row r="54" spans="1:10" x14ac:dyDescent="0.2">
      <c r="G54" s="10" t="s">
        <v>5</v>
      </c>
      <c r="H54" s="11">
        <v>523033000</v>
      </c>
      <c r="I54" s="11">
        <v>1997</v>
      </c>
      <c r="J54" s="57">
        <f>Z18/H54</f>
        <v>3.5670781767116036E-2</v>
      </c>
    </row>
    <row r="55" spans="1:10" x14ac:dyDescent="0.2">
      <c r="A55"/>
      <c r="B55"/>
      <c r="C55"/>
      <c r="D55"/>
      <c r="E55"/>
      <c r="F55"/>
      <c r="G55" s="13" t="s">
        <v>5</v>
      </c>
      <c r="H55" s="14">
        <v>591331000</v>
      </c>
      <c r="I55" s="14">
        <v>1998</v>
      </c>
      <c r="J55" s="58">
        <f>Z9/H55</f>
        <v>3.3977831366865593E-2</v>
      </c>
    </row>
    <row r="56" spans="1:10" x14ac:dyDescent="0.2">
      <c r="A56"/>
      <c r="B56"/>
      <c r="C56"/>
      <c r="D56"/>
      <c r="E56"/>
      <c r="F56"/>
      <c r="G56" s="6" t="s">
        <v>168</v>
      </c>
      <c r="H56" s="7"/>
      <c r="I56" s="7"/>
      <c r="J56" s="8"/>
    </row>
    <row r="57" spans="1:10" x14ac:dyDescent="0.2">
      <c r="A57"/>
      <c r="B57"/>
      <c r="C57"/>
      <c r="D57"/>
      <c r="E57"/>
      <c r="F57"/>
      <c r="G57" s="10" t="s">
        <v>0</v>
      </c>
      <c r="H57" s="11"/>
      <c r="I57" s="11"/>
      <c r="J57" s="183">
        <f>(Z4+Z13+Z22)/(H41+H42+H43)</f>
        <v>0.12644449152134349</v>
      </c>
    </row>
    <row r="58" spans="1:10" x14ac:dyDescent="0.2">
      <c r="A58"/>
      <c r="B58"/>
      <c r="C58"/>
      <c r="D58"/>
      <c r="E58"/>
      <c r="F58"/>
      <c r="G58" s="10" t="s">
        <v>1</v>
      </c>
      <c r="H58" s="11"/>
      <c r="I58" s="11"/>
      <c r="J58" s="183">
        <f>(Z5+Z14+Z23)/(H44+H45+H46)</f>
        <v>4.9692299587795113E-2</v>
      </c>
    </row>
    <row r="59" spans="1:10" x14ac:dyDescent="0.2">
      <c r="A59"/>
      <c r="B59"/>
      <c r="C59"/>
      <c r="D59"/>
      <c r="E59"/>
      <c r="F59"/>
      <c r="G59" s="184" t="s">
        <v>105</v>
      </c>
      <c r="H59" s="11"/>
      <c r="I59" s="11"/>
      <c r="J59" s="185">
        <f>(J66+J67+J68)/(H47+H48+H49)</f>
        <v>3.0104568718358645E-2</v>
      </c>
    </row>
    <row r="60" spans="1:10" x14ac:dyDescent="0.2">
      <c r="A60"/>
      <c r="B60"/>
      <c r="C60"/>
      <c r="D60"/>
      <c r="E60"/>
      <c r="F60"/>
      <c r="G60" s="10" t="s">
        <v>4</v>
      </c>
      <c r="H60" s="11"/>
      <c r="I60" s="11"/>
      <c r="J60" s="183">
        <f>(Z8+Z17+Z26)/(H50+H51+H52)</f>
        <v>5.604823846680581E-2</v>
      </c>
    </row>
    <row r="61" spans="1:10" x14ac:dyDescent="0.2">
      <c r="A61"/>
      <c r="B61"/>
      <c r="C61"/>
      <c r="D61"/>
      <c r="E61"/>
      <c r="F61"/>
      <c r="G61" s="10" t="s">
        <v>5</v>
      </c>
      <c r="H61" s="11"/>
      <c r="I61" s="11"/>
      <c r="J61" s="183">
        <f>(Z9+Z18+Z27)/(H53+H54+H55)</f>
        <v>2.9222406100702387E-2</v>
      </c>
    </row>
    <row r="62" spans="1:10" x14ac:dyDescent="0.2">
      <c r="A62"/>
      <c r="B62"/>
      <c r="C62"/>
      <c r="D62"/>
      <c r="E62"/>
      <c r="F62"/>
      <c r="G62" s="184" t="s">
        <v>153</v>
      </c>
      <c r="H62" s="11"/>
      <c r="I62" s="11"/>
      <c r="J62" s="186">
        <f>(Z4+Z5+Z13+Z14+Z22+Z23)/(H41+H42+H43+H44+H45+H46)</f>
        <v>8.6138700600105714E-2</v>
      </c>
    </row>
    <row r="63" spans="1:10" x14ac:dyDescent="0.2">
      <c r="A63"/>
      <c r="B63"/>
      <c r="C63"/>
      <c r="D63"/>
      <c r="E63"/>
      <c r="F63"/>
      <c r="G63" s="187" t="s">
        <v>169</v>
      </c>
      <c r="H63" s="14"/>
      <c r="I63" s="14"/>
      <c r="J63" s="188">
        <f>(Z8+Z9+Z17+Z18+Z26+Z27)/(H50+H51+H52+H53+H54+H55)</f>
        <v>4.9631501012171043E-2</v>
      </c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12" x14ac:dyDescent="0.2">
      <c r="A65" t="s">
        <v>6</v>
      </c>
      <c r="B65" t="s">
        <v>7</v>
      </c>
      <c r="C65" t="s">
        <v>111</v>
      </c>
      <c r="D65" t="s">
        <v>112</v>
      </c>
      <c r="E65" t="s">
        <v>22</v>
      </c>
      <c r="F65" t="s">
        <v>20</v>
      </c>
      <c r="G65" t="s">
        <v>17</v>
      </c>
      <c r="H65" t="s">
        <v>16</v>
      </c>
      <c r="I65" s="4" t="s">
        <v>115</v>
      </c>
      <c r="J65" s="1" t="s">
        <v>104</v>
      </c>
      <c r="K65" s="4" t="s">
        <v>94</v>
      </c>
      <c r="L65" s="4" t="s">
        <v>203</v>
      </c>
    </row>
    <row r="66" spans="1:12" x14ac:dyDescent="0.2">
      <c r="A66" t="s">
        <v>105</v>
      </c>
      <c r="B66">
        <v>1996</v>
      </c>
      <c r="C66">
        <v>42740524</v>
      </c>
      <c r="D66">
        <v>48201651</v>
      </c>
      <c r="E66">
        <v>1131851</v>
      </c>
      <c r="F66">
        <v>53310380</v>
      </c>
      <c r="G66">
        <v>1706700</v>
      </c>
      <c r="H66">
        <v>-49259454</v>
      </c>
      <c r="I66" s="29">
        <v>4301</v>
      </c>
      <c r="J66" s="17">
        <f>D66-E66-F66-G66-H66</f>
        <v>41312174</v>
      </c>
      <c r="K66" s="2">
        <f>J66/I66</f>
        <v>9605.2485468495706</v>
      </c>
      <c r="L66" s="2">
        <f>J66/(1541)</f>
        <v>26808.678780012979</v>
      </c>
    </row>
    <row r="67" spans="1:12" x14ac:dyDescent="0.2">
      <c r="A67" t="s">
        <v>105</v>
      </c>
      <c r="B67">
        <v>1997</v>
      </c>
      <c r="C67">
        <v>49757592</v>
      </c>
      <c r="D67">
        <v>50012165</v>
      </c>
      <c r="E67">
        <v>1301101</v>
      </c>
      <c r="F67">
        <v>43008734</v>
      </c>
      <c r="G67">
        <v>1396418</v>
      </c>
      <c r="H67">
        <v>-47847772</v>
      </c>
      <c r="I67" s="29">
        <v>4076</v>
      </c>
      <c r="J67" s="17">
        <f>D67-E67-F67-G67-H67</f>
        <v>52153684</v>
      </c>
      <c r="K67" s="2">
        <f>J67/I67</f>
        <v>12795.31010794897</v>
      </c>
      <c r="L67" s="2">
        <f>J67/(1541)</f>
        <v>33844.05191434134</v>
      </c>
    </row>
    <row r="68" spans="1:12" x14ac:dyDescent="0.2">
      <c r="A68" t="s">
        <v>105</v>
      </c>
      <c r="B68">
        <v>1998</v>
      </c>
      <c r="C68">
        <v>36393346</v>
      </c>
      <c r="D68">
        <v>67148770</v>
      </c>
      <c r="E68">
        <v>-557</v>
      </c>
      <c r="F68">
        <v>51096355</v>
      </c>
      <c r="G68">
        <v>1249525</v>
      </c>
      <c r="H68">
        <v>-32958753</v>
      </c>
      <c r="I68" s="29">
        <v>4099</v>
      </c>
      <c r="J68" s="17">
        <f>D68-E68-F68-G68-H68</f>
        <v>47762200</v>
      </c>
      <c r="K68" s="2">
        <f>J68/I68</f>
        <v>11652.159063186144</v>
      </c>
      <c r="L68" s="2">
        <f>J68/(1541)</f>
        <v>30994.289422452952</v>
      </c>
    </row>
    <row r="69" spans="1:12" x14ac:dyDescent="0.2">
      <c r="A69"/>
      <c r="B69"/>
      <c r="C69"/>
      <c r="D69"/>
      <c r="E69"/>
      <c r="F69"/>
      <c r="G69"/>
      <c r="H69"/>
      <c r="I69"/>
      <c r="J69"/>
    </row>
    <row r="70" spans="1:12" x14ac:dyDescent="0.2">
      <c r="A70"/>
      <c r="B70"/>
      <c r="C70"/>
      <c r="D70"/>
      <c r="E70"/>
      <c r="F70"/>
      <c r="G70"/>
      <c r="H70"/>
      <c r="I70"/>
      <c r="J70"/>
    </row>
    <row r="71" spans="1:12" x14ac:dyDescent="0.2">
      <c r="A71"/>
      <c r="B71"/>
      <c r="C71"/>
      <c r="D71"/>
      <c r="E71"/>
      <c r="F71"/>
      <c r="G71"/>
      <c r="H71"/>
      <c r="I71"/>
      <c r="J71"/>
    </row>
    <row r="72" spans="1:12" x14ac:dyDescent="0.2">
      <c r="A72"/>
      <c r="B72"/>
      <c r="C72"/>
      <c r="D72"/>
      <c r="E72"/>
      <c r="F72"/>
      <c r="G72"/>
      <c r="H72"/>
      <c r="I72"/>
      <c r="J72"/>
    </row>
    <row r="73" spans="1:12" x14ac:dyDescent="0.2">
      <c r="A73"/>
      <c r="B73"/>
      <c r="C73"/>
      <c r="D73"/>
      <c r="E73"/>
      <c r="F73"/>
      <c r="G73"/>
      <c r="H73"/>
      <c r="I73"/>
      <c r="J73"/>
    </row>
    <row r="74" spans="1:12" x14ac:dyDescent="0.2">
      <c r="A74"/>
      <c r="B74"/>
      <c r="C74"/>
      <c r="D74"/>
      <c r="E74"/>
      <c r="F74"/>
      <c r="G74"/>
      <c r="H74"/>
      <c r="I74"/>
      <c r="J74"/>
    </row>
    <row r="75" spans="1:12" x14ac:dyDescent="0.2">
      <c r="A75"/>
      <c r="B75"/>
      <c r="C75"/>
      <c r="D75"/>
      <c r="E75"/>
      <c r="F75"/>
      <c r="G75"/>
      <c r="H75"/>
      <c r="I75"/>
      <c r="J75"/>
    </row>
    <row r="76" spans="1:12" x14ac:dyDescent="0.2">
      <c r="A76"/>
      <c r="B76"/>
      <c r="C76"/>
      <c r="D76"/>
      <c r="E76"/>
      <c r="F76"/>
      <c r="G76"/>
      <c r="H76"/>
      <c r="I76"/>
      <c r="J76"/>
    </row>
    <row r="77" spans="1:12" x14ac:dyDescent="0.2">
      <c r="A77"/>
      <c r="B77"/>
      <c r="C77"/>
      <c r="D77"/>
      <c r="E77"/>
      <c r="F77"/>
      <c r="G77"/>
      <c r="H77"/>
      <c r="I77"/>
      <c r="J77"/>
    </row>
    <row r="78" spans="1:12" x14ac:dyDescent="0.2">
      <c r="A78"/>
      <c r="B78"/>
      <c r="C78"/>
      <c r="D78"/>
      <c r="E78"/>
      <c r="F78"/>
      <c r="G78"/>
      <c r="H78"/>
      <c r="I78"/>
      <c r="J78"/>
    </row>
    <row r="79" spans="1:12" x14ac:dyDescent="0.2">
      <c r="A79"/>
      <c r="B79"/>
      <c r="C79"/>
      <c r="D79"/>
      <c r="E79"/>
      <c r="F79"/>
      <c r="G79"/>
      <c r="H79"/>
      <c r="I79"/>
      <c r="J79"/>
    </row>
    <row r="80" spans="1:12" x14ac:dyDescent="0.2">
      <c r="A80"/>
      <c r="B80"/>
      <c r="C80"/>
      <c r="D80"/>
      <c r="E80"/>
      <c r="F80"/>
      <c r="G80"/>
      <c r="H80"/>
      <c r="I80"/>
      <c r="J80"/>
    </row>
    <row r="81" spans="1:10" x14ac:dyDescent="0.2">
      <c r="A81"/>
      <c r="B81"/>
      <c r="C81"/>
      <c r="D81"/>
      <c r="E81"/>
      <c r="F81"/>
      <c r="G81"/>
      <c r="H81"/>
      <c r="I81"/>
      <c r="J81"/>
    </row>
    <row r="82" spans="1:10" x14ac:dyDescent="0.2">
      <c r="A82"/>
      <c r="B82"/>
      <c r="C82"/>
      <c r="D82"/>
      <c r="E82"/>
      <c r="F82"/>
      <c r="G82"/>
      <c r="H82"/>
      <c r="I82"/>
      <c r="J82"/>
    </row>
    <row r="83" spans="1:10" x14ac:dyDescent="0.2">
      <c r="A83"/>
      <c r="B83"/>
      <c r="C83"/>
      <c r="D83"/>
      <c r="E83"/>
      <c r="F83"/>
      <c r="G83"/>
      <c r="H83"/>
      <c r="I83"/>
      <c r="J83"/>
    </row>
    <row r="84" spans="1:10" x14ac:dyDescent="0.2">
      <c r="A84"/>
      <c r="B84"/>
      <c r="C84"/>
      <c r="D84"/>
      <c r="E84"/>
      <c r="F84"/>
      <c r="G84"/>
      <c r="H84"/>
      <c r="I84"/>
      <c r="J8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AG drivers</vt:lpstr>
      <vt:lpstr>Contiguity</vt:lpstr>
      <vt:lpstr>Headcuts</vt:lpstr>
      <vt:lpstr>CS</vt:lpstr>
      <vt:lpstr>O&amp;M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2000-01-25T09:36:00Z</dcterms:created>
  <dcterms:modified xsi:type="dcterms:W3CDTF">2023-09-15T15:53:38Z</dcterms:modified>
</cp:coreProperties>
</file>