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9C3E90-FFD5-40F6-BD61-753984BD6535}" xr6:coauthVersionLast="47" xr6:coauthVersionMax="47" xr10:uidLastSave="{00000000-0000-0000-0000-000000000000}"/>
  <bookViews>
    <workbookView xWindow="-120" yWindow="-120" windowWidth="38640" windowHeight="15720"/>
  </bookViews>
  <sheets>
    <sheet name="facts" sheetId="1" r:id="rId1"/>
    <sheet name="facts premium" sheetId="6" r:id="rId2"/>
    <sheet name="tax rev" sheetId="7" r:id="rId3"/>
    <sheet name="cashflow 4.88" sheetId="13" r:id="rId4"/>
    <sheet name="cashflow 5.63" sheetId="15" r:id="rId5"/>
    <sheet name="attendance" sheetId="2" r:id="rId6"/>
    <sheet name="elasticity" sheetId="3" r:id="rId7"/>
    <sheet name="Chart3" sheetId="12" r:id="rId8"/>
    <sheet name="chart data" sheetId="10" r:id="rId9"/>
  </sheets>
  <definedNames>
    <definedName name="DiscRate" localSheetId="1">'facts premium'!$C$15</definedName>
    <definedName name="DiscRate">facts!$C$15</definedName>
    <definedName name="discrate2" localSheetId="1">'facts premium'!$D$15</definedName>
    <definedName name="discrate2">facts!$D$15</definedName>
    <definedName name="DiscRate3" localSheetId="1">'facts premium'!$E$15</definedName>
    <definedName name="DiscRate3">facts!$E$15</definedName>
    <definedName name="DiscRate4" localSheetId="1">'facts premium'!$F$15</definedName>
    <definedName name="DiscRate4">facts!$F$15</definedName>
    <definedName name="DiscRate5" localSheetId="1">'facts premium'!$G$15</definedName>
    <definedName name="DiscRate5">facts!$G$15</definedName>
    <definedName name="DiscRate6" localSheetId="1">'facts premium'!$H$15</definedName>
    <definedName name="DiscRate6">facts!$H$15</definedName>
    <definedName name="inflation">elasticity!$B$1</definedName>
    <definedName name="_xlnm.Print_Area" localSheetId="5">attendance!$B$3:$K$24</definedName>
    <definedName name="_xlnm.Print_Area" localSheetId="3">'cashflow 4.88'!$A$1:$K$70</definedName>
    <definedName name="_xlnm.Print_Area" localSheetId="4">'cashflow 5.63'!$A$1:$K$70</definedName>
    <definedName name="tixdr0">attendance!$F$24</definedName>
    <definedName name="tixdr2">attendance!$G$24</definedName>
    <definedName name="tixdr3">attendance!$H$24</definedName>
    <definedName name="tixdr4">attendance!$I$24</definedName>
    <definedName name="tixdr5">attendance!$J$24</definedName>
    <definedName name="tixdr6">attendance!$K$24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G2" i="2"/>
  <c r="H2" i="2"/>
  <c r="I2" i="2"/>
  <c r="J2" i="2"/>
  <c r="K2" i="2"/>
  <c r="E4" i="2"/>
  <c r="F4" i="2"/>
  <c r="G4" i="2"/>
  <c r="H4" i="2"/>
  <c r="I4" i="2"/>
  <c r="J4" i="2"/>
  <c r="K4" i="2"/>
  <c r="E5" i="2"/>
  <c r="F5" i="2"/>
  <c r="G5" i="2"/>
  <c r="H5" i="2"/>
  <c r="I5" i="2"/>
  <c r="J5" i="2"/>
  <c r="K5" i="2"/>
  <c r="E6" i="2"/>
  <c r="F6" i="2"/>
  <c r="G6" i="2"/>
  <c r="H6" i="2"/>
  <c r="I6" i="2"/>
  <c r="J6" i="2"/>
  <c r="K6" i="2"/>
  <c r="E7" i="2"/>
  <c r="F7" i="2"/>
  <c r="G7" i="2"/>
  <c r="H7" i="2"/>
  <c r="I7" i="2"/>
  <c r="J7" i="2"/>
  <c r="K7" i="2"/>
  <c r="E8" i="2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E17" i="2"/>
  <c r="F17" i="2"/>
  <c r="G17" i="2"/>
  <c r="H17" i="2"/>
  <c r="I17" i="2"/>
  <c r="J17" i="2"/>
  <c r="K17" i="2"/>
  <c r="E18" i="2"/>
  <c r="F18" i="2"/>
  <c r="G18" i="2"/>
  <c r="H18" i="2"/>
  <c r="I18" i="2"/>
  <c r="J18" i="2"/>
  <c r="K18" i="2"/>
  <c r="E19" i="2"/>
  <c r="F19" i="2"/>
  <c r="G19" i="2"/>
  <c r="H19" i="2"/>
  <c r="I19" i="2"/>
  <c r="J19" i="2"/>
  <c r="K19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K21" i="2"/>
  <c r="E22" i="2"/>
  <c r="F22" i="2"/>
  <c r="G22" i="2"/>
  <c r="H22" i="2"/>
  <c r="I22" i="2"/>
  <c r="J22" i="2"/>
  <c r="K22" i="2"/>
  <c r="E23" i="2"/>
  <c r="F23" i="2"/>
  <c r="G23" i="2"/>
  <c r="H23" i="2"/>
  <c r="I23" i="2"/>
  <c r="J23" i="2"/>
  <c r="K23" i="2"/>
  <c r="E24" i="2"/>
  <c r="F24" i="2"/>
  <c r="G24" i="2"/>
  <c r="H24" i="2"/>
  <c r="I24" i="2"/>
  <c r="J24" i="2"/>
  <c r="K24" i="2"/>
  <c r="F27" i="2"/>
  <c r="J27" i="2"/>
  <c r="N27" i="2"/>
  <c r="C29" i="2"/>
  <c r="D29" i="2"/>
  <c r="E29" i="2"/>
  <c r="F29" i="2"/>
  <c r="G29" i="2"/>
  <c r="H29" i="2"/>
  <c r="I29" i="2"/>
  <c r="J29" i="2"/>
  <c r="K29" i="2"/>
  <c r="L29" i="2"/>
  <c r="M29" i="2"/>
  <c r="N29" i="2"/>
  <c r="C30" i="2"/>
  <c r="D30" i="2"/>
  <c r="E30" i="2"/>
  <c r="F30" i="2"/>
  <c r="G30" i="2"/>
  <c r="H30" i="2"/>
  <c r="I30" i="2"/>
  <c r="J30" i="2"/>
  <c r="K30" i="2"/>
  <c r="L30" i="2"/>
  <c r="M30" i="2"/>
  <c r="N30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C33" i="2"/>
  <c r="D33" i="2"/>
  <c r="E33" i="2"/>
  <c r="F33" i="2"/>
  <c r="G33" i="2"/>
  <c r="H33" i="2"/>
  <c r="I33" i="2"/>
  <c r="J33" i="2"/>
  <c r="K33" i="2"/>
  <c r="L33" i="2"/>
  <c r="M33" i="2"/>
  <c r="N33" i="2"/>
  <c r="C34" i="2"/>
  <c r="D34" i="2"/>
  <c r="E34" i="2"/>
  <c r="F34" i="2"/>
  <c r="G34" i="2"/>
  <c r="H34" i="2"/>
  <c r="I34" i="2"/>
  <c r="J34" i="2"/>
  <c r="K34" i="2"/>
  <c r="L34" i="2"/>
  <c r="M34" i="2"/>
  <c r="N34" i="2"/>
  <c r="C35" i="2"/>
  <c r="D35" i="2"/>
  <c r="E35" i="2"/>
  <c r="F35" i="2"/>
  <c r="G35" i="2"/>
  <c r="H35" i="2"/>
  <c r="I35" i="2"/>
  <c r="J35" i="2"/>
  <c r="K35" i="2"/>
  <c r="L35" i="2"/>
  <c r="M35" i="2"/>
  <c r="N35" i="2"/>
  <c r="C36" i="2"/>
  <c r="D36" i="2"/>
  <c r="E36" i="2"/>
  <c r="F36" i="2"/>
  <c r="G36" i="2"/>
  <c r="H36" i="2"/>
  <c r="I36" i="2"/>
  <c r="J36" i="2"/>
  <c r="K36" i="2"/>
  <c r="L36" i="2"/>
  <c r="M36" i="2"/>
  <c r="N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C40" i="2"/>
  <c r="D40" i="2"/>
  <c r="E40" i="2"/>
  <c r="F40" i="2"/>
  <c r="G40" i="2"/>
  <c r="H40" i="2"/>
  <c r="I40" i="2"/>
  <c r="J40" i="2"/>
  <c r="K40" i="2"/>
  <c r="L40" i="2"/>
  <c r="M40" i="2"/>
  <c r="N40" i="2"/>
  <c r="C41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C43" i="2"/>
  <c r="D43" i="2"/>
  <c r="E43" i="2"/>
  <c r="F43" i="2"/>
  <c r="G43" i="2"/>
  <c r="H43" i="2"/>
  <c r="I43" i="2"/>
  <c r="J43" i="2"/>
  <c r="K43" i="2"/>
  <c r="L43" i="2"/>
  <c r="M43" i="2"/>
  <c r="N43" i="2"/>
  <c r="C44" i="2"/>
  <c r="D44" i="2"/>
  <c r="E44" i="2"/>
  <c r="F44" i="2"/>
  <c r="G44" i="2"/>
  <c r="H44" i="2"/>
  <c r="I44" i="2"/>
  <c r="J44" i="2"/>
  <c r="K44" i="2"/>
  <c r="L44" i="2"/>
  <c r="M44" i="2"/>
  <c r="N44" i="2"/>
  <c r="C45" i="2"/>
  <c r="D45" i="2"/>
  <c r="E45" i="2"/>
  <c r="F45" i="2"/>
  <c r="G45" i="2"/>
  <c r="H45" i="2"/>
  <c r="I45" i="2"/>
  <c r="J45" i="2"/>
  <c r="K45" i="2"/>
  <c r="L45" i="2"/>
  <c r="M45" i="2"/>
  <c r="N45" i="2"/>
  <c r="C46" i="2"/>
  <c r="D46" i="2"/>
  <c r="E46" i="2"/>
  <c r="F46" i="2"/>
  <c r="G46" i="2"/>
  <c r="H46" i="2"/>
  <c r="I46" i="2"/>
  <c r="J46" i="2"/>
  <c r="K46" i="2"/>
  <c r="L46" i="2"/>
  <c r="M46" i="2"/>
  <c r="N46" i="2"/>
  <c r="C47" i="2"/>
  <c r="D47" i="2"/>
  <c r="E47" i="2"/>
  <c r="F47" i="2"/>
  <c r="G47" i="2"/>
  <c r="H47" i="2"/>
  <c r="I47" i="2"/>
  <c r="J47" i="2"/>
  <c r="K47" i="2"/>
  <c r="L47" i="2"/>
  <c r="M47" i="2"/>
  <c r="N47" i="2"/>
  <c r="C48" i="2"/>
  <c r="D48" i="2"/>
  <c r="E48" i="2"/>
  <c r="F48" i="2"/>
  <c r="G48" i="2"/>
  <c r="H48" i="2"/>
  <c r="I48" i="2"/>
  <c r="J48" i="2"/>
  <c r="K48" i="2"/>
  <c r="L48" i="2"/>
  <c r="M48" i="2"/>
  <c r="N48" i="2"/>
  <c r="E49" i="2"/>
  <c r="F49" i="2"/>
  <c r="I49" i="2"/>
  <c r="J49" i="2"/>
  <c r="M49" i="2"/>
  <c r="N49" i="2"/>
  <c r="D1" i="13"/>
  <c r="C3" i="13"/>
  <c r="D3" i="13"/>
  <c r="E3" i="13"/>
  <c r="G3" i="13"/>
  <c r="I3" i="13"/>
  <c r="K3" i="13"/>
  <c r="C4" i="13"/>
  <c r="D4" i="13"/>
  <c r="G4" i="13"/>
  <c r="I4" i="13"/>
  <c r="J4" i="13"/>
  <c r="K4" i="13"/>
  <c r="C5" i="13"/>
  <c r="D5" i="13"/>
  <c r="G5" i="13"/>
  <c r="I5" i="13"/>
  <c r="J5" i="13"/>
  <c r="K5" i="13"/>
  <c r="C6" i="13"/>
  <c r="D6" i="13"/>
  <c r="G6" i="13"/>
  <c r="I6" i="13"/>
  <c r="J6" i="13"/>
  <c r="K6" i="13"/>
  <c r="C7" i="13"/>
  <c r="D7" i="13"/>
  <c r="G7" i="13"/>
  <c r="I7" i="13"/>
  <c r="J7" i="13"/>
  <c r="K7" i="13"/>
  <c r="C8" i="13"/>
  <c r="D8" i="13"/>
  <c r="G8" i="13"/>
  <c r="H8" i="13"/>
  <c r="I8" i="13"/>
  <c r="J8" i="13"/>
  <c r="K8" i="13"/>
  <c r="C9" i="13"/>
  <c r="D9" i="13"/>
  <c r="G9" i="13"/>
  <c r="I9" i="13"/>
  <c r="J9" i="13"/>
  <c r="K9" i="13"/>
  <c r="C10" i="13"/>
  <c r="D10" i="13"/>
  <c r="G10" i="13"/>
  <c r="I10" i="13"/>
  <c r="J10" i="13"/>
  <c r="K10" i="13"/>
  <c r="C11" i="13"/>
  <c r="D11" i="13"/>
  <c r="G11" i="13"/>
  <c r="I11" i="13"/>
  <c r="J11" i="13"/>
  <c r="K11" i="13"/>
  <c r="C12" i="13"/>
  <c r="D12" i="13"/>
  <c r="G12" i="13"/>
  <c r="I12" i="13"/>
  <c r="J12" i="13"/>
  <c r="K12" i="13"/>
  <c r="C13" i="13"/>
  <c r="D13" i="13"/>
  <c r="G13" i="13"/>
  <c r="I13" i="13"/>
  <c r="J13" i="13"/>
  <c r="K13" i="13"/>
  <c r="C14" i="13"/>
  <c r="D14" i="13"/>
  <c r="G14" i="13"/>
  <c r="H14" i="13"/>
  <c r="I14" i="13"/>
  <c r="J14" i="13"/>
  <c r="K14" i="13"/>
  <c r="C15" i="13"/>
  <c r="D15" i="13"/>
  <c r="G15" i="13"/>
  <c r="I15" i="13"/>
  <c r="J15" i="13"/>
  <c r="K15" i="13"/>
  <c r="C16" i="13"/>
  <c r="D16" i="13"/>
  <c r="G16" i="13"/>
  <c r="I16" i="13"/>
  <c r="J16" i="13"/>
  <c r="K16" i="13"/>
  <c r="C17" i="13"/>
  <c r="D17" i="13"/>
  <c r="G17" i="13"/>
  <c r="I17" i="13"/>
  <c r="J17" i="13"/>
  <c r="K17" i="13"/>
  <c r="C18" i="13"/>
  <c r="D18" i="13"/>
  <c r="G18" i="13"/>
  <c r="I18" i="13"/>
  <c r="J18" i="13"/>
  <c r="K18" i="13"/>
  <c r="C19" i="13"/>
  <c r="D19" i="13"/>
  <c r="G19" i="13"/>
  <c r="I19" i="13"/>
  <c r="J19" i="13"/>
  <c r="K19" i="13"/>
  <c r="C20" i="13"/>
  <c r="D20" i="13"/>
  <c r="G20" i="13"/>
  <c r="H20" i="13"/>
  <c r="I20" i="13"/>
  <c r="J20" i="13"/>
  <c r="K20" i="13"/>
  <c r="C21" i="13"/>
  <c r="D21" i="13"/>
  <c r="G21" i="13"/>
  <c r="I21" i="13"/>
  <c r="J21" i="13"/>
  <c r="K21" i="13"/>
  <c r="C22" i="13"/>
  <c r="D22" i="13"/>
  <c r="G22" i="13"/>
  <c r="I22" i="13"/>
  <c r="J22" i="13"/>
  <c r="K22" i="13"/>
  <c r="C23" i="13"/>
  <c r="D23" i="13"/>
  <c r="G23" i="13"/>
  <c r="I23" i="13"/>
  <c r="J23" i="13"/>
  <c r="K23" i="13"/>
  <c r="C24" i="13"/>
  <c r="D24" i="13"/>
  <c r="G24" i="13"/>
  <c r="I24" i="13"/>
  <c r="J24" i="13"/>
  <c r="K24" i="13"/>
  <c r="C25" i="13"/>
  <c r="D25" i="13"/>
  <c r="G25" i="13"/>
  <c r="I25" i="13"/>
  <c r="J25" i="13"/>
  <c r="K25" i="13"/>
  <c r="C26" i="13"/>
  <c r="D26" i="13"/>
  <c r="G26" i="13"/>
  <c r="H26" i="13"/>
  <c r="I26" i="13"/>
  <c r="J26" i="13"/>
  <c r="K26" i="13"/>
  <c r="C27" i="13"/>
  <c r="D27" i="13"/>
  <c r="G27" i="13"/>
  <c r="I27" i="13"/>
  <c r="J27" i="13"/>
  <c r="K27" i="13"/>
  <c r="C28" i="13"/>
  <c r="D28" i="13"/>
  <c r="G28" i="13"/>
  <c r="I28" i="13"/>
  <c r="J28" i="13"/>
  <c r="K28" i="13"/>
  <c r="C29" i="13"/>
  <c r="D29" i="13"/>
  <c r="G29" i="13"/>
  <c r="I29" i="13"/>
  <c r="J29" i="13"/>
  <c r="K29" i="13"/>
  <c r="C30" i="13"/>
  <c r="D30" i="13"/>
  <c r="G30" i="13"/>
  <c r="I30" i="13"/>
  <c r="J30" i="13"/>
  <c r="K30" i="13"/>
  <c r="C31" i="13"/>
  <c r="D31" i="13"/>
  <c r="G31" i="13"/>
  <c r="I31" i="13"/>
  <c r="J31" i="13"/>
  <c r="K31" i="13"/>
  <c r="C32" i="13"/>
  <c r="D32" i="13"/>
  <c r="G32" i="13"/>
  <c r="H32" i="13"/>
  <c r="I32" i="13"/>
  <c r="J32" i="13"/>
  <c r="K32" i="13"/>
  <c r="C33" i="13"/>
  <c r="D33" i="13"/>
  <c r="H33" i="13"/>
  <c r="I33" i="13"/>
  <c r="J33" i="13"/>
  <c r="K33" i="13"/>
  <c r="C34" i="13"/>
  <c r="D34" i="13"/>
  <c r="H34" i="13"/>
  <c r="I34" i="13"/>
  <c r="J34" i="13"/>
  <c r="K34" i="13"/>
  <c r="A35" i="13"/>
  <c r="C35" i="13"/>
  <c r="D35" i="13"/>
  <c r="H35" i="13"/>
  <c r="I35" i="13"/>
  <c r="J35" i="13"/>
  <c r="K35" i="13"/>
  <c r="A36" i="13"/>
  <c r="C36" i="13"/>
  <c r="D36" i="13"/>
  <c r="H36" i="13"/>
  <c r="I36" i="13"/>
  <c r="J36" i="13"/>
  <c r="K36" i="13"/>
  <c r="A37" i="13"/>
  <c r="C37" i="13"/>
  <c r="D37" i="13"/>
  <c r="H37" i="13"/>
  <c r="I37" i="13"/>
  <c r="J37" i="13"/>
  <c r="K37" i="13"/>
  <c r="A38" i="13"/>
  <c r="C38" i="13"/>
  <c r="D38" i="13"/>
  <c r="H38" i="13"/>
  <c r="I38" i="13"/>
  <c r="J38" i="13"/>
  <c r="K38" i="13"/>
  <c r="A39" i="13"/>
  <c r="C39" i="13"/>
  <c r="D39" i="13"/>
  <c r="H39" i="13"/>
  <c r="I39" i="13"/>
  <c r="J39" i="13"/>
  <c r="K39" i="13"/>
  <c r="A40" i="13"/>
  <c r="C40" i="13"/>
  <c r="D40" i="13"/>
  <c r="H40" i="13"/>
  <c r="I40" i="13"/>
  <c r="J40" i="13"/>
  <c r="K40" i="13"/>
  <c r="A41" i="13"/>
  <c r="C41" i="13"/>
  <c r="D41" i="13"/>
  <c r="H41" i="13"/>
  <c r="I41" i="13"/>
  <c r="J41" i="13"/>
  <c r="K41" i="13"/>
  <c r="A42" i="13"/>
  <c r="C42" i="13"/>
  <c r="D42" i="13"/>
  <c r="H42" i="13"/>
  <c r="I42" i="13"/>
  <c r="J42" i="13"/>
  <c r="K42" i="13"/>
  <c r="A43" i="13"/>
  <c r="C43" i="13"/>
  <c r="D43" i="13"/>
  <c r="H43" i="13"/>
  <c r="I43" i="13"/>
  <c r="J43" i="13"/>
  <c r="K43" i="13"/>
  <c r="A44" i="13"/>
  <c r="C44" i="13"/>
  <c r="D44" i="13"/>
  <c r="H44" i="13"/>
  <c r="I44" i="13"/>
  <c r="J44" i="13"/>
  <c r="K44" i="13"/>
  <c r="A45" i="13"/>
  <c r="C45" i="13"/>
  <c r="D45" i="13"/>
  <c r="H45" i="13"/>
  <c r="I45" i="13"/>
  <c r="J45" i="13"/>
  <c r="K45" i="13"/>
  <c r="A46" i="13"/>
  <c r="C46" i="13"/>
  <c r="D46" i="13"/>
  <c r="H46" i="13"/>
  <c r="I46" i="13"/>
  <c r="J46" i="13"/>
  <c r="K46" i="13"/>
  <c r="A47" i="13"/>
  <c r="C47" i="13"/>
  <c r="D47" i="13"/>
  <c r="H47" i="13"/>
  <c r="I47" i="13"/>
  <c r="J47" i="13"/>
  <c r="K47" i="13"/>
  <c r="A48" i="13"/>
  <c r="C48" i="13"/>
  <c r="D48" i="13"/>
  <c r="H48" i="13"/>
  <c r="I48" i="13"/>
  <c r="J48" i="13"/>
  <c r="K48" i="13"/>
  <c r="A49" i="13"/>
  <c r="C49" i="13"/>
  <c r="D49" i="13"/>
  <c r="H49" i="13"/>
  <c r="I49" i="13"/>
  <c r="J49" i="13"/>
  <c r="K49" i="13"/>
  <c r="A50" i="13"/>
  <c r="C50" i="13"/>
  <c r="D50" i="13"/>
  <c r="H50" i="13"/>
  <c r="I50" i="13"/>
  <c r="J50" i="13"/>
  <c r="K50" i="13"/>
  <c r="A51" i="13"/>
  <c r="C51" i="13"/>
  <c r="D51" i="13"/>
  <c r="H51" i="13"/>
  <c r="I51" i="13"/>
  <c r="J51" i="13"/>
  <c r="K51" i="13"/>
  <c r="A52" i="13"/>
  <c r="C52" i="13"/>
  <c r="D52" i="13"/>
  <c r="H52" i="13"/>
  <c r="I52" i="13"/>
  <c r="J52" i="13"/>
  <c r="K52" i="13"/>
  <c r="A53" i="13"/>
  <c r="C53" i="13"/>
  <c r="D53" i="13"/>
  <c r="H53" i="13"/>
  <c r="I53" i="13"/>
  <c r="J53" i="13"/>
  <c r="K53" i="13"/>
  <c r="A54" i="13"/>
  <c r="C54" i="13"/>
  <c r="D54" i="13"/>
  <c r="H54" i="13"/>
  <c r="I54" i="13"/>
  <c r="J54" i="13"/>
  <c r="K54" i="13"/>
  <c r="A55" i="13"/>
  <c r="C55" i="13"/>
  <c r="D55" i="13"/>
  <c r="H55" i="13"/>
  <c r="I55" i="13"/>
  <c r="J55" i="13"/>
  <c r="K55" i="13"/>
  <c r="A56" i="13"/>
  <c r="C56" i="13"/>
  <c r="D56" i="13"/>
  <c r="H56" i="13"/>
  <c r="I56" i="13"/>
  <c r="J56" i="13"/>
  <c r="K56" i="13"/>
  <c r="A57" i="13"/>
  <c r="C57" i="13"/>
  <c r="D57" i="13"/>
  <c r="H57" i="13"/>
  <c r="I57" i="13"/>
  <c r="J57" i="13"/>
  <c r="K57" i="13"/>
  <c r="A58" i="13"/>
  <c r="C58" i="13"/>
  <c r="D58" i="13"/>
  <c r="H58" i="13"/>
  <c r="I58" i="13"/>
  <c r="J58" i="13"/>
  <c r="K58" i="13"/>
  <c r="A59" i="13"/>
  <c r="C59" i="13"/>
  <c r="D59" i="13"/>
  <c r="H59" i="13"/>
  <c r="I59" i="13"/>
  <c r="J59" i="13"/>
  <c r="K59" i="13"/>
  <c r="A60" i="13"/>
  <c r="C60" i="13"/>
  <c r="D60" i="13"/>
  <c r="H60" i="13"/>
  <c r="I60" i="13"/>
  <c r="J60" i="13"/>
  <c r="K60" i="13"/>
  <c r="A61" i="13"/>
  <c r="C61" i="13"/>
  <c r="D61" i="13"/>
  <c r="H61" i="13"/>
  <c r="I61" i="13"/>
  <c r="J61" i="13"/>
  <c r="K61" i="13"/>
  <c r="A62" i="13"/>
  <c r="C62" i="13"/>
  <c r="D62" i="13"/>
  <c r="H62" i="13"/>
  <c r="I62" i="13"/>
  <c r="J62" i="13"/>
  <c r="K62" i="13"/>
  <c r="A63" i="13"/>
  <c r="C63" i="13"/>
  <c r="D63" i="13"/>
  <c r="H63" i="13"/>
  <c r="I63" i="13"/>
  <c r="J63" i="13"/>
  <c r="K63" i="13"/>
  <c r="A64" i="13"/>
  <c r="C64" i="13"/>
  <c r="D64" i="13"/>
  <c r="H64" i="13"/>
  <c r="I64" i="13"/>
  <c r="J64" i="13"/>
  <c r="K64" i="13"/>
  <c r="A65" i="13"/>
  <c r="C65" i="13"/>
  <c r="D65" i="13"/>
  <c r="H65" i="13"/>
  <c r="I65" i="13"/>
  <c r="J65" i="13"/>
  <c r="K65" i="13"/>
  <c r="A66" i="13"/>
  <c r="C66" i="13"/>
  <c r="D66" i="13"/>
  <c r="I66" i="13"/>
  <c r="J66" i="13"/>
  <c r="K66" i="13"/>
  <c r="A67" i="13"/>
  <c r="C67" i="13"/>
  <c r="D67" i="13"/>
  <c r="H67" i="13"/>
  <c r="I67" i="13"/>
  <c r="J67" i="13"/>
  <c r="K67" i="13"/>
  <c r="A68" i="13"/>
  <c r="C68" i="13"/>
  <c r="D68" i="13"/>
  <c r="I68" i="13"/>
  <c r="J68" i="13"/>
  <c r="K68" i="13"/>
  <c r="A69" i="13"/>
  <c r="C69" i="13"/>
  <c r="D69" i="13"/>
  <c r="I69" i="13"/>
  <c r="J69" i="13"/>
  <c r="K69" i="13"/>
  <c r="A70" i="13"/>
  <c r="C70" i="13"/>
  <c r="D70" i="13"/>
  <c r="I70" i="13"/>
  <c r="J70" i="13"/>
  <c r="K70" i="13"/>
  <c r="D1" i="15"/>
  <c r="C3" i="15"/>
  <c r="D3" i="15"/>
  <c r="E3" i="15"/>
  <c r="G3" i="15"/>
  <c r="I3" i="15"/>
  <c r="K3" i="15"/>
  <c r="C4" i="15"/>
  <c r="D4" i="15"/>
  <c r="G4" i="15"/>
  <c r="I4" i="15"/>
  <c r="J4" i="15"/>
  <c r="K4" i="15"/>
  <c r="C5" i="15"/>
  <c r="D5" i="15"/>
  <c r="G5" i="15"/>
  <c r="I5" i="15"/>
  <c r="J5" i="15"/>
  <c r="K5" i="15"/>
  <c r="C6" i="15"/>
  <c r="D6" i="15"/>
  <c r="G6" i="15"/>
  <c r="I6" i="15"/>
  <c r="J6" i="15"/>
  <c r="K6" i="15"/>
  <c r="C7" i="15"/>
  <c r="D7" i="15"/>
  <c r="G7" i="15"/>
  <c r="I7" i="15"/>
  <c r="J7" i="15"/>
  <c r="K7" i="15"/>
  <c r="C8" i="15"/>
  <c r="D8" i="15"/>
  <c r="G8" i="15"/>
  <c r="H8" i="15"/>
  <c r="I8" i="15"/>
  <c r="J8" i="15"/>
  <c r="K8" i="15"/>
  <c r="C9" i="15"/>
  <c r="D9" i="15"/>
  <c r="G9" i="15"/>
  <c r="I9" i="15"/>
  <c r="J9" i="15"/>
  <c r="K9" i="15"/>
  <c r="C10" i="15"/>
  <c r="D10" i="15"/>
  <c r="G10" i="15"/>
  <c r="I10" i="15"/>
  <c r="J10" i="15"/>
  <c r="K10" i="15"/>
  <c r="C11" i="15"/>
  <c r="D11" i="15"/>
  <c r="G11" i="15"/>
  <c r="I11" i="15"/>
  <c r="J11" i="15"/>
  <c r="K11" i="15"/>
  <c r="C12" i="15"/>
  <c r="D12" i="15"/>
  <c r="G12" i="15"/>
  <c r="I12" i="15"/>
  <c r="J12" i="15"/>
  <c r="K12" i="15"/>
  <c r="C13" i="15"/>
  <c r="D13" i="15"/>
  <c r="G13" i="15"/>
  <c r="I13" i="15"/>
  <c r="J13" i="15"/>
  <c r="K13" i="15"/>
  <c r="C14" i="15"/>
  <c r="D14" i="15"/>
  <c r="G14" i="15"/>
  <c r="H14" i="15"/>
  <c r="I14" i="15"/>
  <c r="J14" i="15"/>
  <c r="K14" i="15"/>
  <c r="C15" i="15"/>
  <c r="D15" i="15"/>
  <c r="G15" i="15"/>
  <c r="I15" i="15"/>
  <c r="J15" i="15"/>
  <c r="K15" i="15"/>
  <c r="C16" i="15"/>
  <c r="D16" i="15"/>
  <c r="G16" i="15"/>
  <c r="I16" i="15"/>
  <c r="J16" i="15"/>
  <c r="K16" i="15"/>
  <c r="C17" i="15"/>
  <c r="D17" i="15"/>
  <c r="G17" i="15"/>
  <c r="I17" i="15"/>
  <c r="J17" i="15"/>
  <c r="K17" i="15"/>
  <c r="C18" i="15"/>
  <c r="D18" i="15"/>
  <c r="G18" i="15"/>
  <c r="I18" i="15"/>
  <c r="J18" i="15"/>
  <c r="K18" i="15"/>
  <c r="C19" i="15"/>
  <c r="D19" i="15"/>
  <c r="G19" i="15"/>
  <c r="I19" i="15"/>
  <c r="J19" i="15"/>
  <c r="K19" i="15"/>
  <c r="C20" i="15"/>
  <c r="D20" i="15"/>
  <c r="G20" i="15"/>
  <c r="H20" i="15"/>
  <c r="I20" i="15"/>
  <c r="J20" i="15"/>
  <c r="K20" i="15"/>
  <c r="C21" i="15"/>
  <c r="D21" i="15"/>
  <c r="G21" i="15"/>
  <c r="I21" i="15"/>
  <c r="J21" i="15"/>
  <c r="K21" i="15"/>
  <c r="C22" i="15"/>
  <c r="D22" i="15"/>
  <c r="G22" i="15"/>
  <c r="I22" i="15"/>
  <c r="J22" i="15"/>
  <c r="K22" i="15"/>
  <c r="C23" i="15"/>
  <c r="D23" i="15"/>
  <c r="G23" i="15"/>
  <c r="I23" i="15"/>
  <c r="J23" i="15"/>
  <c r="K23" i="15"/>
  <c r="C24" i="15"/>
  <c r="D24" i="15"/>
  <c r="G24" i="15"/>
  <c r="I24" i="15"/>
  <c r="J24" i="15"/>
  <c r="K24" i="15"/>
  <c r="C25" i="15"/>
  <c r="D25" i="15"/>
  <c r="G25" i="15"/>
  <c r="I25" i="15"/>
  <c r="J25" i="15"/>
  <c r="K25" i="15"/>
  <c r="C26" i="15"/>
  <c r="D26" i="15"/>
  <c r="G26" i="15"/>
  <c r="H26" i="15"/>
  <c r="I26" i="15"/>
  <c r="J26" i="15"/>
  <c r="K26" i="15"/>
  <c r="C27" i="15"/>
  <c r="D27" i="15"/>
  <c r="G27" i="15"/>
  <c r="I27" i="15"/>
  <c r="J27" i="15"/>
  <c r="K27" i="15"/>
  <c r="C28" i="15"/>
  <c r="D28" i="15"/>
  <c r="G28" i="15"/>
  <c r="I28" i="15"/>
  <c r="J28" i="15"/>
  <c r="K28" i="15"/>
  <c r="C29" i="15"/>
  <c r="D29" i="15"/>
  <c r="G29" i="15"/>
  <c r="I29" i="15"/>
  <c r="J29" i="15"/>
  <c r="K29" i="15"/>
  <c r="C30" i="15"/>
  <c r="D30" i="15"/>
  <c r="G30" i="15"/>
  <c r="I30" i="15"/>
  <c r="J30" i="15"/>
  <c r="K30" i="15"/>
  <c r="C31" i="15"/>
  <c r="D31" i="15"/>
  <c r="G31" i="15"/>
  <c r="I31" i="15"/>
  <c r="J31" i="15"/>
  <c r="K31" i="15"/>
  <c r="C32" i="15"/>
  <c r="D32" i="15"/>
  <c r="G32" i="15"/>
  <c r="H32" i="15"/>
  <c r="I32" i="15"/>
  <c r="J32" i="15"/>
  <c r="K32" i="15"/>
  <c r="C33" i="15"/>
  <c r="D33" i="15"/>
  <c r="H33" i="15"/>
  <c r="I33" i="15"/>
  <c r="J33" i="15"/>
  <c r="K33" i="15"/>
  <c r="C34" i="15"/>
  <c r="D34" i="15"/>
  <c r="H34" i="15"/>
  <c r="I34" i="15"/>
  <c r="J34" i="15"/>
  <c r="K34" i="15"/>
  <c r="A35" i="15"/>
  <c r="C35" i="15"/>
  <c r="D35" i="15"/>
  <c r="H35" i="15"/>
  <c r="I35" i="15"/>
  <c r="J35" i="15"/>
  <c r="K35" i="15"/>
  <c r="A36" i="15"/>
  <c r="C36" i="15"/>
  <c r="D36" i="15"/>
  <c r="H36" i="15"/>
  <c r="I36" i="15"/>
  <c r="J36" i="15"/>
  <c r="K36" i="15"/>
  <c r="A37" i="15"/>
  <c r="C37" i="15"/>
  <c r="D37" i="15"/>
  <c r="H37" i="15"/>
  <c r="I37" i="15"/>
  <c r="J37" i="15"/>
  <c r="K37" i="15"/>
  <c r="A38" i="15"/>
  <c r="C38" i="15"/>
  <c r="D38" i="15"/>
  <c r="H38" i="15"/>
  <c r="I38" i="15"/>
  <c r="J38" i="15"/>
  <c r="K38" i="15"/>
  <c r="A39" i="15"/>
  <c r="C39" i="15"/>
  <c r="D39" i="15"/>
  <c r="H39" i="15"/>
  <c r="I39" i="15"/>
  <c r="J39" i="15"/>
  <c r="K39" i="15"/>
  <c r="A40" i="15"/>
  <c r="C40" i="15"/>
  <c r="D40" i="15"/>
  <c r="H40" i="15"/>
  <c r="I40" i="15"/>
  <c r="J40" i="15"/>
  <c r="K40" i="15"/>
  <c r="A41" i="15"/>
  <c r="C41" i="15"/>
  <c r="D41" i="15"/>
  <c r="H41" i="15"/>
  <c r="I41" i="15"/>
  <c r="J41" i="15"/>
  <c r="K41" i="15"/>
  <c r="A42" i="15"/>
  <c r="C42" i="15"/>
  <c r="D42" i="15"/>
  <c r="H42" i="15"/>
  <c r="I42" i="15"/>
  <c r="J42" i="15"/>
  <c r="K42" i="15"/>
  <c r="A43" i="15"/>
  <c r="C43" i="15"/>
  <c r="D43" i="15"/>
  <c r="H43" i="15"/>
  <c r="I43" i="15"/>
  <c r="J43" i="15"/>
  <c r="K43" i="15"/>
  <c r="A44" i="15"/>
  <c r="C44" i="15"/>
  <c r="D44" i="15"/>
  <c r="H44" i="15"/>
  <c r="I44" i="15"/>
  <c r="J44" i="15"/>
  <c r="K44" i="15"/>
  <c r="A45" i="15"/>
  <c r="C45" i="15"/>
  <c r="D45" i="15"/>
  <c r="H45" i="15"/>
  <c r="I45" i="15"/>
  <c r="J45" i="15"/>
  <c r="K45" i="15"/>
  <c r="A46" i="15"/>
  <c r="C46" i="15"/>
  <c r="D46" i="15"/>
  <c r="H46" i="15"/>
  <c r="I46" i="15"/>
  <c r="J46" i="15"/>
  <c r="K46" i="15"/>
  <c r="A47" i="15"/>
  <c r="C47" i="15"/>
  <c r="D47" i="15"/>
  <c r="H47" i="15"/>
  <c r="I47" i="15"/>
  <c r="J47" i="15"/>
  <c r="K47" i="15"/>
  <c r="A48" i="15"/>
  <c r="C48" i="15"/>
  <c r="D48" i="15"/>
  <c r="H48" i="15"/>
  <c r="I48" i="15"/>
  <c r="J48" i="15"/>
  <c r="K48" i="15"/>
  <c r="A49" i="15"/>
  <c r="C49" i="15"/>
  <c r="D49" i="15"/>
  <c r="H49" i="15"/>
  <c r="I49" i="15"/>
  <c r="J49" i="15"/>
  <c r="K49" i="15"/>
  <c r="A50" i="15"/>
  <c r="C50" i="15"/>
  <c r="D50" i="15"/>
  <c r="H50" i="15"/>
  <c r="I50" i="15"/>
  <c r="J50" i="15"/>
  <c r="K50" i="15"/>
  <c r="A51" i="15"/>
  <c r="C51" i="15"/>
  <c r="D51" i="15"/>
  <c r="H51" i="15"/>
  <c r="I51" i="15"/>
  <c r="J51" i="15"/>
  <c r="K51" i="15"/>
  <c r="A52" i="15"/>
  <c r="C52" i="15"/>
  <c r="D52" i="15"/>
  <c r="H52" i="15"/>
  <c r="I52" i="15"/>
  <c r="J52" i="15"/>
  <c r="K52" i="15"/>
  <c r="A53" i="15"/>
  <c r="C53" i="15"/>
  <c r="D53" i="15"/>
  <c r="H53" i="15"/>
  <c r="I53" i="15"/>
  <c r="J53" i="15"/>
  <c r="K53" i="15"/>
  <c r="A54" i="15"/>
  <c r="C54" i="15"/>
  <c r="D54" i="15"/>
  <c r="H54" i="15"/>
  <c r="I54" i="15"/>
  <c r="J54" i="15"/>
  <c r="K54" i="15"/>
  <c r="A55" i="15"/>
  <c r="C55" i="15"/>
  <c r="D55" i="15"/>
  <c r="H55" i="15"/>
  <c r="I55" i="15"/>
  <c r="J55" i="15"/>
  <c r="K55" i="15"/>
  <c r="A56" i="15"/>
  <c r="C56" i="15"/>
  <c r="D56" i="15"/>
  <c r="H56" i="15"/>
  <c r="I56" i="15"/>
  <c r="J56" i="15"/>
  <c r="K56" i="15"/>
  <c r="A57" i="15"/>
  <c r="C57" i="15"/>
  <c r="D57" i="15"/>
  <c r="H57" i="15"/>
  <c r="I57" i="15"/>
  <c r="J57" i="15"/>
  <c r="K57" i="15"/>
  <c r="A58" i="15"/>
  <c r="C58" i="15"/>
  <c r="D58" i="15"/>
  <c r="H58" i="15"/>
  <c r="I58" i="15"/>
  <c r="J58" i="15"/>
  <c r="K58" i="15"/>
  <c r="A59" i="15"/>
  <c r="C59" i="15"/>
  <c r="D59" i="15"/>
  <c r="H59" i="15"/>
  <c r="I59" i="15"/>
  <c r="J59" i="15"/>
  <c r="K59" i="15"/>
  <c r="A60" i="15"/>
  <c r="C60" i="15"/>
  <c r="D60" i="15"/>
  <c r="H60" i="15"/>
  <c r="I60" i="15"/>
  <c r="J60" i="15"/>
  <c r="K60" i="15"/>
  <c r="A61" i="15"/>
  <c r="C61" i="15"/>
  <c r="D61" i="15"/>
  <c r="H61" i="15"/>
  <c r="I61" i="15"/>
  <c r="J61" i="15"/>
  <c r="K61" i="15"/>
  <c r="A62" i="15"/>
  <c r="C62" i="15"/>
  <c r="D62" i="15"/>
  <c r="H62" i="15"/>
  <c r="I62" i="15"/>
  <c r="J62" i="15"/>
  <c r="K62" i="15"/>
  <c r="A63" i="15"/>
  <c r="C63" i="15"/>
  <c r="D63" i="15"/>
  <c r="H63" i="15"/>
  <c r="I63" i="15"/>
  <c r="J63" i="15"/>
  <c r="K63" i="15"/>
  <c r="A64" i="15"/>
  <c r="C64" i="15"/>
  <c r="D64" i="15"/>
  <c r="H64" i="15"/>
  <c r="I64" i="15"/>
  <c r="J64" i="15"/>
  <c r="K64" i="15"/>
  <c r="A65" i="15"/>
  <c r="C65" i="15"/>
  <c r="D65" i="15"/>
  <c r="H65" i="15"/>
  <c r="I65" i="15"/>
  <c r="J65" i="15"/>
  <c r="K65" i="15"/>
  <c r="A66" i="15"/>
  <c r="C66" i="15"/>
  <c r="D66" i="15"/>
  <c r="I66" i="15"/>
  <c r="J66" i="15"/>
  <c r="K66" i="15"/>
  <c r="A67" i="15"/>
  <c r="C67" i="15"/>
  <c r="D67" i="15"/>
  <c r="H67" i="15"/>
  <c r="I67" i="15"/>
  <c r="J67" i="15"/>
  <c r="K67" i="15"/>
  <c r="A68" i="15"/>
  <c r="C68" i="15"/>
  <c r="D68" i="15"/>
  <c r="I68" i="15"/>
  <c r="J68" i="15"/>
  <c r="K68" i="15"/>
  <c r="A69" i="15"/>
  <c r="C69" i="15"/>
  <c r="D69" i="15"/>
  <c r="I69" i="15"/>
  <c r="J69" i="15"/>
  <c r="K69" i="15"/>
  <c r="A70" i="15"/>
  <c r="C70" i="15"/>
  <c r="D70" i="15"/>
  <c r="I70" i="15"/>
  <c r="J70" i="15"/>
  <c r="K70" i="15"/>
  <c r="B3" i="10"/>
  <c r="D3" i="10"/>
  <c r="E3" i="10"/>
  <c r="B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A4" i="3"/>
  <c r="F4" i="3"/>
  <c r="G4" i="3"/>
  <c r="A5" i="3"/>
  <c r="F5" i="3"/>
  <c r="G5" i="3"/>
  <c r="H5" i="3"/>
  <c r="I5" i="3"/>
  <c r="J5" i="3"/>
  <c r="A6" i="3"/>
  <c r="F6" i="3"/>
  <c r="G6" i="3"/>
  <c r="H6" i="3"/>
  <c r="I6" i="3"/>
  <c r="J6" i="3"/>
  <c r="A7" i="3"/>
  <c r="G7" i="3"/>
  <c r="H7" i="3"/>
  <c r="I7" i="3"/>
  <c r="J7" i="3"/>
  <c r="A8" i="3"/>
  <c r="F8" i="3"/>
  <c r="G8" i="3"/>
  <c r="H8" i="3"/>
  <c r="I8" i="3"/>
  <c r="J8" i="3"/>
  <c r="A9" i="3"/>
  <c r="G9" i="3"/>
  <c r="H9" i="3"/>
  <c r="I9" i="3"/>
  <c r="J9" i="3"/>
  <c r="A10" i="3"/>
  <c r="G10" i="3"/>
  <c r="H10" i="3"/>
  <c r="I10" i="3"/>
  <c r="J10" i="3"/>
  <c r="A11" i="3"/>
  <c r="F11" i="3"/>
  <c r="G11" i="3"/>
  <c r="H11" i="3"/>
  <c r="I11" i="3"/>
  <c r="J11" i="3"/>
  <c r="D16" i="3"/>
  <c r="D18" i="3"/>
  <c r="D19" i="3"/>
  <c r="E19" i="3"/>
  <c r="F19" i="3"/>
  <c r="G19" i="3"/>
  <c r="H19" i="3"/>
  <c r="I19" i="3"/>
  <c r="J19" i="3"/>
  <c r="D20" i="3"/>
  <c r="E20" i="3"/>
  <c r="F20" i="3"/>
  <c r="G20" i="3"/>
  <c r="H20" i="3"/>
  <c r="I20" i="3"/>
  <c r="J20" i="3"/>
  <c r="D21" i="3"/>
  <c r="E21" i="3"/>
  <c r="F21" i="3"/>
  <c r="G21" i="3"/>
  <c r="H21" i="3"/>
  <c r="I21" i="3"/>
  <c r="J21" i="3"/>
  <c r="D23" i="3"/>
  <c r="D25" i="3"/>
  <c r="D26" i="3"/>
  <c r="E26" i="3"/>
  <c r="F26" i="3"/>
  <c r="G26" i="3"/>
  <c r="H26" i="3"/>
  <c r="I26" i="3"/>
  <c r="J26" i="3"/>
  <c r="D27" i="3"/>
  <c r="E27" i="3"/>
  <c r="F27" i="3"/>
  <c r="G27" i="3"/>
  <c r="H27" i="3"/>
  <c r="I27" i="3"/>
  <c r="J27" i="3"/>
  <c r="D28" i="3"/>
  <c r="E28" i="3"/>
  <c r="F28" i="3"/>
  <c r="G28" i="3"/>
  <c r="H28" i="3"/>
  <c r="I28" i="3"/>
  <c r="J28" i="3"/>
  <c r="D30" i="3"/>
  <c r="D32" i="3"/>
  <c r="D33" i="3"/>
  <c r="E33" i="3"/>
  <c r="F33" i="3"/>
  <c r="G33" i="3"/>
  <c r="H33" i="3"/>
  <c r="I33" i="3"/>
  <c r="J33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B6" i="1"/>
  <c r="B8" i="1"/>
  <c r="D15" i="1"/>
  <c r="E15" i="1"/>
  <c r="F15" i="1"/>
  <c r="G15" i="1"/>
  <c r="H15" i="1"/>
  <c r="D19" i="1"/>
  <c r="E19" i="1"/>
  <c r="F19" i="1"/>
  <c r="G19" i="1"/>
  <c r="H19" i="1"/>
  <c r="C20" i="1"/>
  <c r="D20" i="1"/>
  <c r="E20" i="1"/>
  <c r="F20" i="1"/>
  <c r="G20" i="1"/>
  <c r="H20" i="1"/>
  <c r="C23" i="1"/>
  <c r="C24" i="1"/>
  <c r="D24" i="1"/>
  <c r="E24" i="1"/>
  <c r="F24" i="1"/>
  <c r="G24" i="1"/>
  <c r="H24" i="1"/>
  <c r="C28" i="1"/>
  <c r="D28" i="1"/>
  <c r="E28" i="1"/>
  <c r="F28" i="1"/>
  <c r="G28" i="1"/>
  <c r="H28" i="1"/>
  <c r="C29" i="1"/>
  <c r="D29" i="1"/>
  <c r="E29" i="1"/>
  <c r="F29" i="1"/>
  <c r="G29" i="1"/>
  <c r="H29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5" i="1"/>
  <c r="E35" i="1"/>
  <c r="G35" i="1"/>
  <c r="C36" i="1"/>
  <c r="E36" i="1"/>
  <c r="G36" i="1"/>
  <c r="D40" i="1"/>
  <c r="D41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B6" i="6"/>
  <c r="B8" i="6"/>
  <c r="D15" i="6"/>
  <c r="E15" i="6"/>
  <c r="F15" i="6"/>
  <c r="G15" i="6"/>
  <c r="H15" i="6"/>
  <c r="D16" i="6"/>
  <c r="E16" i="6"/>
  <c r="F16" i="6"/>
  <c r="G16" i="6"/>
  <c r="H16" i="6"/>
  <c r="D19" i="6"/>
  <c r="E19" i="6"/>
  <c r="F19" i="6"/>
  <c r="G19" i="6"/>
  <c r="H19" i="6"/>
  <c r="C20" i="6"/>
  <c r="D20" i="6"/>
  <c r="E20" i="6"/>
  <c r="F20" i="6"/>
  <c r="G20" i="6"/>
  <c r="H20" i="6"/>
  <c r="C24" i="6"/>
  <c r="D24" i="6"/>
  <c r="E24" i="6"/>
  <c r="F24" i="6"/>
  <c r="G24" i="6"/>
  <c r="H24" i="6"/>
  <c r="C27" i="6"/>
  <c r="D27" i="6"/>
  <c r="E27" i="6"/>
  <c r="F27" i="6"/>
  <c r="G27" i="6"/>
  <c r="H27" i="6"/>
  <c r="C28" i="6"/>
  <c r="D28" i="6"/>
  <c r="E28" i="6"/>
  <c r="F28" i="6"/>
  <c r="G28" i="6"/>
  <c r="H28" i="6"/>
  <c r="C32" i="6"/>
  <c r="D32" i="6"/>
  <c r="E32" i="6"/>
  <c r="F32" i="6"/>
  <c r="G32" i="6"/>
  <c r="H32" i="6"/>
  <c r="C33" i="6"/>
  <c r="D33" i="6"/>
  <c r="E33" i="6"/>
  <c r="F33" i="6"/>
  <c r="G33" i="6"/>
  <c r="H33" i="6"/>
  <c r="C35" i="6"/>
  <c r="D35" i="6"/>
  <c r="E35" i="6"/>
  <c r="F35" i="6"/>
  <c r="G35" i="6"/>
  <c r="H35" i="6"/>
  <c r="C2" i="7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</calcChain>
</file>

<file path=xl/sharedStrings.xml><?xml version="1.0" encoding="utf-8"?>
<sst xmlns="http://schemas.openxmlformats.org/spreadsheetml/2006/main" count="162" uniqueCount="79">
  <si>
    <t>Facts:</t>
  </si>
  <si>
    <t>20 year lease</t>
  </si>
  <si>
    <t>min 90% home games</t>
  </si>
  <si>
    <t>est cost:</t>
  </si>
  <si>
    <t>County pd</t>
  </si>
  <si>
    <t>Mariners</t>
  </si>
  <si>
    <t>3-yrs to build</t>
  </si>
  <si>
    <t>Discount Rate:</t>
  </si>
  <si>
    <t>(384 - 45)</t>
  </si>
  <si>
    <t>PV 3/1/99</t>
  </si>
  <si>
    <t>Lease Payments (Revenue)</t>
  </si>
  <si>
    <t>Cost of Building (Expense)</t>
  </si>
  <si>
    <t>Assumes project goes over, as most do.</t>
  </si>
  <si>
    <t>40 payments of $350,000</t>
  </si>
  <si>
    <t>Population</t>
  </si>
  <si>
    <t>1990</t>
  </si>
  <si>
    <t>2000</t>
  </si>
  <si>
    <t>Cost per Capita</t>
  </si>
  <si>
    <t>NPV of Investments</t>
  </si>
  <si>
    <t>people per hh</t>
  </si>
  <si>
    <t>Cost per Household</t>
  </si>
  <si>
    <t>Attendance</t>
  </si>
  <si>
    <t>Year</t>
  </si>
  <si>
    <t>price 1</t>
  </si>
  <si>
    <t>PV Ticket Sales</t>
  </si>
  <si>
    <t>price</t>
  </si>
  <si>
    <t>note</t>
  </si>
  <si>
    <t>purchased  200,000 worth of tickets by county</t>
  </si>
  <si>
    <t>Inflation:</t>
  </si>
  <si>
    <t>%changeQ</t>
  </si>
  <si>
    <t>%changeP</t>
  </si>
  <si>
    <t>Price</t>
  </si>
  <si>
    <t>Elasticity</t>
  </si>
  <si>
    <t>Tax on tickets</t>
  </si>
  <si>
    <t>elasticity</t>
  </si>
  <si>
    <t>new price</t>
  </si>
  <si>
    <t>year</t>
  </si>
  <si>
    <t>Discount Rate w/ premium:</t>
  </si>
  <si>
    <t>PV of cash flow</t>
  </si>
  <si>
    <t>Sales</t>
  </si>
  <si>
    <t>strike shortened seasons - adj. up to full season</t>
  </si>
  <si>
    <t>Monthly pymt</t>
  </si>
  <si>
    <t>win %</t>
  </si>
  <si>
    <t>infl ticket pr</t>
  </si>
  <si>
    <t>beg bal</t>
  </si>
  <si>
    <t>end bal</t>
  </si>
  <si>
    <t>interest</t>
  </si>
  <si>
    <t>month</t>
  </si>
  <si>
    <t>Discount Rate (APR):</t>
  </si>
  <si>
    <t>Cost to County</t>
  </si>
  <si>
    <t>Construction Duration</t>
  </si>
  <si>
    <t>(7/1/97 - 12/31/99)</t>
  </si>
  <si>
    <t>Bonds Issued 7/97</t>
  </si>
  <si>
    <t xml:space="preserve">paid </t>
  </si>
  <si>
    <t>attendance</t>
  </si>
  <si>
    <t xml:space="preserve">adj. paid </t>
  </si>
  <si>
    <t>% win</t>
  </si>
  <si>
    <t>ASSUMES ATTENDANCE HOLDS DESPITE INCREASED PRICES</t>
  </si>
  <si>
    <t>price incl.</t>
  </si>
  <si>
    <t>10% tax</t>
  </si>
  <si>
    <t>2001-18</t>
  </si>
  <si>
    <t>PV 7/97</t>
  </si>
  <si>
    <t>PV 3/99</t>
  </si>
  <si>
    <t>PV 1/19</t>
  </si>
  <si>
    <t xml:space="preserve">Residual value of stadium </t>
  </si>
  <si>
    <t>PV @ 7/97</t>
  </si>
  <si>
    <t>Assumes Price Elasticity of .75</t>
  </si>
  <si>
    <t>coupon</t>
  </si>
  <si>
    <t>tax rev</t>
  </si>
  <si>
    <t>const pay</t>
  </si>
  <si>
    <t>lease pay</t>
  </si>
  <si>
    <t>no tax rev</t>
  </si>
  <si>
    <t>est 1996</t>
  </si>
  <si>
    <t>Cost of Construction 7/97</t>
  </si>
  <si>
    <t>Face value of bonds issued</t>
  </si>
  <si>
    <t>Bonds issued at DR w/ Premium</t>
  </si>
  <si>
    <t>PV of future tax revenue</t>
  </si>
  <si>
    <t>ASSUMES ATTENDANCE DROPS WITH INCREASED PRICES - ELASTICITY = .75</t>
  </si>
  <si>
    <t>Discount Rate w/ Premium: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</si>
</sst>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8" formatCode="_(* #,##0_);_(* \(#,##0\);_(* &quot;-&quot;??_);_(@_)"/>
    <numFmt numFmtId="169" formatCode="0.0%"/>
    <numFmt numFmtId="170" formatCode="0\ &quot;mos&quot;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  <numFmt numFmtId="181" formatCode="&quot;with &quot;0%&quot; tax&quot;"/>
    <numFmt numFmtId="182" formatCode="&quot;DR=&quot;0.00%"/>
    <numFmt numFmtId="183" formatCode="mm/yyyy"/>
    <numFmt numFmtId="184" formatCode="&quot;@ &quot;\&amp;0.00%"/>
  </numFmts>
  <fonts count="14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10"/>
      <name val="Arial"/>
    </font>
    <font>
      <sz val="8"/>
      <name val="Arial"/>
    </font>
    <font>
      <sz val="10"/>
      <color indexed="10"/>
      <name val="Arial"/>
      <family val="2"/>
    </font>
    <font>
      <b/>
      <sz val="10"/>
      <color indexed="17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2" fontId="0" fillId="0" borderId="0" xfId="0" applyNumberForma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43" fontId="0" fillId="0" borderId="0" xfId="1" applyNumberFormat="1" applyFont="1"/>
    <xf numFmtId="168" fontId="0" fillId="0" borderId="0" xfId="0" applyNumberFormat="1"/>
    <xf numFmtId="9" fontId="0" fillId="0" borderId="0" xfId="3" applyFont="1"/>
    <xf numFmtId="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44" fontId="0" fillId="0" borderId="0" xfId="2" applyFont="1"/>
    <xf numFmtId="171" fontId="0" fillId="0" borderId="0" xfId="2" applyNumberFormat="1" applyFont="1"/>
    <xf numFmtId="172" fontId="0" fillId="0" borderId="0" xfId="2" applyNumberFormat="1" applyFont="1"/>
    <xf numFmtId="43" fontId="1" fillId="0" borderId="0" xfId="1"/>
    <xf numFmtId="168" fontId="0" fillId="0" borderId="1" xfId="1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8" fontId="0" fillId="0" borderId="1" xfId="0" applyNumberFormat="1" applyBorder="1"/>
    <xf numFmtId="43" fontId="4" fillId="0" borderId="0" xfId="1" applyNumberFormat="1" applyFont="1" applyAlignment="1">
      <alignment horizontal="center"/>
    </xf>
    <xf numFmtId="169" fontId="0" fillId="0" borderId="0" xfId="3" applyNumberFormat="1" applyFont="1"/>
    <xf numFmtId="0" fontId="6" fillId="0" borderId="0" xfId="0" applyFont="1"/>
    <xf numFmtId="2" fontId="7" fillId="0" borderId="0" xfId="0" applyNumberFormat="1" applyFont="1"/>
    <xf numFmtId="2" fontId="8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43" fontId="2" fillId="0" borderId="0" xfId="1" applyFont="1"/>
    <xf numFmtId="10" fontId="6" fillId="0" borderId="0" xfId="0" applyNumberFormat="1" applyFont="1"/>
    <xf numFmtId="43" fontId="6" fillId="0" borderId="0" xfId="1" applyFont="1"/>
    <xf numFmtId="171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9" fontId="2" fillId="0" borderId="0" xfId="0" applyNumberFormat="1" applyFont="1"/>
    <xf numFmtId="10" fontId="0" fillId="0" borderId="0" xfId="3" applyNumberFormat="1" applyFont="1"/>
    <xf numFmtId="43" fontId="0" fillId="0" borderId="0" xfId="0" applyNumberFormat="1" applyAlignment="1">
      <alignment horizontal="center"/>
    </xf>
    <xf numFmtId="9" fontId="0" fillId="0" borderId="0" xfId="3" applyNumberFormat="1" applyFont="1"/>
    <xf numFmtId="168" fontId="4" fillId="0" borderId="0" xfId="1" applyNumberFormat="1" applyFont="1"/>
    <xf numFmtId="182" fontId="4" fillId="0" borderId="0" xfId="3" applyNumberFormat="1" applyFont="1" applyAlignment="1">
      <alignment horizontal="center"/>
    </xf>
    <xf numFmtId="168" fontId="4" fillId="0" borderId="0" xfId="0" applyNumberFormat="1" applyFont="1"/>
    <xf numFmtId="10" fontId="2" fillId="0" borderId="0" xfId="3" applyNumberFormat="1" applyFont="1"/>
    <xf numFmtId="2" fontId="0" fillId="0" borderId="0" xfId="0" applyNumberFormat="1" applyBorder="1"/>
    <xf numFmtId="0" fontId="0" fillId="0" borderId="0" xfId="0" applyBorder="1"/>
    <xf numFmtId="0" fontId="7" fillId="0" borderId="0" xfId="0" applyFont="1"/>
    <xf numFmtId="2" fontId="11" fillId="0" borderId="0" xfId="0" applyNumberFormat="1" applyFont="1"/>
    <xf numFmtId="0" fontId="8" fillId="0" borderId="0" xfId="0" applyFont="1"/>
    <xf numFmtId="0" fontId="11" fillId="0" borderId="0" xfId="0" applyFont="1"/>
    <xf numFmtId="0" fontId="12" fillId="0" borderId="0" xfId="0" applyFont="1"/>
    <xf numFmtId="2" fontId="12" fillId="0" borderId="0" xfId="0" applyNumberFormat="1" applyFont="1"/>
    <xf numFmtId="183" fontId="0" fillId="0" borderId="0" xfId="0" applyNumberFormat="1"/>
    <xf numFmtId="10" fontId="4" fillId="0" borderId="0" xfId="3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44" fontId="0" fillId="0" borderId="0" xfId="2" applyNumberFormat="1" applyFont="1"/>
    <xf numFmtId="14" fontId="13" fillId="0" borderId="0" xfId="0" applyNumberFormat="1" applyFont="1"/>
    <xf numFmtId="0" fontId="6" fillId="0" borderId="0" xfId="0" applyFont="1" applyBorder="1" applyAlignment="1">
      <alignment horizontal="center"/>
    </xf>
    <xf numFmtId="10" fontId="4" fillId="0" borderId="0" xfId="0" applyNumberFormat="1" applyFont="1"/>
    <xf numFmtId="10" fontId="6" fillId="0" borderId="0" xfId="3" applyNumberFormat="1" applyFont="1"/>
    <xf numFmtId="184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81" fontId="4" fillId="0" borderId="0" xfId="3" applyNumberFormat="1" applyFont="1" applyAlignment="1">
      <alignment horizontal="center"/>
    </xf>
    <xf numFmtId="181" fontId="4" fillId="0" borderId="0" xfId="3" applyNumberFormat="1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Elasticity</a:t>
            </a:r>
          </a:p>
        </c:rich>
      </c:tx>
      <c:layout>
        <c:manualLayout>
          <c:xMode val="edge"/>
          <c:yMode val="edge"/>
          <c:x val="0.4339622641509434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305216426193117"/>
          <c:y val="8.9722675367047311E-2"/>
          <c:w val="0.41953385127635962"/>
          <c:h val="0.805872756933115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data'!$E$3</c:f>
              <c:strCache>
                <c:ptCount val="1"/>
                <c:pt idx="0">
                  <c:v>%changeQ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1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48%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D51-4F75-B55C-43A9E939462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D51-4F75-B55C-43A9E939462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40%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D51-4F75-B55C-43A9E939462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D51-4F75-B55C-43A9E939462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44% win, 1st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D51-4F75-B55C-43A9E939462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55% win, post losing yr - 2nd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D51-4F75-B55C-43A9E939462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53% win, post winning yr - 3rd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D51-4F75-B55C-43A9E939462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'chart data'!$D$4:$D$11</c:f>
              <c:numCache>
                <c:formatCode>0%</c:formatCode>
                <c:ptCount val="8"/>
                <c:pt idx="1">
                  <c:v>1.6561964591661926E-2</c:v>
                </c:pt>
                <c:pt idx="2">
                  <c:v>-0.13139522199192755</c:v>
                </c:pt>
                <c:pt idx="3">
                  <c:v>0.35343158921522333</c:v>
                </c:pt>
                <c:pt idx="4">
                  <c:v>-2.5846234584098737E-2</c:v>
                </c:pt>
                <c:pt idx="5">
                  <c:v>0.29231909167184233</c:v>
                </c:pt>
                <c:pt idx="6">
                  <c:v>-0.10935018582491507</c:v>
                </c:pt>
                <c:pt idx="7">
                  <c:v>0.10115648201027971</c:v>
                </c:pt>
              </c:numCache>
            </c:numRef>
          </c:xVal>
          <c:yVal>
            <c:numRef>
              <c:f>'chart data'!$E$4:$E$11</c:f>
              <c:numCache>
                <c:formatCode>0%</c:formatCode>
                <c:ptCount val="8"/>
                <c:pt idx="1">
                  <c:v>0.16275733000623838</c:v>
                </c:pt>
                <c:pt idx="2">
                  <c:v>0.40186601023453594</c:v>
                </c:pt>
                <c:pt idx="3">
                  <c:v>-0.21974309421155203</c:v>
                </c:pt>
                <c:pt idx="4">
                  <c:v>0.24249454098890766</c:v>
                </c:pt>
                <c:pt idx="5">
                  <c:v>-9.3135326945936736E-3</c:v>
                </c:pt>
                <c:pt idx="6">
                  <c:v>-0.10304450685600686</c:v>
                </c:pt>
                <c:pt idx="7">
                  <c:v>0.49392852441753332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51-4F75-B55C-43A9E9394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11424"/>
        <c:axId val="1"/>
      </c:scatterChart>
      <c:valAx>
        <c:axId val="33261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Quantity</a:t>
                </a:r>
              </a:p>
            </c:rich>
          </c:tx>
          <c:layout>
            <c:manualLayout>
              <c:xMode val="edge"/>
              <c:yMode val="edge"/>
              <c:x val="0.40399556048834628"/>
              <c:y val="0.9396411092985318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0.3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Price</a:t>
                </a:r>
              </a:p>
            </c:rich>
          </c:tx>
          <c:layout>
            <c:manualLayout>
              <c:xMode val="edge"/>
              <c:yMode val="edge"/>
              <c:x val="0.21309655937846836"/>
              <c:y val="0.420880913539967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2611424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D356DEE-8887-49F2-947A-A99E8A2A23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24" workbookViewId="0">
      <selection activeCell="A24" sqref="A24"/>
    </sheetView>
  </sheetViews>
  <sheetFormatPr defaultRowHeight="12.75" x14ac:dyDescent="0.2"/>
  <cols>
    <col min="1" max="1" width="13.5703125" customWidth="1"/>
    <col min="2" max="2" width="10" customWidth="1"/>
    <col min="3" max="3" width="15" bestFit="1" customWidth="1"/>
    <col min="4" max="4" width="12.85546875" bestFit="1" customWidth="1"/>
    <col min="5" max="5" width="10.1406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2">
        <v>363.5</v>
      </c>
    </row>
    <row r="6" spans="1:8" x14ac:dyDescent="0.2">
      <c r="A6" s="3" t="s">
        <v>4</v>
      </c>
      <c r="B6" s="22">
        <f>384-45</f>
        <v>339</v>
      </c>
      <c r="C6" t="s">
        <v>8</v>
      </c>
      <c r="E6" t="s">
        <v>12</v>
      </c>
    </row>
    <row r="7" spans="1:8" ht="25.5" customHeight="1" x14ac:dyDescent="0.2">
      <c r="A7" s="42" t="s">
        <v>50</v>
      </c>
      <c r="B7" s="20">
        <v>30</v>
      </c>
      <c r="C7" t="s">
        <v>51</v>
      </c>
      <c r="D7" s="10"/>
    </row>
    <row r="8" spans="1:8" x14ac:dyDescent="0.2">
      <c r="A8" s="3"/>
      <c r="B8" s="23">
        <f>B6/B7</f>
        <v>11.3</v>
      </c>
      <c r="D8" s="10"/>
    </row>
    <row r="9" spans="1:8" x14ac:dyDescent="0.2">
      <c r="A9" s="3" t="s">
        <v>5</v>
      </c>
      <c r="B9" s="1">
        <v>45</v>
      </c>
    </row>
    <row r="10" spans="1:8" x14ac:dyDescent="0.2">
      <c r="B10" s="2"/>
    </row>
    <row r="11" spans="1:8" x14ac:dyDescent="0.2">
      <c r="B11" s="2"/>
    </row>
    <row r="13" spans="1:8" x14ac:dyDescent="0.2">
      <c r="B13" s="21"/>
    </row>
    <row r="15" spans="1:8" x14ac:dyDescent="0.2">
      <c r="A15" t="s">
        <v>78</v>
      </c>
      <c r="C15" s="35">
        <v>5.7000000000000002E-2</v>
      </c>
      <c r="D15" s="38">
        <f>DiscRate-0.0025</f>
        <v>5.45E-2</v>
      </c>
      <c r="E15" s="38">
        <f>DiscRate-0.005</f>
        <v>5.2000000000000005E-2</v>
      </c>
      <c r="F15" s="38">
        <f>DiscRate+0.0025</f>
        <v>5.9500000000000004E-2</v>
      </c>
      <c r="G15" s="38">
        <f>DiscRate+0.005</f>
        <v>6.2E-2</v>
      </c>
      <c r="H15" s="38">
        <f>DiscRate+0.0075</f>
        <v>6.4500000000000002E-2</v>
      </c>
    </row>
    <row r="16" spans="1:8" x14ac:dyDescent="0.2">
      <c r="C16" s="36"/>
      <c r="D16" s="36"/>
      <c r="E16" s="36"/>
      <c r="F16" s="36"/>
      <c r="G16" s="36"/>
      <c r="H16" s="36"/>
    </row>
    <row r="17" spans="1:10" x14ac:dyDescent="0.2">
      <c r="A17" s="5"/>
      <c r="C17" s="36"/>
      <c r="D17" s="36"/>
      <c r="E17" s="36"/>
      <c r="F17" s="36"/>
      <c r="G17" s="36"/>
      <c r="H17" s="36"/>
    </row>
    <row r="18" spans="1:10" x14ac:dyDescent="0.2">
      <c r="A18" s="5" t="s">
        <v>64</v>
      </c>
      <c r="C18" s="36"/>
      <c r="D18" s="36"/>
      <c r="E18" s="36"/>
      <c r="F18" s="36"/>
      <c r="G18" s="36"/>
      <c r="H18" s="36"/>
    </row>
    <row r="19" spans="1:10" x14ac:dyDescent="0.2">
      <c r="B19" t="s">
        <v>63</v>
      </c>
      <c r="C19" s="37">
        <v>0.6</v>
      </c>
      <c r="D19" s="39">
        <f>$C$19</f>
        <v>0.6</v>
      </c>
      <c r="E19" s="39">
        <f>$C$19</f>
        <v>0.6</v>
      </c>
      <c r="F19" s="39">
        <f>$C$19</f>
        <v>0.6</v>
      </c>
      <c r="G19" s="39">
        <f>$C$19</f>
        <v>0.6</v>
      </c>
      <c r="H19" s="39">
        <f>$C$19</f>
        <v>0.6</v>
      </c>
    </row>
    <row r="20" spans="1:10" x14ac:dyDescent="0.2">
      <c r="B20" t="s">
        <v>61</v>
      </c>
      <c r="C20" s="6">
        <f>C19/POWER(1+DiscRate,21.5)</f>
        <v>0.18219607769457363</v>
      </c>
      <c r="D20" s="6">
        <f>D19/POWER(1+discrate2,21.5)</f>
        <v>0.19171217429998044</v>
      </c>
      <c r="E20" s="6">
        <f>E19/POWER(1+DiscRate3,21.5)</f>
        <v>0.20174967523974519</v>
      </c>
      <c r="F20" s="6">
        <f>F19/POWER(1+DiscRate4,21.5)</f>
        <v>0.17317316239680131</v>
      </c>
      <c r="G20" s="6">
        <f>G19/POWER(1+DiscRate5,21.5)</f>
        <v>0.16461679439370253</v>
      </c>
      <c r="H20" s="6">
        <f>H19/POWER(1+DiscRate6,21.5)</f>
        <v>0.15650183578407795</v>
      </c>
    </row>
    <row r="22" spans="1:10" x14ac:dyDescent="0.2">
      <c r="A22" t="s">
        <v>11</v>
      </c>
      <c r="C22" s="7"/>
    </row>
    <row r="23" spans="1:10" x14ac:dyDescent="0.2">
      <c r="B23" s="3" t="s">
        <v>49</v>
      </c>
      <c r="C23" s="40">
        <f>B6</f>
        <v>339</v>
      </c>
      <c r="J23" s="10"/>
    </row>
    <row r="24" spans="1:10" x14ac:dyDescent="0.2">
      <c r="A24" s="9"/>
      <c r="B24" s="41" t="s">
        <v>52</v>
      </c>
      <c r="C24" s="51">
        <f>-PV(DiscRate/12,$B$7,$B$6/$B$7,,0)</f>
        <v>315.25770951618858</v>
      </c>
      <c r="D24" s="7">
        <f>-PV(discrate2/12,$B$7,$B$6/$B$7,,0)</f>
        <v>316.24988580612813</v>
      </c>
      <c r="E24" s="7">
        <f>-PV(DiscRate3/12,$B$7,$B$6/$B$7,,0)</f>
        <v>317.24641283525335</v>
      </c>
      <c r="F24" s="7">
        <f>-PV(DiscRate4/12,$B$7,$B$6/$B$7,,0)</f>
        <v>314.26986184396009</v>
      </c>
      <c r="G24" s="7">
        <f>-PV(DiscRate5/12,$B$7,$B$6/$B$7,,0)</f>
        <v>313.28632079181853</v>
      </c>
      <c r="H24" s="7">
        <f>-PV(DiscRate6/12,$B$7,$B$6/$B$7,,0)</f>
        <v>312.30706448521232</v>
      </c>
      <c r="J24" s="10"/>
    </row>
    <row r="25" spans="1:10" x14ac:dyDescent="0.2">
      <c r="C25" s="52"/>
      <c r="J25" s="4"/>
    </row>
    <row r="26" spans="1:10" x14ac:dyDescent="0.2">
      <c r="A26" t="s">
        <v>10</v>
      </c>
      <c r="J26" s="4"/>
    </row>
    <row r="27" spans="1:10" x14ac:dyDescent="0.2">
      <c r="B27" t="s">
        <v>13</v>
      </c>
    </row>
    <row r="28" spans="1:10" x14ac:dyDescent="0.2">
      <c r="B28" t="s">
        <v>62</v>
      </c>
      <c r="C28" s="8">
        <f>PV(DiscRate/2,40,-0.35)</f>
        <v>8.2899809681197976</v>
      </c>
      <c r="D28" s="8">
        <f>PV(discrate2/2,40,-0.35)</f>
        <v>8.4622065361324541</v>
      </c>
      <c r="E28" s="8">
        <f>PV(DiscRate3/2,40,-0.35)</f>
        <v>8.639837576544652</v>
      </c>
      <c r="F28" s="8">
        <f>PV(DiscRate4/2,40,-0.35)</f>
        <v>8.1229649365232568</v>
      </c>
      <c r="G28" s="8">
        <f>PV(DiscRate5/2,40,-0.35)</f>
        <v>7.9609703870645534</v>
      </c>
      <c r="H28" s="8">
        <f>PV(DiscRate6/2,40,-0.35)</f>
        <v>7.8038168063325388</v>
      </c>
    </row>
    <row r="29" spans="1:10" x14ac:dyDescent="0.2">
      <c r="B29" s="5" t="s">
        <v>61</v>
      </c>
      <c r="C29" s="6">
        <f>C28/POWER(1+DiscRate,20/12)</f>
        <v>7.5583770803453607</v>
      </c>
      <c r="D29" s="11">
        <f>D28/POWER(1+discrate2,20/12)</f>
        <v>7.7459135822122001</v>
      </c>
      <c r="E29" s="11">
        <f>E28/POWER(1+DiscRate3,20/12)</f>
        <v>7.9398569582977583</v>
      </c>
      <c r="F29" s="11">
        <f>F28/POWER(1+DiscRate4,20/12)</f>
        <v>7.3769976224887239</v>
      </c>
      <c r="G29" s="11">
        <f>G28/POWER(1+DiscRate5,20/12)</f>
        <v>7.2015361851721762</v>
      </c>
      <c r="H29" s="11">
        <f>H28/POWER(1+DiscRate6,20/12)</f>
        <v>7.0317640488596904</v>
      </c>
    </row>
    <row r="30" spans="1:10" x14ac:dyDescent="0.2">
      <c r="B30" s="5"/>
      <c r="C30" s="6"/>
      <c r="D30" s="11"/>
      <c r="E30" s="6"/>
      <c r="F30" s="11"/>
      <c r="G30" s="11"/>
      <c r="H30" s="11"/>
    </row>
    <row r="31" spans="1:10" x14ac:dyDescent="0.2">
      <c r="A31" s="5" t="s">
        <v>18</v>
      </c>
      <c r="C31" s="6">
        <f t="shared" ref="C31:H31" si="0">C20+C29-C24</f>
        <v>-307.51713635814866</v>
      </c>
      <c r="D31" s="6">
        <f t="shared" si="0"/>
        <v>-308.31226004961593</v>
      </c>
      <c r="E31" s="6">
        <f t="shared" si="0"/>
        <v>-309.10480620171586</v>
      </c>
      <c r="F31" s="6">
        <f t="shared" si="0"/>
        <v>-306.71969105907453</v>
      </c>
      <c r="G31" s="6">
        <f t="shared" si="0"/>
        <v>-305.92016781225266</v>
      </c>
      <c r="H31" s="6">
        <f t="shared" si="0"/>
        <v>-305.11879860056854</v>
      </c>
    </row>
    <row r="32" spans="1:10" x14ac:dyDescent="0.2">
      <c r="A32" s="5" t="s">
        <v>24</v>
      </c>
      <c r="C32" s="6">
        <f>tixdr0/1000000</f>
        <v>548.92095150497244</v>
      </c>
      <c r="D32" s="6">
        <f>tixdr2/1000000</f>
        <v>563.12367096936896</v>
      </c>
      <c r="E32" s="6">
        <f>tixdr3/1000000</f>
        <v>577.83715291806641</v>
      </c>
      <c r="F32" s="6">
        <f>tixdr4/1000000</f>
        <v>535.20812858378122</v>
      </c>
      <c r="G32" s="6">
        <f>tixdr5/1000000</f>
        <v>521.96528462777019</v>
      </c>
      <c r="H32" s="6">
        <f>tixdr6/1000000</f>
        <v>509.17340372517197</v>
      </c>
    </row>
    <row r="33" spans="1:8" x14ac:dyDescent="0.2">
      <c r="A33" s="5" t="s">
        <v>33</v>
      </c>
      <c r="C33" s="17">
        <f>-C$31/C32</f>
        <v>0.56022116757436791</v>
      </c>
      <c r="D33" s="17">
        <f>-D31/D32</f>
        <v>0.54750364075245295</v>
      </c>
      <c r="E33" s="17">
        <f>-E31/E32</f>
        <v>0.53493411533118385</v>
      </c>
      <c r="F33" s="17">
        <f>-F31/F32</f>
        <v>0.57308488918262157</v>
      </c>
      <c r="G33" s="17">
        <f>-G31/G32</f>
        <v>0.58609293917010963</v>
      </c>
      <c r="H33" s="17">
        <f>-H31/H32</f>
        <v>0.59924339403488835</v>
      </c>
    </row>
    <row r="34" spans="1:8" x14ac:dyDescent="0.2">
      <c r="A34" s="65" t="s">
        <v>66</v>
      </c>
      <c r="E34" s="6"/>
    </row>
    <row r="35" spans="1:8" x14ac:dyDescent="0.2">
      <c r="A35" s="5" t="s">
        <v>24</v>
      </c>
      <c r="C35" s="6">
        <f>attendance!F49/1000000</f>
        <v>496.59202870974343</v>
      </c>
      <c r="D35" s="6"/>
      <c r="E35" s="6">
        <f>attendance!J49/1000000</f>
        <v>531.10032493089648</v>
      </c>
      <c r="F35" s="6"/>
      <c r="G35" s="6">
        <f>attendance!N49/1000000</f>
        <v>463.9720888524609</v>
      </c>
      <c r="H35" s="6"/>
    </row>
    <row r="36" spans="1:8" x14ac:dyDescent="0.2">
      <c r="A36" s="5" t="s">
        <v>33</v>
      </c>
      <c r="C36" s="17">
        <f>-C$31/C35</f>
        <v>0.61925507978278793</v>
      </c>
      <c r="D36" s="17"/>
      <c r="E36" s="17">
        <f>-E$31/E35</f>
        <v>0.58200831686919918</v>
      </c>
      <c r="F36" s="17"/>
      <c r="G36" s="17">
        <f>-G$31/G35</f>
        <v>0.65935036861567031</v>
      </c>
      <c r="H36" s="17"/>
    </row>
    <row r="37" spans="1:8" x14ac:dyDescent="0.2">
      <c r="A37" s="6"/>
    </row>
    <row r="39" spans="1:8" x14ac:dyDescent="0.2">
      <c r="B39" s="14" t="s">
        <v>15</v>
      </c>
      <c r="C39" s="14" t="s">
        <v>16</v>
      </c>
      <c r="D39" s="13" t="s">
        <v>72</v>
      </c>
    </row>
    <row r="40" spans="1:8" x14ac:dyDescent="0.2">
      <c r="A40" s="66" t="s">
        <v>14</v>
      </c>
      <c r="B40" s="12">
        <v>1507319</v>
      </c>
      <c r="C40" s="12">
        <v>1686234</v>
      </c>
      <c r="D40" s="12">
        <f>(C40*6+B40*4)/10</f>
        <v>1614668</v>
      </c>
    </row>
    <row r="41" spans="1:8" x14ac:dyDescent="0.2">
      <c r="A41" t="s">
        <v>19</v>
      </c>
      <c r="B41" s="7">
        <v>2.4</v>
      </c>
      <c r="C41">
        <v>2.34</v>
      </c>
      <c r="D41" s="15">
        <f>(C41*6+B41*4)/10</f>
        <v>2.3639999999999999</v>
      </c>
    </row>
    <row r="42" spans="1:8" x14ac:dyDescent="0.2">
      <c r="D42" s="12"/>
    </row>
    <row r="43" spans="1:8" x14ac:dyDescent="0.2">
      <c r="A43" t="s">
        <v>48</v>
      </c>
      <c r="C43" s="35">
        <v>5.7000000000000002E-2</v>
      </c>
      <c r="D43" s="38">
        <f>DiscRate-0.0025</f>
        <v>5.45E-2</v>
      </c>
      <c r="E43" s="38">
        <f>DiscRate-0.005</f>
        <v>5.2000000000000005E-2</v>
      </c>
      <c r="F43" s="38">
        <f>DiscRate+0.0025</f>
        <v>5.9500000000000004E-2</v>
      </c>
      <c r="G43" s="38">
        <f>DiscRate+0.005</f>
        <v>6.2E-2</v>
      </c>
      <c r="H43" s="38">
        <f>DiscRate+0.0075</f>
        <v>6.4500000000000002E-2</v>
      </c>
    </row>
    <row r="44" spans="1:8" x14ac:dyDescent="0.2">
      <c r="A44" s="26" t="s">
        <v>17</v>
      </c>
      <c r="C44" s="21">
        <f t="shared" ref="C44:H44" si="1">C24*1000000/$D$40</f>
        <v>195.24614937323869</v>
      </c>
      <c r="D44" s="21">
        <f t="shared" si="1"/>
        <v>195.86062633688667</v>
      </c>
      <c r="E44" s="21">
        <f t="shared" si="1"/>
        <v>196.47779781060464</v>
      </c>
      <c r="F44" s="21">
        <f t="shared" si="1"/>
        <v>194.63435321933679</v>
      </c>
      <c r="G44" s="21">
        <f t="shared" si="1"/>
        <v>194.02522425156039</v>
      </c>
      <c r="H44" s="21">
        <f t="shared" si="1"/>
        <v>193.41874892251059</v>
      </c>
    </row>
    <row r="45" spans="1:8" x14ac:dyDescent="0.2">
      <c r="A45" t="s">
        <v>19</v>
      </c>
      <c r="C45" s="6">
        <f t="shared" ref="C45:H45" si="2">$D$41</f>
        <v>2.3639999999999999</v>
      </c>
      <c r="D45" s="6">
        <f t="shared" si="2"/>
        <v>2.3639999999999999</v>
      </c>
      <c r="E45" s="6">
        <f t="shared" si="2"/>
        <v>2.3639999999999999</v>
      </c>
      <c r="F45" s="6">
        <f t="shared" si="2"/>
        <v>2.3639999999999999</v>
      </c>
      <c r="G45" s="6">
        <f t="shared" si="2"/>
        <v>2.3639999999999999</v>
      </c>
      <c r="H45" s="6">
        <f t="shared" si="2"/>
        <v>2.3639999999999999</v>
      </c>
    </row>
    <row r="46" spans="1:8" x14ac:dyDescent="0.2">
      <c r="A46" s="26" t="s">
        <v>20</v>
      </c>
      <c r="C46" s="21">
        <f t="shared" ref="C46:H46" si="3">C44*C45</f>
        <v>461.56189711833628</v>
      </c>
      <c r="D46" s="21">
        <f t="shared" si="3"/>
        <v>463.01452066040008</v>
      </c>
      <c r="E46" s="21">
        <f t="shared" si="3"/>
        <v>464.47351402426938</v>
      </c>
      <c r="F46" s="21">
        <f t="shared" si="3"/>
        <v>460.11561101051217</v>
      </c>
      <c r="G46" s="21">
        <f t="shared" si="3"/>
        <v>458.67563013068872</v>
      </c>
      <c r="H46" s="21">
        <f t="shared" si="3"/>
        <v>457.241922452815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8" workbookViewId="0">
      <selection activeCell="A40" sqref="A40"/>
    </sheetView>
  </sheetViews>
  <sheetFormatPr defaultRowHeight="12.75" x14ac:dyDescent="0.2"/>
  <cols>
    <col min="1" max="1" width="13.5703125" customWidth="1"/>
    <col min="2" max="2" width="10.85546875" customWidth="1"/>
    <col min="3" max="3" width="15.28515625" bestFit="1" customWidth="1"/>
    <col min="4" max="4" width="13.140625" bestFit="1" customWidth="1"/>
    <col min="5" max="8" width="10.57031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2">
        <v>363.5</v>
      </c>
    </row>
    <row r="6" spans="1:8" x14ac:dyDescent="0.2">
      <c r="A6" s="3" t="s">
        <v>4</v>
      </c>
      <c r="B6" s="22">
        <f>384-45</f>
        <v>339</v>
      </c>
      <c r="C6" t="s">
        <v>8</v>
      </c>
      <c r="E6" t="s">
        <v>12</v>
      </c>
    </row>
    <row r="7" spans="1:8" ht="25.5" customHeight="1" x14ac:dyDescent="0.2">
      <c r="A7" s="42" t="s">
        <v>50</v>
      </c>
      <c r="B7" s="20">
        <v>30</v>
      </c>
      <c r="C7" t="s">
        <v>51</v>
      </c>
      <c r="D7" s="10"/>
    </row>
    <row r="8" spans="1:8" x14ac:dyDescent="0.2">
      <c r="A8" s="3" t="s">
        <v>41</v>
      </c>
      <c r="B8" s="64">
        <f>B6/B7</f>
        <v>11.3</v>
      </c>
      <c r="D8" s="10"/>
    </row>
    <row r="9" spans="1:8" x14ac:dyDescent="0.2">
      <c r="A9" s="3"/>
      <c r="B9" s="1"/>
    </row>
    <row r="10" spans="1:8" x14ac:dyDescent="0.2">
      <c r="B10" s="2"/>
    </row>
    <row r="11" spans="1:8" x14ac:dyDescent="0.2">
      <c r="B11" s="2"/>
    </row>
    <row r="15" spans="1:8" x14ac:dyDescent="0.2">
      <c r="A15" t="s">
        <v>7</v>
      </c>
      <c r="C15" s="35">
        <v>4.8800000000000003E-2</v>
      </c>
      <c r="D15" s="38">
        <f>DiscRate-0.0025</f>
        <v>4.6300000000000001E-2</v>
      </c>
      <c r="E15" s="38">
        <f>DiscRate-0.005</f>
        <v>4.3800000000000006E-2</v>
      </c>
      <c r="F15" s="38">
        <f>DiscRate+0.0025</f>
        <v>5.1300000000000005E-2</v>
      </c>
      <c r="G15" s="38">
        <f>DiscRate+0.005</f>
        <v>5.3800000000000001E-2</v>
      </c>
      <c r="H15" s="38">
        <f>DiscRate+0.0075</f>
        <v>5.6300000000000003E-2</v>
      </c>
    </row>
    <row r="16" spans="1:8" x14ac:dyDescent="0.2">
      <c r="A16" t="s">
        <v>37</v>
      </c>
      <c r="C16" s="50">
        <v>5.7000000000000002E-2</v>
      </c>
      <c r="D16" s="68">
        <f>discrate2+($C$16-DiscRate)</f>
        <v>5.45E-2</v>
      </c>
      <c r="E16" s="68">
        <f>DiscRate3+($C$16-DiscRate)</f>
        <v>5.2000000000000005E-2</v>
      </c>
      <c r="F16" s="68">
        <f>DiscRate4+($C$16-DiscRate)</f>
        <v>5.9500000000000004E-2</v>
      </c>
      <c r="G16" s="68">
        <f>DiscRate5+($C$16-DiscRate)</f>
        <v>6.2E-2</v>
      </c>
      <c r="H16" s="68">
        <f>DiscRate6+($C$16-DiscRate)</f>
        <v>6.4500000000000002E-2</v>
      </c>
    </row>
    <row r="17" spans="1:10" x14ac:dyDescent="0.2">
      <c r="C17" s="7"/>
    </row>
    <row r="18" spans="1:10" x14ac:dyDescent="0.2">
      <c r="A18" s="5" t="s">
        <v>64</v>
      </c>
      <c r="C18" s="36"/>
      <c r="D18" s="36"/>
      <c r="E18" s="36"/>
      <c r="F18" s="36"/>
      <c r="G18" s="36"/>
      <c r="H18" s="36"/>
    </row>
    <row r="19" spans="1:10" x14ac:dyDescent="0.2">
      <c r="B19" t="s">
        <v>63</v>
      </c>
      <c r="C19" s="37">
        <v>0.6</v>
      </c>
      <c r="D19" s="39">
        <f>$C$19</f>
        <v>0.6</v>
      </c>
      <c r="E19" s="39">
        <f>$C$19</f>
        <v>0.6</v>
      </c>
      <c r="F19" s="39">
        <f>$C$19</f>
        <v>0.6</v>
      </c>
      <c r="G19" s="39">
        <f>$C$19</f>
        <v>0.6</v>
      </c>
      <c r="H19" s="39">
        <f>$C$19</f>
        <v>0.6</v>
      </c>
    </row>
    <row r="20" spans="1:10" x14ac:dyDescent="0.2">
      <c r="B20" t="s">
        <v>61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1" spans="1:10" x14ac:dyDescent="0.2">
      <c r="C21" s="6"/>
      <c r="D21" s="6"/>
      <c r="E21" s="6"/>
      <c r="F21" s="6"/>
      <c r="G21" s="6"/>
      <c r="H21" s="6"/>
    </row>
    <row r="22" spans="1:10" x14ac:dyDescent="0.2">
      <c r="A22" t="s">
        <v>11</v>
      </c>
    </row>
    <row r="23" spans="1:10" x14ac:dyDescent="0.2">
      <c r="B23" s="3" t="s">
        <v>49</v>
      </c>
      <c r="C23" s="7">
        <v>339</v>
      </c>
      <c r="D23" s="7"/>
      <c r="E23" s="7"/>
      <c r="F23" s="7"/>
      <c r="G23" s="7"/>
      <c r="H23" s="7"/>
      <c r="J23" s="10"/>
    </row>
    <row r="24" spans="1:10" x14ac:dyDescent="0.2">
      <c r="A24" s="9"/>
      <c r="B24" s="41" t="s">
        <v>73</v>
      </c>
      <c r="C24" s="7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">
      <c r="A25" s="9"/>
      <c r="B25" s="41"/>
      <c r="C25" s="7"/>
      <c r="D25" s="7"/>
      <c r="E25" s="7"/>
      <c r="F25" s="7"/>
      <c r="G25" s="7"/>
      <c r="H25" s="7"/>
      <c r="J25" s="10"/>
    </row>
    <row r="26" spans="1:10" x14ac:dyDescent="0.2">
      <c r="A26" s="32" t="s">
        <v>75</v>
      </c>
      <c r="B26" s="41"/>
      <c r="C26" s="7"/>
      <c r="D26" s="7"/>
      <c r="E26" s="7"/>
      <c r="F26" s="7"/>
      <c r="G26" s="7"/>
      <c r="H26" s="7"/>
      <c r="J26" s="10"/>
    </row>
    <row r="27" spans="1:10" x14ac:dyDescent="0.2">
      <c r="A27" s="32" t="s">
        <v>76</v>
      </c>
      <c r="B27" s="41"/>
      <c r="C27" s="7">
        <f>'tax rev'!C23/1000000</f>
        <v>350.47254933445214</v>
      </c>
      <c r="D27" s="7">
        <f>'tax rev'!D23/1000000</f>
        <v>358.00885115460517</v>
      </c>
      <c r="E27" s="7">
        <f>'tax rev'!E23/1000000</f>
        <v>365.78832882535619</v>
      </c>
      <c r="F27" s="7">
        <f>'tax rev'!F23/1000000</f>
        <v>343.17042928153199</v>
      </c>
      <c r="G27" s="7">
        <f>'tax rev'!G23/1000000</f>
        <v>336.09386837468276</v>
      </c>
      <c r="H27" s="7">
        <f>'tax rev'!H23/1000000</f>
        <v>329.2345987776576</v>
      </c>
      <c r="J27" s="10"/>
    </row>
    <row r="28" spans="1:10" x14ac:dyDescent="0.2">
      <c r="A28" t="s">
        <v>74</v>
      </c>
      <c r="B28" s="7"/>
      <c r="C28" s="7">
        <f>('tax rev'!C23/(C16/DiscRate*(1-POWER(1+DiscRate,-20))+POWER(1+DiscRate,-20)))/1000000</f>
        <v>317.67630181747052</v>
      </c>
      <c r="D28" s="7">
        <f>('tax rev'!D23/(D16/discrate2*(1-POWER(1+discrate2,-20))+POWER(1+discrate2,-20)))/1000000</f>
        <v>323.85110276196554</v>
      </c>
      <c r="E28" s="7">
        <f>('tax rev'!E23/(E16/DiscRate3*(1-POWER(1+DiscRate3,-20))+POWER(1+DiscRate3,-20)))/1000000</f>
        <v>330.19856775361598</v>
      </c>
      <c r="F28" s="7">
        <f>('tax rev'!F23/(F16/DiscRate4*(1-POWER(1+DiscRate4,-20))+POWER(1+DiscRate4,-20)))/1000000</f>
        <v>311.66908758374728</v>
      </c>
      <c r="G28" s="7">
        <f>('tax rev'!G23/(G16/DiscRate5*(1-POWER(1+DiscRate5,-20))+POWER(1+DiscRate5,-20)))/1000000</f>
        <v>305.82451845255019</v>
      </c>
      <c r="H28" s="7">
        <f>('tax rev'!H23/(H16/DiscRate6*(1-POWER(1+DiscRate6,-20))+POWER(1+DiscRate6,-20)))/1000000</f>
        <v>300.13778682578987</v>
      </c>
      <c r="J28" s="10"/>
    </row>
    <row r="29" spans="1:10" x14ac:dyDescent="0.2">
      <c r="C29" s="6"/>
      <c r="J29" s="24"/>
    </row>
    <row r="30" spans="1:10" x14ac:dyDescent="0.2">
      <c r="A30" t="s">
        <v>10</v>
      </c>
      <c r="J30" s="24"/>
    </row>
    <row r="31" spans="1:10" x14ac:dyDescent="0.2">
      <c r="B31" t="s">
        <v>13</v>
      </c>
      <c r="C31" s="4"/>
      <c r="D31" s="8"/>
      <c r="E31" s="8"/>
      <c r="F31" s="8"/>
      <c r="G31" s="8"/>
      <c r="H31" s="8"/>
    </row>
    <row r="32" spans="1:10" x14ac:dyDescent="0.2">
      <c r="B32" s="5" t="s">
        <v>9</v>
      </c>
      <c r="C32" s="8">
        <f>PV(DiscRate/2,40,-0.35)</f>
        <v>8.875419668267579</v>
      </c>
      <c r="D32" s="8">
        <f>PV(discrate2/2,40,-0.35)</f>
        <v>9.0661524216024354</v>
      </c>
      <c r="E32" s="8">
        <f>PV(DiscRate3/2,40,-0.35)</f>
        <v>9.2629931760068427</v>
      </c>
      <c r="F32" s="8">
        <f>PV(DiscRate4/2,40,-0.35)</f>
        <v>8.6905705275883172</v>
      </c>
      <c r="G32" s="8">
        <f>PV(DiscRate5/2,40,-0.35)</f>
        <v>8.5113897301320609</v>
      </c>
      <c r="H32" s="8">
        <f>PV(DiscRate6/2,40,-0.35)</f>
        <v>8.3376707277859321</v>
      </c>
    </row>
    <row r="33" spans="1:8" x14ac:dyDescent="0.2">
      <c r="A33" s="5"/>
      <c r="B33" s="5" t="s">
        <v>61</v>
      </c>
      <c r="C33" s="6">
        <f>C32/POWER(1+DiscRate,20/12)</f>
        <v>8.1978713712285067</v>
      </c>
      <c r="D33" s="11">
        <f>D32/POWER(1+discrate2,20/12)</f>
        <v>8.407418009164715</v>
      </c>
      <c r="E33" s="11">
        <f>E32/POWER(1+DiscRate3,20/12)</f>
        <v>8.6242735492764666</v>
      </c>
      <c r="F33" s="11">
        <f>F32/POWER(1+DiscRate4,20/12)</f>
        <v>7.9953444974546324</v>
      </c>
      <c r="G33" s="11">
        <f>G32/POWER(1+DiscRate5,20/12)</f>
        <v>7.7995608965936816</v>
      </c>
      <c r="H33" s="11">
        <f>H32/POWER(1+DiscRate6,20/12)</f>
        <v>7.6102561303459213</v>
      </c>
    </row>
    <row r="34" spans="1:8" x14ac:dyDescent="0.2">
      <c r="A34" s="5"/>
    </row>
    <row r="35" spans="1:8" x14ac:dyDescent="0.2">
      <c r="A35" s="5" t="s">
        <v>18</v>
      </c>
      <c r="C35" s="6">
        <f t="shared" ref="C35:H35" si="0">C20+C33+C28-C24</f>
        <v>7.5612280802347414</v>
      </c>
      <c r="D35" s="6">
        <f t="shared" si="0"/>
        <v>12.950386584943317</v>
      </c>
      <c r="E35" s="6">
        <f t="shared" si="0"/>
        <v>18.515720260231546</v>
      </c>
      <c r="F35" s="6">
        <f t="shared" si="0"/>
        <v>2.3428666404136038</v>
      </c>
      <c r="G35" s="6">
        <f t="shared" si="0"/>
        <v>-2.7099256535108225</v>
      </c>
      <c r="H35" s="6">
        <f t="shared" si="0"/>
        <v>-7.6022289590196124</v>
      </c>
    </row>
    <row r="36" spans="1:8" x14ac:dyDescent="0.2">
      <c r="A36" s="5"/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33" sqref="A33"/>
    </sheetView>
  </sheetViews>
  <sheetFormatPr defaultRowHeight="12.75" x14ac:dyDescent="0.2"/>
  <cols>
    <col min="2" max="2" width="12.28515625" bestFit="1" customWidth="1"/>
    <col min="3" max="8" width="15.140625" bestFit="1" customWidth="1"/>
  </cols>
  <sheetData>
    <row r="1" spans="1:8" x14ac:dyDescent="0.2">
      <c r="A1" s="26"/>
      <c r="B1" s="26"/>
      <c r="C1" s="27" t="s">
        <v>38</v>
      </c>
      <c r="D1" s="27" t="s">
        <v>38</v>
      </c>
      <c r="E1" s="27" t="s">
        <v>38</v>
      </c>
      <c r="F1" s="27" t="s">
        <v>38</v>
      </c>
      <c r="G1" s="27" t="s">
        <v>38</v>
      </c>
      <c r="H1" s="27" t="s">
        <v>38</v>
      </c>
    </row>
    <row r="2" spans="1:8" x14ac:dyDescent="0.2">
      <c r="A2" s="28" t="s">
        <v>36</v>
      </c>
      <c r="B2" s="26"/>
      <c r="C2" s="69">
        <f>'facts premium'!C16</f>
        <v>5.7000000000000002E-2</v>
      </c>
      <c r="D2" s="69">
        <f>'facts premium'!D16</f>
        <v>5.45E-2</v>
      </c>
      <c r="E2" s="69">
        <f>'facts premium'!E16</f>
        <v>5.2000000000000005E-2</v>
      </c>
      <c r="F2" s="69">
        <f>'facts premium'!F16</f>
        <v>5.9500000000000004E-2</v>
      </c>
      <c r="G2" s="69">
        <f>'facts premium'!G16</f>
        <v>6.2E-2</v>
      </c>
      <c r="H2" s="69">
        <f>'facts premium'!H16</f>
        <v>6.4500000000000002E-2</v>
      </c>
    </row>
    <row r="3" spans="1:8" x14ac:dyDescent="0.2">
      <c r="A3" s="27">
        <v>1996</v>
      </c>
      <c r="B3" s="12">
        <v>4602104</v>
      </c>
      <c r="C3" s="12">
        <f>$B3/(POWER(1+'facts premium'!C$16,($A3-1996.5)))</f>
        <v>4731446.3768222621</v>
      </c>
      <c r="D3" s="12">
        <f>$B3/(POWER(1+'facts premium'!D$16,($A3-1996.5)))</f>
        <v>4725847.6926026167</v>
      </c>
      <c r="E3" s="12">
        <f>$B3/(POWER(1+'facts premium'!E$16,($A3-1996.5)))</f>
        <v>4720242.367782658</v>
      </c>
      <c r="F3" s="12">
        <f>$B3/(POWER(1+'facts premium'!F$16,($A3-1996.5)))</f>
        <v>4737038.4439870818</v>
      </c>
      <c r="G3" s="12">
        <f>$B3/(POWER(1+'facts premium'!G$16,($A3-1996.5)))</f>
        <v>4742623.9175037481</v>
      </c>
      <c r="H3" s="12">
        <f>$B3/(POWER(1+'facts premium'!H$16,($A3-1996.5)))</f>
        <v>4748202.8206412625</v>
      </c>
    </row>
    <row r="4" spans="1:8" x14ac:dyDescent="0.2">
      <c r="A4" s="27">
        <v>1997</v>
      </c>
      <c r="B4" s="12">
        <v>19893231</v>
      </c>
      <c r="C4" s="12">
        <f>$B4/(POWER(1+'facts premium'!C$16,($A4-1996.5)))</f>
        <v>19349414.67507688</v>
      </c>
      <c r="D4" s="12">
        <f>$B4/(POWER(1+'facts premium'!D$16,($A4-1996.5)))</f>
        <v>19372337.813875936</v>
      </c>
      <c r="E4" s="12">
        <f>$B4/(POWER(1+'facts premium'!E$16,($A4-1996.5)))</f>
        <v>19395342.616915267</v>
      </c>
      <c r="F4" s="12">
        <f>$B4/(POWER(1+'facts premium'!F$16,($A4-1996.5)))</f>
        <v>19326572.718495265</v>
      </c>
      <c r="G4" s="12">
        <f>$B4/(POWER(1+'facts premium'!G$16,($A4-1996.5)))</f>
        <v>19303811.466082089</v>
      </c>
      <c r="H4" s="12">
        <f>$B4/(POWER(1+'facts premium'!H$16,($A4-1996.5)))</f>
        <v>19281130.443720125</v>
      </c>
    </row>
    <row r="5" spans="1:8" x14ac:dyDescent="0.2">
      <c r="A5" s="27">
        <v>1998</v>
      </c>
      <c r="B5" s="12">
        <v>20428789</v>
      </c>
      <c r="C5" s="12">
        <f>$B5/(POWER(1+'facts premium'!C$16,($A5-1996.5)))</f>
        <v>18798800.623253863</v>
      </c>
      <c r="D5" s="12">
        <f>$B5/(POWER(1+'facts premium'!D$16,($A5-1996.5)))</f>
        <v>18865692.295499239</v>
      </c>
      <c r="E5" s="12">
        <f>$B5/(POWER(1+'facts premium'!E$16,($A5-1996.5)))</f>
        <v>18932981.611409176</v>
      </c>
      <c r="F5" s="12">
        <f>$B5/(POWER(1+'facts premium'!F$16,($A5-1996.5)))</f>
        <v>18732303.312627606</v>
      </c>
      <c r="G5" s="12">
        <f>$B5/(POWER(1+'facts premium'!G$16,($A5-1996.5)))</f>
        <v>18666197.116321977</v>
      </c>
      <c r="H5" s="12">
        <f>$B5/(POWER(1+'facts premium'!H$16,($A5-1996.5)))</f>
        <v>18600478.821336843</v>
      </c>
    </row>
    <row r="6" spans="1:8" x14ac:dyDescent="0.2">
      <c r="A6" s="27">
        <v>1999</v>
      </c>
      <c r="B6" s="12">
        <v>24715328</v>
      </c>
      <c r="C6" s="12">
        <f>$B6/(POWER(1+'facts premium'!C$16,($A6-1996.5)))</f>
        <v>21516860.793465313</v>
      </c>
      <c r="D6" s="12">
        <f>$B6/(POWER(1+'facts premium'!D$16,($A6-1996.5)))</f>
        <v>21644617.638563152</v>
      </c>
      <c r="E6" s="12">
        <f>$B6/(POWER(1+'facts premium'!E$16,($A6-1996.5)))</f>
        <v>21773438.99392939</v>
      </c>
      <c r="F6" s="12">
        <f>$B6/(POWER(1+'facts premium'!F$16,($A6-1996.5)))</f>
        <v>21390157.17544698</v>
      </c>
      <c r="G6" s="12">
        <f>$B6/(POWER(1+'facts premium'!G$16,($A6-1996.5)))</f>
        <v>21264495.647147655</v>
      </c>
      <c r="H6" s="12">
        <f>$B6/(POWER(1+'facts premium'!H$16,($A6-1996.5)))</f>
        <v>21139865.214812975</v>
      </c>
    </row>
    <row r="7" spans="1:8" x14ac:dyDescent="0.2">
      <c r="A7" s="27">
        <v>2000</v>
      </c>
      <c r="B7" s="12">
        <v>25091313</v>
      </c>
      <c r="C7" s="12">
        <f>$B7/(POWER(1+'facts premium'!C$16,($A7-1996.5)))</f>
        <v>20666214.487632751</v>
      </c>
      <c r="D7" s="12">
        <f>$B7/(POWER(1+'facts premium'!D$16,($A7-1996.5)))</f>
        <v>20838206.804566547</v>
      </c>
      <c r="E7" s="12">
        <f>$B7/(POWER(1+'facts premium'!E$16,($A7-1996.5)))</f>
        <v>21012043.86089946</v>
      </c>
      <c r="F7" s="12">
        <f>$B7/(POWER(1+'facts premium'!F$16,($A7-1996.5)))</f>
        <v>20496043.039988302</v>
      </c>
      <c r="G7" s="12">
        <f>$B7/(POWER(1+'facts premium'!G$16,($A7-1996.5)))</f>
        <v>20327668.955692869</v>
      </c>
      <c r="H7" s="12">
        <f>$B7/(POWER(1+'facts premium'!H$16,($A7-1996.5)))</f>
        <v>20161069.086579837</v>
      </c>
    </row>
    <row r="8" spans="1:8" x14ac:dyDescent="0.2">
      <c r="A8" s="27">
        <v>2001</v>
      </c>
      <c r="B8" s="12">
        <v>25488810</v>
      </c>
      <c r="C8" s="12">
        <f>$B8/(POWER(1+'facts premium'!C$16,($A8-1996.5)))</f>
        <v>19861503.314120166</v>
      </c>
      <c r="D8" s="12">
        <f>$B8/(POWER(1+'facts premium'!D$16,($A8-1996.5)))</f>
        <v>20074277.880624834</v>
      </c>
      <c r="E8" s="12">
        <f>$B8/(POWER(1+'facts premium'!E$16,($A8-1996.5)))</f>
        <v>20289845.06749456</v>
      </c>
      <c r="F8" s="12">
        <f>$B8/(POWER(1+'facts premium'!F$16,($A8-1996.5)))</f>
        <v>19651478.713036533</v>
      </c>
      <c r="G8" s="12">
        <f>$B8/(POWER(1+'facts premium'!G$16,($A8-1996.5)))</f>
        <v>19444162.172418676</v>
      </c>
      <c r="H8" s="12">
        <f>$B8/(POWER(1+'facts premium'!H$16,($A8-1996.5)))</f>
        <v>19239512.5223899</v>
      </c>
    </row>
    <row r="9" spans="1:8" x14ac:dyDescent="0.2">
      <c r="A9" s="27">
        <v>2002</v>
      </c>
      <c r="B9" s="12">
        <v>26244265</v>
      </c>
      <c r="C9" s="12">
        <f>$B9/(POWER(1+'facts premium'!C$16,($A9-1996.5)))</f>
        <v>19347372.092760041</v>
      </c>
      <c r="D9" s="12">
        <f>$B9/(POWER(1+'facts premium'!D$16,($A9-1996.5)))</f>
        <v>19600998.794201627</v>
      </c>
      <c r="E9" s="12">
        <f>$B9/(POWER(1+'facts premium'!E$16,($A9-1996.5)))</f>
        <v>19858564.206183463</v>
      </c>
      <c r="F9" s="12">
        <f>$B9/(POWER(1+'facts premium'!F$16,($A9-1996.5)))</f>
        <v>19097614.767729543</v>
      </c>
      <c r="G9" s="12">
        <f>$B9/(POWER(1+'facts premium'!G$16,($A9-1996.5)))</f>
        <v>18851658.864979796</v>
      </c>
      <c r="H9" s="12">
        <f>$B9/(POWER(1+'facts premium'!H$16,($A9-1996.5)))</f>
        <v>18609437.779752593</v>
      </c>
    </row>
    <row r="10" spans="1:8" x14ac:dyDescent="0.2">
      <c r="A10" s="27">
        <v>2003</v>
      </c>
      <c r="B10" s="12">
        <v>27316484</v>
      </c>
      <c r="C10" s="12">
        <f>$B10/(POWER(1+'facts premium'!C$16,($A10-1996.5)))</f>
        <v>19051860.002299946</v>
      </c>
      <c r="D10" s="12">
        <f>$B10/(POWER(1+'facts premium'!D$16,($A10-1996.5)))</f>
        <v>19347372.911413081</v>
      </c>
      <c r="E10" s="12">
        <f>$B10/(POWER(1+'facts premium'!E$16,($A10-1996.5)))</f>
        <v>19648187.33434628</v>
      </c>
      <c r="F10" s="12">
        <f>$B10/(POWER(1+'facts premium'!F$16,($A10-1996.5)))</f>
        <v>18761542.964577511</v>
      </c>
      <c r="G10" s="12">
        <f>$B10/(POWER(1+'facts premium'!G$16,($A10-1996.5)))</f>
        <v>18476318.503089018</v>
      </c>
      <c r="H10" s="12">
        <f>$B10/(POWER(1+'facts premium'!H$16,($A10-1996.5)))</f>
        <v>18196085.612440739</v>
      </c>
    </row>
    <row r="11" spans="1:8" x14ac:dyDescent="0.2">
      <c r="A11" s="27">
        <v>2004</v>
      </c>
      <c r="B11" s="12">
        <v>28432512</v>
      </c>
      <c r="C11" s="12">
        <f>$B11/(POWER(1+'facts premium'!C$16,($A11-1996.5)))</f>
        <v>18760863.615649723</v>
      </c>
      <c r="D11" s="12">
        <f>$B11/(POWER(1+'facts premium'!D$16,($A11-1996.5)))</f>
        <v>19097030.888470184</v>
      </c>
      <c r="E11" s="12">
        <f>$B11/(POWER(1+'facts premium'!E$16,($A11-1996.5)))</f>
        <v>19440041.265913505</v>
      </c>
      <c r="F11" s="12">
        <f>$B11/(POWER(1+'facts premium'!F$16,($A11-1996.5)))</f>
        <v>18431387.223019909</v>
      </c>
      <c r="G11" s="12">
        <f>$B11/(POWER(1+'facts premium'!G$16,($A11-1996.5)))</f>
        <v>18108453.220061757</v>
      </c>
      <c r="H11" s="12">
        <f>$B11/(POWER(1+'facts premium'!H$16,($A11-1996.5)))</f>
        <v>17791916.750091515</v>
      </c>
    </row>
    <row r="12" spans="1:8" x14ac:dyDescent="0.2">
      <c r="A12" s="27">
        <v>2005</v>
      </c>
      <c r="B12" s="12">
        <v>29594139</v>
      </c>
      <c r="C12" s="12">
        <f>$B12/(POWER(1+'facts premium'!C$16,($A12-1996.5)))</f>
        <v>18474313.843560465</v>
      </c>
      <c r="D12" s="12">
        <f>$B12/(POWER(1+'facts premium'!D$16,($A12-1996.5)))</f>
        <v>18849930.125279933</v>
      </c>
      <c r="E12" s="12">
        <f>$B12/(POWER(1+'facts premium'!E$16,($A12-1996.5)))</f>
        <v>19234102.267356351</v>
      </c>
      <c r="F12" s="12">
        <f>$B12/(POWER(1+'facts premium'!F$16,($A12-1996.5)))</f>
        <v>18107043.311198793</v>
      </c>
      <c r="G12" s="12">
        <f>$B12/(POWER(1+'facts premium'!G$16,($A12-1996.5)))</f>
        <v>17747914.055213153</v>
      </c>
      <c r="H12" s="12">
        <f>$B12/(POWER(1+'facts premium'!H$16,($A12-1996.5)))</f>
        <v>17396727.076579027</v>
      </c>
    </row>
    <row r="13" spans="1:8" x14ac:dyDescent="0.2">
      <c r="A13" s="27">
        <v>2006</v>
      </c>
      <c r="B13" s="12">
        <v>30803229</v>
      </c>
      <c r="C13" s="12">
        <f>$B13/(POWER(1+'facts premium'!C$16,($A13-1996.5)))</f>
        <v>18192143.166175708</v>
      </c>
      <c r="D13" s="12">
        <f>$B13/(POWER(1+'facts premium'!D$16,($A13-1996.5)))</f>
        <v>18606029.097980384</v>
      </c>
      <c r="E13" s="12">
        <f>$B13/(POWER(1+'facts premium'!E$16,($A13-1996.5)))</f>
        <v>19030347.392800771</v>
      </c>
      <c r="F13" s="12">
        <f>$B13/(POWER(1+'facts premium'!F$16,($A13-1996.5)))</f>
        <v>17788409.335037578</v>
      </c>
      <c r="G13" s="12">
        <f>$B13/(POWER(1+'facts premium'!G$16,($A13-1996.5)))</f>
        <v>17394555.506987233</v>
      </c>
      <c r="H13" s="12">
        <f>$B13/(POWER(1+'facts premium'!H$16,($A13-1996.5)))</f>
        <v>17010317.492924564</v>
      </c>
    </row>
    <row r="14" spans="1:8" x14ac:dyDescent="0.2">
      <c r="A14" s="27">
        <v>2007</v>
      </c>
      <c r="B14" s="12">
        <v>32061720</v>
      </c>
      <c r="C14" s="12">
        <f>$B14/(POWER(1+'facts premium'!C$16,($A14-1996.5)))</f>
        <v>17914283.809659161</v>
      </c>
      <c r="D14" s="12">
        <f>$B14/(POWER(1+'facts premium'!D$16,($A14-1996.5)))</f>
        <v>18365285.50529509</v>
      </c>
      <c r="E14" s="12">
        <f>$B14/(POWER(1+'facts premium'!E$16,($A14-1996.5)))</f>
        <v>18828752.594636977</v>
      </c>
      <c r="F14" s="12">
        <f>$B14/(POWER(1+'facts premium'!F$16,($A14-1996.5)))</f>
        <v>17475383.937036943</v>
      </c>
      <c r="G14" s="12">
        <f>$B14/(POWER(1+'facts premium'!G$16,($A14-1996.5)))</f>
        <v>17048233.742400691</v>
      </c>
      <c r="H14" s="12">
        <f>$B14/(POWER(1+'facts premium'!H$16,($A14-1996.5)))</f>
        <v>16632492.121620972</v>
      </c>
    </row>
    <row r="15" spans="1:8" x14ac:dyDescent="0.2">
      <c r="A15" s="27">
        <v>2008</v>
      </c>
      <c r="B15" s="12">
        <v>33371633</v>
      </c>
      <c r="C15" s="12">
        <f>$B15/(POWER(1+'facts premium'!C$16,($A15-1996.5)))</f>
        <v>17640671.178506892</v>
      </c>
      <c r="D15" s="12">
        <f>$B15/(POWER(1+'facts premium'!D$16,($A15-1996.5)))</f>
        <v>18127659.789189167</v>
      </c>
      <c r="E15" s="12">
        <f>$B15/(POWER(1+'facts premium'!E$16,($A15-1996.5)))</f>
        <v>18629296.330136441</v>
      </c>
      <c r="F15" s="12">
        <f>$B15/(POWER(1+'facts premium'!F$16,($A15-1996.5)))</f>
        <v>17167869.635223854</v>
      </c>
      <c r="G15" s="12">
        <f>$B15/(POWER(1+'facts premium'!G$16,($A15-1996.5)))</f>
        <v>16708809.83423315</v>
      </c>
      <c r="H15" s="12">
        <f>$B15/(POWER(1+'facts premium'!H$16,($A15-1996.5)))</f>
        <v>16263061.429512966</v>
      </c>
    </row>
    <row r="16" spans="1:8" x14ac:dyDescent="0.2">
      <c r="A16" s="27">
        <v>2009</v>
      </c>
      <c r="B16" s="12">
        <v>34735066</v>
      </c>
      <c r="C16" s="12">
        <f>$B16/(POWER(1+'facts premium'!C$16,($A16-1996.5)))</f>
        <v>17371238.662203837</v>
      </c>
      <c r="D16" s="12">
        <f>$B16/(POWER(1+'facts premium'!D$16,($A16-1996.5)))</f>
        <v>17893109.820868738</v>
      </c>
      <c r="E16" s="12">
        <f>$B16/(POWER(1+'facts premium'!E$16,($A16-1996.5)))</f>
        <v>18431954.118871</v>
      </c>
      <c r="F16" s="12">
        <f>$B16/(POWER(1+'facts premium'!F$16,($A16-1996.5)))</f>
        <v>16865767.740143314</v>
      </c>
      <c r="G16" s="12">
        <f>$B16/(POWER(1+'facts premium'!G$16,($A16-1996.5)))</f>
        <v>16376144.774927419</v>
      </c>
      <c r="H16" s="12">
        <f>$B16/(POWER(1+'facts premium'!H$16,($A16-1996.5)))</f>
        <v>15901837.321337394</v>
      </c>
    </row>
    <row r="17" spans="1:8" x14ac:dyDescent="0.2">
      <c r="A17" s="27">
        <v>2010</v>
      </c>
      <c r="B17" s="12">
        <v>36154209</v>
      </c>
      <c r="C17" s="12">
        <f>$B17/(POWER(1+'facts premium'!C$16,($A17-1996.5)))</f>
        <v>17105923.899244022</v>
      </c>
      <c r="D17" s="12">
        <f>$B17/(POWER(1+'facts premium'!D$16,($A17-1996.5)))</f>
        <v>17661597.340493713</v>
      </c>
      <c r="E17" s="12">
        <f>$B17/(POWER(1+'facts premium'!E$16,($A17-1996.5)))</f>
        <v>18236705.158753876</v>
      </c>
      <c r="F17" s="12">
        <f>$B17/(POWER(1+'facts premium'!F$16,($A17-1996.5)))</f>
        <v>16568984.44124129</v>
      </c>
      <c r="G17" s="12">
        <f>$B17/(POWER(1+'facts premium'!G$16,($A17-1996.5)))</f>
        <v>16050105.38014885</v>
      </c>
      <c r="H17" s="12">
        <f>$B17/(POWER(1+'facts premium'!H$16,($A17-1996.5)))</f>
        <v>15548638.851347683</v>
      </c>
    </row>
    <row r="18" spans="1:8" x14ac:dyDescent="0.2">
      <c r="A18" s="27">
        <v>2011</v>
      </c>
      <c r="B18" s="12">
        <v>37631336</v>
      </c>
      <c r="C18" s="12">
        <f>$B18/(POWER(1+'facts premium'!C$16,($A18-1996.5)))</f>
        <v>16844662.780401167</v>
      </c>
      <c r="D18" s="12">
        <f>$B18/(POWER(1+'facts premium'!D$16,($A18-1996.5)))</f>
        <v>17433081.79965543</v>
      </c>
      <c r="E18" s="12">
        <f>$B18/(POWER(1+'facts premium'!E$16,($A18-1996.5)))</f>
        <v>18043525.998312518</v>
      </c>
      <c r="F18" s="12">
        <f>$B18/(POWER(1+'facts premium'!F$16,($A18-1996.5)))</f>
        <v>16277424.959329598</v>
      </c>
      <c r="G18" s="12">
        <f>$B18/(POWER(1+'facts premium'!G$16,($A18-1996.5)))</f>
        <v>15730558.576022113</v>
      </c>
      <c r="H18" s="12">
        <f>$B18/(POWER(1+'facts premium'!H$16,($A18-1996.5)))</f>
        <v>15203286.627425876</v>
      </c>
    </row>
    <row r="19" spans="1:8" x14ac:dyDescent="0.2">
      <c r="A19" s="27">
        <v>2012</v>
      </c>
      <c r="B19" s="12">
        <v>39168818</v>
      </c>
      <c r="C19" s="12">
        <f>$B19/(POWER(1+'facts premium'!C$16,($A19-1996.5)))</f>
        <v>16587394.083234323</v>
      </c>
      <c r="D19" s="12">
        <f>$B19/(POWER(1+'facts premium'!D$16,($A19-1996.5)))</f>
        <v>17207525.144617092</v>
      </c>
      <c r="E19" s="12">
        <f>$B19/(POWER(1+'facts premium'!E$16,($A19-1996.5)))</f>
        <v>17852395.469197441</v>
      </c>
      <c r="F19" s="12">
        <f>$B19/(POWER(1+'facts premium'!F$16,($A19-1996.5)))</f>
        <v>15990998.030445324</v>
      </c>
      <c r="G19" s="12">
        <f>$B19/(POWER(1+'facts premium'!G$16,($A19-1996.5)))</f>
        <v>15417375.727397032</v>
      </c>
      <c r="H19" s="12">
        <f>$B19/(POWER(1+'facts premium'!H$16,($A19-1996.5)))</f>
        <v>14865606.975173708</v>
      </c>
    </row>
    <row r="20" spans="1:8" x14ac:dyDescent="0.2">
      <c r="A20" s="27">
        <v>2013</v>
      </c>
      <c r="B20" s="12">
        <v>40769121</v>
      </c>
      <c r="C20" s="12">
        <f>$B20/(POWER(1+'facts premium'!C$16,($A20-1996.5)))</f>
        <v>16334056.647037996</v>
      </c>
      <c r="D20" s="12">
        <f>$B20/(POWER(1+'facts premium'!D$16,($A20-1996.5)))</f>
        <v>16984888.910993401</v>
      </c>
      <c r="E20" s="12">
        <f>$B20/(POWER(1+'facts premium'!E$16,($A20-1996.5)))</f>
        <v>17663291.693585448</v>
      </c>
      <c r="F20" s="12">
        <f>$B20/(POWER(1+'facts premium'!F$16,($A20-1996.5)))</f>
        <v>15709613.151952472</v>
      </c>
      <c r="G20" s="12">
        <f>$B20/(POWER(1+'facts premium'!G$16,($A20-1996.5)))</f>
        <v>15110429.943302179</v>
      </c>
      <c r="H20" s="12">
        <f>$B20/(POWER(1+'facts premium'!H$16,($A20-1996.5)))</f>
        <v>14535429.287670126</v>
      </c>
    </row>
    <row r="21" spans="1:8" x14ac:dyDescent="0.2">
      <c r="A21" s="27">
        <v>2014</v>
      </c>
      <c r="B21" s="12">
        <v>42434811</v>
      </c>
      <c r="C21" s="12">
        <f>$B21/(POWER(1+'facts premium'!C$16,($A21-1996.5)))</f>
        <v>16084589.971365949</v>
      </c>
      <c r="D21" s="12">
        <f>$B21/(POWER(1+'facts premium'!D$16,($A21-1996.5)))</f>
        <v>16765134.84530649</v>
      </c>
      <c r="E21" s="12">
        <f>$B21/(POWER(1+'facts premium'!E$16,($A21-1996.5)))</f>
        <v>17476192.725173276</v>
      </c>
      <c r="F21" s="12">
        <f>$B21/(POWER(1+'facts premium'!F$16,($A21-1996.5)))</f>
        <v>15433181.152283873</v>
      </c>
      <c r="G21" s="12">
        <f>$B21/(POWER(1+'facts premium'!G$16,($A21-1996.5)))</f>
        <v>14809596.609467018</v>
      </c>
      <c r="H21" s="12">
        <f>$B21/(POWER(1+'facts premium'!H$16,($A21-1996.5)))</f>
        <v>14212586.509121357</v>
      </c>
    </row>
    <row r="22" spans="1:8" x14ac:dyDescent="0.2">
      <c r="A22" s="27">
        <v>2015</v>
      </c>
      <c r="B22" s="25">
        <v>44168561</v>
      </c>
      <c r="C22" s="25">
        <f>$B22/(POWER(1+'facts premium'!C$16,($A22-1996.5)))</f>
        <v>15838935.311981725</v>
      </c>
      <c r="D22" s="25">
        <f>$B22/(POWER(1+'facts premium'!D$16,($A22-1996.5)))</f>
        <v>16548226.055108462</v>
      </c>
      <c r="E22" s="25">
        <f>$B22/(POWER(1+'facts premium'!E$16,($A22-1996.5)))</f>
        <v>17291077.75165819</v>
      </c>
      <c r="F22" s="25">
        <f>$B22/(POWER(1+'facts premium'!F$16,($A22-1996.5)))</f>
        <v>15161615.228730252</v>
      </c>
      <c r="G22" s="25">
        <f>$B22/(POWER(1+'facts premium'!G$16,($A22-1996.5)))</f>
        <v>14514754.36128642</v>
      </c>
      <c r="H22" s="25">
        <f>$B22/(POWER(1+'facts premium'!H$16,($A22-1996.5)))</f>
        <v>13896916.033178009</v>
      </c>
    </row>
    <row r="23" spans="1:8" x14ac:dyDescent="0.2">
      <c r="B23" s="12">
        <f t="shared" ref="B23:H23" si="0">SUM(B3:B22)</f>
        <v>603105479</v>
      </c>
      <c r="C23" s="12">
        <f t="shared" si="0"/>
        <v>350472549.33445215</v>
      </c>
      <c r="D23" s="12">
        <f t="shared" si="0"/>
        <v>358008851.15460515</v>
      </c>
      <c r="E23" s="12">
        <f t="shared" si="0"/>
        <v>365788328.82535619</v>
      </c>
      <c r="F23" s="12">
        <f t="shared" si="0"/>
        <v>343170429.28153199</v>
      </c>
      <c r="G23" s="12">
        <f t="shared" si="0"/>
        <v>336093868.37468278</v>
      </c>
      <c r="H23" s="12">
        <f t="shared" si="0"/>
        <v>329234598.77765757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.75" x14ac:dyDescent="0.2"/>
  <cols>
    <col min="1" max="1" width="10.140625" bestFit="1" customWidth="1"/>
    <col min="3" max="3" width="9.140625" style="57"/>
    <col min="5" max="5" width="9.85546875" customWidth="1"/>
    <col min="8" max="8" width="9.140625" style="56"/>
    <col min="10" max="10" width="9.140625" style="62"/>
  </cols>
  <sheetData>
    <row r="1" spans="1:14" x14ac:dyDescent="0.2">
      <c r="D1" s="60">
        <f>'facts premium'!DiscRate</f>
        <v>4.8800000000000003E-2</v>
      </c>
      <c r="J1" s="73" t="s">
        <v>71</v>
      </c>
      <c r="K1" s="73"/>
    </row>
    <row r="2" spans="1:14" x14ac:dyDescent="0.2">
      <c r="B2" s="26" t="s">
        <v>47</v>
      </c>
      <c r="C2" s="57" t="s">
        <v>44</v>
      </c>
      <c r="D2" s="53" t="s">
        <v>46</v>
      </c>
      <c r="E2" s="53" t="s">
        <v>68</v>
      </c>
      <c r="F2" s="53" t="s">
        <v>70</v>
      </c>
      <c r="G2" s="55" t="s">
        <v>69</v>
      </c>
      <c r="H2" s="55" t="s">
        <v>67</v>
      </c>
      <c r="I2" s="26" t="s">
        <v>45</v>
      </c>
      <c r="J2" s="61" t="s">
        <v>44</v>
      </c>
      <c r="K2" s="27" t="s">
        <v>45</v>
      </c>
      <c r="L2" s="27"/>
      <c r="M2" s="53"/>
      <c r="N2" s="27"/>
    </row>
    <row r="3" spans="1:14" x14ac:dyDescent="0.2">
      <c r="A3" s="59">
        <v>35582</v>
      </c>
      <c r="B3">
        <v>1</v>
      </c>
      <c r="C3" s="58">
        <f>'facts premium'!C28</f>
        <v>317.67630181747052</v>
      </c>
      <c r="D3" s="33">
        <f t="shared" ref="D3:D32" si="0">C3*DiscRate/12</f>
        <v>1.508962433632985</v>
      </c>
      <c r="E3" s="33">
        <f>'tax rev'!C3/1000000</f>
        <v>4.7314463768222623</v>
      </c>
      <c r="F3" s="33"/>
      <c r="G3" s="34">
        <f>facts!$B$6/facts!$B$7</f>
        <v>11.3</v>
      </c>
      <c r="H3" s="34"/>
      <c r="I3" s="7">
        <f>C3+D3+E3+F3-G3-H3</f>
        <v>312.61671062792573</v>
      </c>
      <c r="J3" s="62">
        <v>360.32</v>
      </c>
      <c r="K3" s="7">
        <f>J3+D3+F3-G3-H3</f>
        <v>350.52896243363296</v>
      </c>
    </row>
    <row r="4" spans="1:14" x14ac:dyDescent="0.2">
      <c r="A4" s="59"/>
      <c r="B4">
        <v>2</v>
      </c>
      <c r="C4" s="58">
        <f>I3</f>
        <v>312.61671062792573</v>
      </c>
      <c r="D4" s="33">
        <f t="shared" si="0"/>
        <v>1.4849293754826471</v>
      </c>
      <c r="E4" s="33"/>
      <c r="F4" s="33"/>
      <c r="G4" s="34">
        <f>facts!$B$6/facts!$B$7</f>
        <v>11.3</v>
      </c>
      <c r="H4" s="54"/>
      <c r="I4" s="7">
        <f t="shared" ref="I4:I67" si="1">C4+D4+E4+F4-G4-H4</f>
        <v>302.80164000340835</v>
      </c>
      <c r="J4" s="63">
        <f>K3</f>
        <v>350.52896243363296</v>
      </c>
      <c r="K4" s="7">
        <f t="shared" ref="K4:K67" si="2">J4+D4+F4-G4-H4</f>
        <v>340.71389180911558</v>
      </c>
    </row>
    <row r="5" spans="1:14" x14ac:dyDescent="0.2">
      <c r="A5" s="59"/>
      <c r="B5">
        <v>3</v>
      </c>
      <c r="C5" s="58">
        <f t="shared" ref="C5:C68" si="3">I4</f>
        <v>302.80164000340835</v>
      </c>
      <c r="D5" s="33">
        <f t="shared" si="0"/>
        <v>1.4383077900161896</v>
      </c>
      <c r="E5" s="33"/>
      <c r="F5" s="33"/>
      <c r="G5" s="34">
        <f>facts!$B$6/facts!$B$7</f>
        <v>11.3</v>
      </c>
      <c r="H5" s="54"/>
      <c r="I5" s="7">
        <f t="shared" si="1"/>
        <v>292.93994779342455</v>
      </c>
      <c r="J5" s="63">
        <f t="shared" ref="J5:J68" si="4">K4</f>
        <v>340.71389180911558</v>
      </c>
      <c r="K5" s="7">
        <f t="shared" si="2"/>
        <v>330.85219959913178</v>
      </c>
    </row>
    <row r="6" spans="1:14" x14ac:dyDescent="0.2">
      <c r="A6" s="59"/>
      <c r="B6">
        <v>4</v>
      </c>
      <c r="C6" s="58">
        <f t="shared" si="3"/>
        <v>292.93994779342455</v>
      </c>
      <c r="D6" s="33">
        <f t="shared" si="0"/>
        <v>1.3914647520187666</v>
      </c>
      <c r="E6" s="33"/>
      <c r="F6" s="33"/>
      <c r="G6" s="34">
        <f>facts!$B$6/facts!$B$7</f>
        <v>11.3</v>
      </c>
      <c r="H6" s="54"/>
      <c r="I6" s="7">
        <f t="shared" si="1"/>
        <v>283.03141254544329</v>
      </c>
      <c r="J6" s="63">
        <f t="shared" si="4"/>
        <v>330.85219959913178</v>
      </c>
      <c r="K6" s="7">
        <f t="shared" si="2"/>
        <v>320.94366435115052</v>
      </c>
    </row>
    <row r="7" spans="1:14" x14ac:dyDescent="0.2">
      <c r="A7" s="59"/>
      <c r="B7">
        <v>5</v>
      </c>
      <c r="C7" s="58">
        <f t="shared" si="3"/>
        <v>283.03141254544329</v>
      </c>
      <c r="D7" s="33">
        <f t="shared" si="0"/>
        <v>1.3443992095908557</v>
      </c>
      <c r="E7" s="33"/>
      <c r="F7" s="33"/>
      <c r="G7" s="34">
        <f>facts!$B$6/facts!$B$7</f>
        <v>11.3</v>
      </c>
      <c r="H7" s="54"/>
      <c r="I7" s="7">
        <f t="shared" si="1"/>
        <v>273.07581175503412</v>
      </c>
      <c r="J7" s="63">
        <f t="shared" si="4"/>
        <v>320.94366435115052</v>
      </c>
      <c r="K7" s="7">
        <f t="shared" si="2"/>
        <v>310.98806356074135</v>
      </c>
    </row>
    <row r="8" spans="1:14" x14ac:dyDescent="0.2">
      <c r="A8" s="59">
        <v>35765</v>
      </c>
      <c r="B8">
        <v>6</v>
      </c>
      <c r="C8" s="58">
        <f t="shared" si="3"/>
        <v>273.07581175503412</v>
      </c>
      <c r="D8" s="33">
        <f t="shared" si="0"/>
        <v>1.2971101058364121</v>
      </c>
      <c r="E8" s="33">
        <v>19.89</v>
      </c>
      <c r="F8" s="33"/>
      <c r="G8" s="34">
        <f>facts!$B$6/facts!$B$7</f>
        <v>11.3</v>
      </c>
      <c r="H8" s="34">
        <f>'facts premium'!$C$28*'facts premium'!$C$16/2</f>
        <v>9.0537746017979099</v>
      </c>
      <c r="I8" s="7">
        <f t="shared" si="1"/>
        <v>273.9091472590726</v>
      </c>
      <c r="J8" s="63">
        <f t="shared" si="4"/>
        <v>310.98806356074135</v>
      </c>
      <c r="K8" s="7">
        <f t="shared" si="2"/>
        <v>291.93139906477984</v>
      </c>
    </row>
    <row r="9" spans="1:14" x14ac:dyDescent="0.2">
      <c r="A9" s="59"/>
      <c r="B9">
        <v>7</v>
      </c>
      <c r="C9" s="58">
        <f t="shared" si="3"/>
        <v>273.9091472590726</v>
      </c>
      <c r="D9" s="33">
        <f t="shared" si="0"/>
        <v>1.3010684494805949</v>
      </c>
      <c r="E9" s="33"/>
      <c r="F9" s="33"/>
      <c r="G9" s="34">
        <f>facts!$B$6/facts!$B$7</f>
        <v>11.3</v>
      </c>
      <c r="H9" s="54"/>
      <c r="I9" s="7">
        <f t="shared" si="1"/>
        <v>263.91021570855315</v>
      </c>
      <c r="J9" s="63">
        <f t="shared" si="4"/>
        <v>291.93139906477984</v>
      </c>
      <c r="K9" s="7">
        <f t="shared" si="2"/>
        <v>281.9324675142604</v>
      </c>
    </row>
    <row r="10" spans="1:14" x14ac:dyDescent="0.2">
      <c r="A10" s="59"/>
      <c r="B10">
        <v>8</v>
      </c>
      <c r="C10" s="58">
        <f t="shared" si="3"/>
        <v>263.91021570855315</v>
      </c>
      <c r="D10" s="33">
        <f t="shared" si="0"/>
        <v>1.2535735246156274</v>
      </c>
      <c r="E10" s="33"/>
      <c r="F10" s="33"/>
      <c r="G10" s="34">
        <f>facts!$B$6/facts!$B$7</f>
        <v>11.3</v>
      </c>
      <c r="H10" s="54"/>
      <c r="I10" s="7">
        <f t="shared" si="1"/>
        <v>253.86378923316875</v>
      </c>
      <c r="J10" s="63">
        <f t="shared" si="4"/>
        <v>281.9324675142604</v>
      </c>
      <c r="K10" s="7">
        <f t="shared" si="2"/>
        <v>271.88604103887599</v>
      </c>
    </row>
    <row r="11" spans="1:14" x14ac:dyDescent="0.2">
      <c r="A11" s="59"/>
      <c r="B11">
        <v>9</v>
      </c>
      <c r="C11" s="58">
        <f t="shared" si="3"/>
        <v>253.86378923316875</v>
      </c>
      <c r="D11" s="33">
        <f t="shared" si="0"/>
        <v>1.2058529988575517</v>
      </c>
      <c r="E11" s="33"/>
      <c r="F11" s="33"/>
      <c r="G11" s="34">
        <f>facts!$B$6/facts!$B$7</f>
        <v>11.3</v>
      </c>
      <c r="H11" s="54"/>
      <c r="I11" s="7">
        <f t="shared" si="1"/>
        <v>243.76964223202629</v>
      </c>
      <c r="J11" s="63">
        <f t="shared" si="4"/>
        <v>271.88604103887599</v>
      </c>
      <c r="K11" s="7">
        <f t="shared" si="2"/>
        <v>261.79189403773353</v>
      </c>
    </row>
    <row r="12" spans="1:14" x14ac:dyDescent="0.2">
      <c r="A12" s="59"/>
      <c r="B12">
        <v>10</v>
      </c>
      <c r="C12" s="58">
        <f t="shared" si="3"/>
        <v>243.76964223202629</v>
      </c>
      <c r="D12" s="33">
        <f t="shared" si="0"/>
        <v>1.1579058006021248</v>
      </c>
      <c r="E12" s="33"/>
      <c r="F12" s="33"/>
      <c r="G12" s="34">
        <f>facts!$B$6/facts!$B$7</f>
        <v>11.3</v>
      </c>
      <c r="H12" s="54"/>
      <c r="I12" s="7">
        <f t="shared" si="1"/>
        <v>233.6275480326284</v>
      </c>
      <c r="J12" s="63">
        <f t="shared" si="4"/>
        <v>261.79189403773353</v>
      </c>
      <c r="K12" s="7">
        <f t="shared" si="2"/>
        <v>251.64979983833564</v>
      </c>
    </row>
    <row r="13" spans="1:14" x14ac:dyDescent="0.2">
      <c r="A13" s="59"/>
      <c r="B13">
        <v>11</v>
      </c>
      <c r="C13" s="58">
        <f t="shared" si="3"/>
        <v>233.6275480326284</v>
      </c>
      <c r="D13" s="33">
        <f t="shared" si="0"/>
        <v>1.109730853154985</v>
      </c>
      <c r="E13" s="33"/>
      <c r="F13" s="33"/>
      <c r="G13" s="34">
        <f>facts!$B$6/facts!$B$7</f>
        <v>11.3</v>
      </c>
      <c r="H13" s="54"/>
      <c r="I13" s="7">
        <f t="shared" si="1"/>
        <v>223.43727888578337</v>
      </c>
      <c r="J13" s="63">
        <f t="shared" si="4"/>
        <v>251.64979983833564</v>
      </c>
      <c r="K13" s="7">
        <f t="shared" si="2"/>
        <v>241.45953069149061</v>
      </c>
    </row>
    <row r="14" spans="1:14" x14ac:dyDescent="0.2">
      <c r="A14" s="59">
        <v>35947</v>
      </c>
      <c r="B14">
        <v>12</v>
      </c>
      <c r="C14" s="58">
        <f t="shared" si="3"/>
        <v>223.43727888578337</v>
      </c>
      <c r="D14" s="33">
        <f t="shared" si="0"/>
        <v>1.061327074707471</v>
      </c>
      <c r="E14" s="33"/>
      <c r="F14" s="33"/>
      <c r="G14" s="34">
        <f>facts!$B$6/facts!$B$7</f>
        <v>11.3</v>
      </c>
      <c r="H14" s="34">
        <f>'facts premium'!$C$28*'facts premium'!$C$16/2</f>
        <v>9.0537746017979099</v>
      </c>
      <c r="I14" s="7">
        <f t="shared" si="1"/>
        <v>204.14483135869293</v>
      </c>
      <c r="J14" s="63">
        <f t="shared" si="4"/>
        <v>241.45953069149061</v>
      </c>
      <c r="K14" s="7">
        <f t="shared" si="2"/>
        <v>222.16708316440017</v>
      </c>
    </row>
    <row r="15" spans="1:14" x14ac:dyDescent="0.2">
      <c r="B15">
        <v>13</v>
      </c>
      <c r="C15" s="58">
        <f t="shared" si="3"/>
        <v>204.14483135869293</v>
      </c>
      <c r="D15" s="33">
        <f t="shared" si="0"/>
        <v>0.9696879489537914</v>
      </c>
      <c r="E15" s="33"/>
      <c r="F15" s="33"/>
      <c r="G15" s="34">
        <f>facts!$B$6/facts!$B$7</f>
        <v>11.3</v>
      </c>
      <c r="H15" s="34"/>
      <c r="I15" s="7">
        <f t="shared" si="1"/>
        <v>193.81451930764672</v>
      </c>
      <c r="J15" s="63">
        <f t="shared" si="4"/>
        <v>222.16708316440017</v>
      </c>
      <c r="K15" s="7">
        <f t="shared" si="2"/>
        <v>211.83677111335396</v>
      </c>
    </row>
    <row r="16" spans="1:14" x14ac:dyDescent="0.2">
      <c r="A16" s="59"/>
      <c r="B16">
        <v>14</v>
      </c>
      <c r="C16" s="58">
        <f t="shared" si="3"/>
        <v>193.81451930764672</v>
      </c>
      <c r="D16" s="33">
        <f t="shared" si="0"/>
        <v>0.92061896671132193</v>
      </c>
      <c r="E16" s="33"/>
      <c r="F16" s="33"/>
      <c r="G16" s="34">
        <f>facts!$B$6/facts!$B$7</f>
        <v>11.3</v>
      </c>
      <c r="H16" s="54"/>
      <c r="I16" s="7">
        <f t="shared" si="1"/>
        <v>183.43513827435802</v>
      </c>
      <c r="J16" s="63">
        <f t="shared" si="4"/>
        <v>211.83677111335396</v>
      </c>
      <c r="K16" s="7">
        <f t="shared" si="2"/>
        <v>201.45739008006527</v>
      </c>
    </row>
    <row r="17" spans="1:11" x14ac:dyDescent="0.2">
      <c r="A17" s="59"/>
      <c r="B17">
        <v>15</v>
      </c>
      <c r="C17" s="58">
        <f t="shared" si="3"/>
        <v>183.43513827435802</v>
      </c>
      <c r="D17" s="33">
        <f t="shared" si="0"/>
        <v>0.87131690680320062</v>
      </c>
      <c r="E17" s="33"/>
      <c r="F17" s="33"/>
      <c r="G17" s="34">
        <f>facts!$B$6/facts!$B$7</f>
        <v>11.3</v>
      </c>
      <c r="H17" s="54"/>
      <c r="I17" s="7">
        <f t="shared" si="1"/>
        <v>173.00645518116121</v>
      </c>
      <c r="J17" s="63">
        <f t="shared" si="4"/>
        <v>201.45739008006527</v>
      </c>
      <c r="K17" s="7">
        <f t="shared" si="2"/>
        <v>191.02870698686846</v>
      </c>
    </row>
    <row r="18" spans="1:11" x14ac:dyDescent="0.2">
      <c r="A18" s="59"/>
      <c r="B18">
        <v>16</v>
      </c>
      <c r="C18" s="58">
        <f t="shared" si="3"/>
        <v>173.00645518116121</v>
      </c>
      <c r="D18" s="33">
        <f t="shared" si="0"/>
        <v>0.82178066211051581</v>
      </c>
      <c r="E18" s="33"/>
      <c r="F18" s="33"/>
      <c r="G18" s="34">
        <f>facts!$B$6/facts!$B$7</f>
        <v>11.3</v>
      </c>
      <c r="H18" s="54"/>
      <c r="I18" s="7">
        <f t="shared" si="1"/>
        <v>162.52823584327172</v>
      </c>
      <c r="J18" s="63">
        <f t="shared" si="4"/>
        <v>191.02870698686846</v>
      </c>
      <c r="K18" s="7">
        <f t="shared" si="2"/>
        <v>180.55048764897896</v>
      </c>
    </row>
    <row r="19" spans="1:11" x14ac:dyDescent="0.2">
      <c r="A19" s="59"/>
      <c r="B19">
        <v>17</v>
      </c>
      <c r="C19" s="58">
        <f t="shared" si="3"/>
        <v>162.52823584327172</v>
      </c>
      <c r="D19" s="33">
        <f t="shared" si="0"/>
        <v>0.77200912025554069</v>
      </c>
      <c r="E19" s="33"/>
      <c r="F19" s="33"/>
      <c r="G19" s="34">
        <f>facts!$B$6/facts!$B$7</f>
        <v>11.3</v>
      </c>
      <c r="H19" s="54"/>
      <c r="I19" s="7">
        <f t="shared" si="1"/>
        <v>152.00024496352725</v>
      </c>
      <c r="J19" s="63">
        <f t="shared" si="4"/>
        <v>180.55048764897896</v>
      </c>
      <c r="K19" s="7">
        <f t="shared" si="2"/>
        <v>170.02249676923449</v>
      </c>
    </row>
    <row r="20" spans="1:11" x14ac:dyDescent="0.2">
      <c r="A20" s="59">
        <v>36130</v>
      </c>
      <c r="B20">
        <v>18</v>
      </c>
      <c r="C20" s="58">
        <f t="shared" si="3"/>
        <v>152.00024496352725</v>
      </c>
      <c r="D20" s="33">
        <f t="shared" si="0"/>
        <v>0.72200116357675448</v>
      </c>
      <c r="E20" s="33">
        <v>20.43</v>
      </c>
      <c r="F20" s="33"/>
      <c r="G20" s="34">
        <f>facts!$B$6/facts!$B$7</f>
        <v>11.3</v>
      </c>
      <c r="H20" s="34">
        <f>'facts premium'!$C$28*'facts premium'!$C$16/2</f>
        <v>9.0537746017979099</v>
      </c>
      <c r="I20" s="7">
        <f t="shared" si="1"/>
        <v>152.7984715253061</v>
      </c>
      <c r="J20" s="63">
        <f t="shared" si="4"/>
        <v>170.02249676923449</v>
      </c>
      <c r="K20" s="7">
        <f t="shared" si="2"/>
        <v>150.39072333101333</v>
      </c>
    </row>
    <row r="21" spans="1:11" x14ac:dyDescent="0.2">
      <c r="A21" s="59"/>
      <c r="B21">
        <v>19</v>
      </c>
      <c r="C21" s="58">
        <f t="shared" si="3"/>
        <v>152.7984715253061</v>
      </c>
      <c r="D21" s="33">
        <f t="shared" si="0"/>
        <v>0.72579273974520397</v>
      </c>
      <c r="E21" s="33"/>
      <c r="F21" s="33"/>
      <c r="G21" s="34">
        <f>facts!$B$6/facts!$B$7</f>
        <v>11.3</v>
      </c>
      <c r="H21" s="54"/>
      <c r="I21" s="7">
        <f t="shared" si="1"/>
        <v>142.22426426505129</v>
      </c>
      <c r="J21" s="63">
        <f t="shared" si="4"/>
        <v>150.39072333101333</v>
      </c>
      <c r="K21" s="7">
        <f t="shared" si="2"/>
        <v>139.81651607075852</v>
      </c>
    </row>
    <row r="22" spans="1:11" x14ac:dyDescent="0.2">
      <c r="A22" s="59"/>
      <c r="B22">
        <v>20</v>
      </c>
      <c r="C22" s="58">
        <f t="shared" si="3"/>
        <v>142.22426426505129</v>
      </c>
      <c r="D22" s="33">
        <f t="shared" si="0"/>
        <v>0.67556525525899369</v>
      </c>
      <c r="E22" s="33"/>
      <c r="F22" s="33"/>
      <c r="G22" s="34">
        <f>facts!$B$6/facts!$B$7</f>
        <v>11.3</v>
      </c>
      <c r="H22" s="54"/>
      <c r="I22" s="7">
        <f t="shared" si="1"/>
        <v>131.59982952031027</v>
      </c>
      <c r="J22" s="63">
        <f t="shared" si="4"/>
        <v>139.81651607075852</v>
      </c>
      <c r="K22" s="7">
        <f t="shared" si="2"/>
        <v>129.1920813260175</v>
      </c>
    </row>
    <row r="23" spans="1:11" x14ac:dyDescent="0.2">
      <c r="A23" s="59"/>
      <c r="B23">
        <v>21</v>
      </c>
      <c r="C23" s="58">
        <f t="shared" si="3"/>
        <v>131.59982952031027</v>
      </c>
      <c r="D23" s="33">
        <f t="shared" si="0"/>
        <v>0.62509919022147376</v>
      </c>
      <c r="E23" s="33"/>
      <c r="F23" s="33"/>
      <c r="G23" s="34">
        <f>facts!$B$6/facts!$B$7</f>
        <v>11.3</v>
      </c>
      <c r="H23" s="54"/>
      <c r="I23" s="7">
        <f t="shared" si="1"/>
        <v>120.92492871053174</v>
      </c>
      <c r="J23" s="63">
        <f t="shared" si="4"/>
        <v>129.1920813260175</v>
      </c>
      <c r="K23" s="7">
        <f t="shared" si="2"/>
        <v>118.51718051623898</v>
      </c>
    </row>
    <row r="24" spans="1:11" x14ac:dyDescent="0.2">
      <c r="A24" s="59"/>
      <c r="B24">
        <v>22</v>
      </c>
      <c r="C24" s="58">
        <f t="shared" si="3"/>
        <v>120.92492871053174</v>
      </c>
      <c r="D24" s="33">
        <f t="shared" si="0"/>
        <v>0.57439341137502586</v>
      </c>
      <c r="E24" s="33"/>
      <c r="F24" s="33"/>
      <c r="G24" s="34">
        <f>facts!$B$6/facts!$B$7</f>
        <v>11.3</v>
      </c>
      <c r="H24" s="54"/>
      <c r="I24" s="7">
        <f t="shared" si="1"/>
        <v>110.19932212190677</v>
      </c>
      <c r="J24" s="63">
        <f t="shared" si="4"/>
        <v>118.51718051623898</v>
      </c>
      <c r="K24" s="7">
        <f t="shared" si="2"/>
        <v>107.79157392761401</v>
      </c>
    </row>
    <row r="25" spans="1:11" x14ac:dyDescent="0.2">
      <c r="A25" s="59"/>
      <c r="B25">
        <v>23</v>
      </c>
      <c r="C25" s="58">
        <f t="shared" si="3"/>
        <v>110.19932212190677</v>
      </c>
      <c r="D25" s="33">
        <f t="shared" si="0"/>
        <v>0.52344678007905721</v>
      </c>
      <c r="E25" s="33"/>
      <c r="F25" s="33"/>
      <c r="G25" s="34">
        <f>facts!$B$6/facts!$B$7</f>
        <v>11.3</v>
      </c>
      <c r="H25" s="54"/>
      <c r="I25" s="7">
        <f t="shared" si="1"/>
        <v>99.422768901985833</v>
      </c>
      <c r="J25" s="63">
        <f t="shared" si="4"/>
        <v>107.79157392761401</v>
      </c>
      <c r="K25" s="7">
        <f t="shared" si="2"/>
        <v>97.015020707693068</v>
      </c>
    </row>
    <row r="26" spans="1:11" x14ac:dyDescent="0.2">
      <c r="A26" s="59">
        <v>36312</v>
      </c>
      <c r="B26">
        <v>24</v>
      </c>
      <c r="C26" s="58">
        <f t="shared" si="3"/>
        <v>99.422768901985833</v>
      </c>
      <c r="D26" s="33">
        <f t="shared" si="0"/>
        <v>0.47225815228443274</v>
      </c>
      <c r="E26" s="33"/>
      <c r="F26" s="33">
        <v>0.35</v>
      </c>
      <c r="G26" s="34">
        <f>facts!$B$6/facts!$B$7</f>
        <v>11.3</v>
      </c>
      <c r="H26" s="34">
        <f>'facts premium'!$C$28*'facts premium'!$C$16/2</f>
        <v>9.0537746017979099</v>
      </c>
      <c r="I26" s="7">
        <f t="shared" si="1"/>
        <v>79.891252452472358</v>
      </c>
      <c r="J26" s="63">
        <f t="shared" si="4"/>
        <v>97.015020707693068</v>
      </c>
      <c r="K26" s="7">
        <f t="shared" si="2"/>
        <v>77.483504258179593</v>
      </c>
    </row>
    <row r="27" spans="1:11" x14ac:dyDescent="0.2">
      <c r="B27">
        <v>25</v>
      </c>
      <c r="C27" s="58">
        <f t="shared" si="3"/>
        <v>79.891252452472358</v>
      </c>
      <c r="D27" s="33">
        <f t="shared" si="0"/>
        <v>0.37948344914924376</v>
      </c>
      <c r="E27" s="33"/>
      <c r="F27" s="33"/>
      <c r="G27" s="34">
        <f>facts!$B$6/facts!$B$7</f>
        <v>11.3</v>
      </c>
      <c r="H27" s="34"/>
      <c r="I27" s="7">
        <f t="shared" si="1"/>
        <v>68.970735901621609</v>
      </c>
      <c r="J27" s="63">
        <f t="shared" si="4"/>
        <v>77.483504258179593</v>
      </c>
      <c r="K27" s="7">
        <f t="shared" si="2"/>
        <v>66.562987707328844</v>
      </c>
    </row>
    <row r="28" spans="1:11" x14ac:dyDescent="0.2">
      <c r="A28" s="59"/>
      <c r="B28">
        <v>26</v>
      </c>
      <c r="C28" s="58">
        <f t="shared" si="3"/>
        <v>68.970735901621609</v>
      </c>
      <c r="D28" s="33">
        <f t="shared" si="0"/>
        <v>0.32761099553270262</v>
      </c>
      <c r="E28" s="33"/>
      <c r="F28" s="33"/>
      <c r="G28" s="34">
        <f>facts!$B$6/facts!$B$7</f>
        <v>11.3</v>
      </c>
      <c r="H28" s="54"/>
      <c r="I28" s="7">
        <f t="shared" si="1"/>
        <v>57.99834689715432</v>
      </c>
      <c r="J28" s="63">
        <f t="shared" si="4"/>
        <v>66.562987707328844</v>
      </c>
      <c r="K28" s="7">
        <f t="shared" si="2"/>
        <v>55.590598702861556</v>
      </c>
    </row>
    <row r="29" spans="1:11" x14ac:dyDescent="0.2">
      <c r="A29" s="59"/>
      <c r="B29">
        <v>27</v>
      </c>
      <c r="C29" s="58">
        <f t="shared" si="3"/>
        <v>57.99834689715432</v>
      </c>
      <c r="D29" s="33">
        <f t="shared" si="0"/>
        <v>0.27549214776148306</v>
      </c>
      <c r="E29" s="33"/>
      <c r="F29" s="33"/>
      <c r="G29" s="34">
        <f>facts!$B$6/facts!$B$7</f>
        <v>11.3</v>
      </c>
      <c r="H29" s="54"/>
      <c r="I29" s="7">
        <f t="shared" si="1"/>
        <v>46.973839044915806</v>
      </c>
      <c r="J29" s="63">
        <f t="shared" si="4"/>
        <v>55.590598702861556</v>
      </c>
      <c r="K29" s="7">
        <f t="shared" si="2"/>
        <v>44.566090850623041</v>
      </c>
    </row>
    <row r="30" spans="1:11" x14ac:dyDescent="0.2">
      <c r="A30" s="59"/>
      <c r="B30">
        <v>28</v>
      </c>
      <c r="C30" s="58">
        <f t="shared" si="3"/>
        <v>46.973839044915806</v>
      </c>
      <c r="D30" s="33">
        <f t="shared" si="0"/>
        <v>0.2231257354633501</v>
      </c>
      <c r="E30" s="33"/>
      <c r="F30" s="33"/>
      <c r="G30" s="34">
        <f>facts!$B$6/facts!$B$7</f>
        <v>11.3</v>
      </c>
      <c r="H30" s="54"/>
      <c r="I30" s="7">
        <f t="shared" si="1"/>
        <v>35.89696478037915</v>
      </c>
      <c r="J30" s="63">
        <f t="shared" si="4"/>
        <v>44.566090850623041</v>
      </c>
      <c r="K30" s="7">
        <f t="shared" si="2"/>
        <v>33.489216586086386</v>
      </c>
    </row>
    <row r="31" spans="1:11" x14ac:dyDescent="0.2">
      <c r="A31" s="59"/>
      <c r="B31">
        <v>29</v>
      </c>
      <c r="C31" s="58">
        <f t="shared" si="3"/>
        <v>35.89696478037915</v>
      </c>
      <c r="D31" s="33">
        <f t="shared" si="0"/>
        <v>0.17051058270680097</v>
      </c>
      <c r="E31" s="33"/>
      <c r="F31" s="33"/>
      <c r="G31" s="34">
        <f>facts!$B$6/facts!$B$7</f>
        <v>11.3</v>
      </c>
      <c r="H31" s="54"/>
      <c r="I31" s="7">
        <f t="shared" si="1"/>
        <v>24.767475363085953</v>
      </c>
      <c r="J31" s="63">
        <f t="shared" si="4"/>
        <v>33.489216586086386</v>
      </c>
      <c r="K31" s="7">
        <f t="shared" si="2"/>
        <v>22.359727168793189</v>
      </c>
    </row>
    <row r="32" spans="1:11" x14ac:dyDescent="0.2">
      <c r="A32" s="59">
        <v>36495</v>
      </c>
      <c r="B32">
        <v>30</v>
      </c>
      <c r="C32" s="58">
        <f t="shared" si="3"/>
        <v>24.767475363085953</v>
      </c>
      <c r="D32" s="33">
        <f t="shared" si="0"/>
        <v>0.11764550797465828</v>
      </c>
      <c r="E32" s="33">
        <v>24.715328</v>
      </c>
      <c r="F32" s="33">
        <v>0.35</v>
      </c>
      <c r="G32" s="34">
        <f>facts!$B$6/facts!$B$7</f>
        <v>11.3</v>
      </c>
      <c r="H32" s="34">
        <f>'facts premium'!$C$28*'facts premium'!$C$16/2</f>
        <v>9.0537746017979099</v>
      </c>
      <c r="I32" s="7">
        <f t="shared" si="1"/>
        <v>29.596674269262692</v>
      </c>
      <c r="J32" s="63">
        <f t="shared" si="4"/>
        <v>22.359727168793189</v>
      </c>
      <c r="K32" s="7">
        <f t="shared" si="2"/>
        <v>2.4735980749699369</v>
      </c>
    </row>
    <row r="33" spans="1:11" x14ac:dyDescent="0.2">
      <c r="A33" s="59">
        <v>36678</v>
      </c>
      <c r="B33">
        <v>36</v>
      </c>
      <c r="C33" s="58">
        <f t="shared" si="3"/>
        <v>29.596674269262692</v>
      </c>
      <c r="D33" s="33">
        <f>C33*DiscRate/2</f>
        <v>0.84350521667398681</v>
      </c>
      <c r="E33" s="33"/>
      <c r="F33" s="33">
        <v>0.35</v>
      </c>
      <c r="G33" s="34"/>
      <c r="H33" s="34">
        <f>'facts premium'!$C$28*'facts premium'!$C$16/2</f>
        <v>9.0537746017979099</v>
      </c>
      <c r="I33" s="7">
        <f t="shared" si="1"/>
        <v>21.736404884138771</v>
      </c>
      <c r="J33" s="63">
        <f t="shared" si="4"/>
        <v>2.4735980749699369</v>
      </c>
      <c r="K33" s="7">
        <f t="shared" si="2"/>
        <v>-5.3866713101539858</v>
      </c>
    </row>
    <row r="34" spans="1:11" x14ac:dyDescent="0.2">
      <c r="A34" s="59">
        <v>36861</v>
      </c>
      <c r="B34">
        <v>42</v>
      </c>
      <c r="C34" s="58">
        <f t="shared" si="3"/>
        <v>21.736404884138771</v>
      </c>
      <c r="D34" s="33">
        <f t="shared" ref="D34:D70" si="5">C34*DiscRate/2</f>
        <v>0.61948753919795496</v>
      </c>
      <c r="E34" s="33">
        <v>25.091313</v>
      </c>
      <c r="F34" s="33">
        <v>0.35</v>
      </c>
      <c r="G34" s="34"/>
      <c r="H34" s="34">
        <f>'facts premium'!$C$28*'facts premium'!$C$16/2</f>
        <v>9.0537746017979099</v>
      </c>
      <c r="I34" s="7">
        <f t="shared" si="1"/>
        <v>38.743430821538816</v>
      </c>
      <c r="J34" s="63">
        <f t="shared" si="4"/>
        <v>-5.3866713101539858</v>
      </c>
      <c r="K34" s="7">
        <f t="shared" si="2"/>
        <v>-13.470958372753941</v>
      </c>
    </row>
    <row r="35" spans="1:11" x14ac:dyDescent="0.2">
      <c r="A35" s="59">
        <f>A34+366/2</f>
        <v>37044</v>
      </c>
      <c r="B35">
        <v>48</v>
      </c>
      <c r="C35" s="58">
        <f t="shared" si="3"/>
        <v>38.743430821538816</v>
      </c>
      <c r="D35" s="33">
        <f t="shared" si="5"/>
        <v>1.1041877784138563</v>
      </c>
      <c r="E35" s="33"/>
      <c r="F35" s="33">
        <v>0.35</v>
      </c>
      <c r="G35" s="34"/>
      <c r="H35" s="34">
        <f>'facts premium'!$C$28*'facts premium'!$C$16/2</f>
        <v>9.0537746017979099</v>
      </c>
      <c r="I35" s="7">
        <f t="shared" si="1"/>
        <v>31.143843998154765</v>
      </c>
      <c r="J35" s="63">
        <f t="shared" si="4"/>
        <v>-13.470958372753941</v>
      </c>
      <c r="K35" s="7">
        <f t="shared" si="2"/>
        <v>-21.070545196137996</v>
      </c>
    </row>
    <row r="36" spans="1:11" x14ac:dyDescent="0.2">
      <c r="A36" s="59">
        <f t="shared" ref="A36:A70" si="6">A35+366/2</f>
        <v>37227</v>
      </c>
      <c r="B36">
        <v>54</v>
      </c>
      <c r="C36" s="58">
        <f t="shared" si="3"/>
        <v>31.143843998154765</v>
      </c>
      <c r="D36" s="33">
        <f t="shared" si="5"/>
        <v>0.88759955394741086</v>
      </c>
      <c r="E36" s="33">
        <v>25.488810000000001</v>
      </c>
      <c r="F36" s="33">
        <v>0.35</v>
      </c>
      <c r="G36" s="34"/>
      <c r="H36" s="34">
        <f>'facts premium'!$C$28*'facts premium'!$C$16/2</f>
        <v>9.0537746017979099</v>
      </c>
      <c r="I36" s="7">
        <f t="shared" si="1"/>
        <v>48.816478950304266</v>
      </c>
      <c r="J36" s="63">
        <f t="shared" si="4"/>
        <v>-21.070545196137996</v>
      </c>
      <c r="K36" s="7">
        <f t="shared" si="2"/>
        <v>-28.886720243988492</v>
      </c>
    </row>
    <row r="37" spans="1:11" x14ac:dyDescent="0.2">
      <c r="A37" s="59">
        <f t="shared" si="6"/>
        <v>37410</v>
      </c>
      <c r="B37">
        <v>60</v>
      </c>
      <c r="C37" s="58">
        <f t="shared" si="3"/>
        <v>48.816478950304266</v>
      </c>
      <c r="D37" s="33">
        <f t="shared" si="5"/>
        <v>1.3912696500836716</v>
      </c>
      <c r="E37" s="33"/>
      <c r="F37" s="33">
        <v>0.35</v>
      </c>
      <c r="G37" s="34"/>
      <c r="H37" s="34">
        <f>'facts premium'!$C$28*'facts premium'!$C$16/2</f>
        <v>9.0537746017979099</v>
      </c>
      <c r="I37" s="7">
        <f t="shared" si="1"/>
        <v>41.503973998590027</v>
      </c>
      <c r="J37" s="63">
        <f t="shared" si="4"/>
        <v>-28.886720243988492</v>
      </c>
      <c r="K37" s="7">
        <f t="shared" si="2"/>
        <v>-36.199225195702731</v>
      </c>
    </row>
    <row r="38" spans="1:11" x14ac:dyDescent="0.2">
      <c r="A38" s="59">
        <f t="shared" si="6"/>
        <v>37593</v>
      </c>
      <c r="B38">
        <v>66</v>
      </c>
      <c r="C38" s="58">
        <f t="shared" si="3"/>
        <v>41.503973998590027</v>
      </c>
      <c r="D38" s="33">
        <f t="shared" si="5"/>
        <v>1.1828632589598158</v>
      </c>
      <c r="E38" s="33">
        <v>26.244264999999999</v>
      </c>
      <c r="F38" s="33">
        <v>0.35</v>
      </c>
      <c r="G38" s="34"/>
      <c r="H38" s="34">
        <f>'facts premium'!$C$28*'facts premium'!$C$16/2</f>
        <v>9.0537746017979099</v>
      </c>
      <c r="I38" s="7">
        <f t="shared" si="1"/>
        <v>60.227327655751921</v>
      </c>
      <c r="J38" s="63">
        <f t="shared" si="4"/>
        <v>-36.199225195702731</v>
      </c>
      <c r="K38" s="7">
        <f t="shared" si="2"/>
        <v>-43.720136538540828</v>
      </c>
    </row>
    <row r="39" spans="1:11" x14ac:dyDescent="0.2">
      <c r="A39" s="59">
        <f t="shared" si="6"/>
        <v>37776</v>
      </c>
      <c r="B39">
        <v>72</v>
      </c>
      <c r="C39" s="58">
        <f t="shared" si="3"/>
        <v>60.227327655751921</v>
      </c>
      <c r="D39" s="33">
        <f t="shared" si="5"/>
        <v>1.7164788381889298</v>
      </c>
      <c r="E39" s="33"/>
      <c r="F39" s="33">
        <v>0.35</v>
      </c>
      <c r="G39" s="34"/>
      <c r="H39" s="34">
        <f>'facts premium'!$C$28*'facts premium'!$C$16/2</f>
        <v>9.0537746017979099</v>
      </c>
      <c r="I39" s="7">
        <f t="shared" si="1"/>
        <v>53.240031892142937</v>
      </c>
      <c r="J39" s="63">
        <f t="shared" si="4"/>
        <v>-43.720136538540828</v>
      </c>
      <c r="K39" s="7">
        <f t="shared" si="2"/>
        <v>-50.707432302149812</v>
      </c>
    </row>
    <row r="40" spans="1:11" x14ac:dyDescent="0.2">
      <c r="A40" s="59">
        <f t="shared" si="6"/>
        <v>37959</v>
      </c>
      <c r="B40">
        <v>78</v>
      </c>
      <c r="C40" s="58">
        <f t="shared" si="3"/>
        <v>53.240031892142937</v>
      </c>
      <c r="D40" s="33">
        <f t="shared" si="5"/>
        <v>1.5173409089260739</v>
      </c>
      <c r="E40" s="33">
        <v>27.316483999999999</v>
      </c>
      <c r="F40" s="33">
        <v>0.35</v>
      </c>
      <c r="G40" s="34"/>
      <c r="H40" s="34">
        <f>'facts premium'!$C$28*'facts premium'!$C$16/2</f>
        <v>9.0537746017979099</v>
      </c>
      <c r="I40" s="7">
        <f t="shared" si="1"/>
        <v>73.370082199271096</v>
      </c>
      <c r="J40" s="63">
        <f t="shared" si="4"/>
        <v>-50.707432302149812</v>
      </c>
      <c r="K40" s="7">
        <f t="shared" si="2"/>
        <v>-57.893865995021649</v>
      </c>
    </row>
    <row r="41" spans="1:11" x14ac:dyDescent="0.2">
      <c r="A41" s="59">
        <f t="shared" si="6"/>
        <v>38142</v>
      </c>
      <c r="B41">
        <v>84</v>
      </c>
      <c r="C41" s="58">
        <f t="shared" si="3"/>
        <v>73.370082199271096</v>
      </c>
      <c r="D41" s="33">
        <f t="shared" si="5"/>
        <v>2.0910473426792264</v>
      </c>
      <c r="E41" s="33"/>
      <c r="F41" s="33">
        <v>0.35</v>
      </c>
      <c r="G41" s="34"/>
      <c r="H41" s="34">
        <f>'facts premium'!$C$28*'facts premium'!$C$16/2</f>
        <v>9.0537746017979099</v>
      </c>
      <c r="I41" s="7">
        <f t="shared" si="1"/>
        <v>66.75735494015241</v>
      </c>
      <c r="J41" s="63">
        <f t="shared" si="4"/>
        <v>-57.893865995021649</v>
      </c>
      <c r="K41" s="7">
        <f t="shared" si="2"/>
        <v>-64.506593254140327</v>
      </c>
    </row>
    <row r="42" spans="1:11" x14ac:dyDescent="0.2">
      <c r="A42" s="59">
        <f t="shared" si="6"/>
        <v>38325</v>
      </c>
      <c r="B42">
        <v>90</v>
      </c>
      <c r="C42" s="58">
        <f t="shared" si="3"/>
        <v>66.75735494015241</v>
      </c>
      <c r="D42" s="33">
        <f t="shared" si="5"/>
        <v>1.9025846157943438</v>
      </c>
      <c r="E42" s="33">
        <v>28.432511999999999</v>
      </c>
      <c r="F42" s="33">
        <v>0.35</v>
      </c>
      <c r="G42" s="34"/>
      <c r="H42" s="34">
        <f>'facts premium'!$C$28*'facts premium'!$C$16/2</f>
        <v>9.0537746017979099</v>
      </c>
      <c r="I42" s="7">
        <f t="shared" si="1"/>
        <v>88.388676954148835</v>
      </c>
      <c r="J42" s="63">
        <f t="shared" si="4"/>
        <v>-64.506593254140327</v>
      </c>
      <c r="K42" s="7">
        <f t="shared" si="2"/>
        <v>-71.307783240143891</v>
      </c>
    </row>
    <row r="43" spans="1:11" x14ac:dyDescent="0.2">
      <c r="A43" s="59">
        <f t="shared" si="6"/>
        <v>38508</v>
      </c>
      <c r="B43">
        <v>96</v>
      </c>
      <c r="C43" s="58">
        <f t="shared" si="3"/>
        <v>88.388676954148835</v>
      </c>
      <c r="D43" s="33">
        <f t="shared" si="5"/>
        <v>2.5190772931932419</v>
      </c>
      <c r="E43" s="33"/>
      <c r="F43" s="33">
        <v>0.35</v>
      </c>
      <c r="G43" s="34"/>
      <c r="H43" s="34">
        <f>'facts premium'!$C$28*'facts premium'!$C$16/2</f>
        <v>9.0537746017979099</v>
      </c>
      <c r="I43" s="7">
        <f t="shared" si="1"/>
        <v>82.203979645544166</v>
      </c>
      <c r="J43" s="63">
        <f t="shared" si="4"/>
        <v>-71.307783240143891</v>
      </c>
      <c r="K43" s="7">
        <f t="shared" si="2"/>
        <v>-77.49248054874856</v>
      </c>
    </row>
    <row r="44" spans="1:11" x14ac:dyDescent="0.2">
      <c r="A44" s="59">
        <f t="shared" si="6"/>
        <v>38691</v>
      </c>
      <c r="B44">
        <v>102</v>
      </c>
      <c r="C44" s="58">
        <f t="shared" si="3"/>
        <v>82.203979645544166</v>
      </c>
      <c r="D44" s="33">
        <f t="shared" si="5"/>
        <v>2.3428134198980088</v>
      </c>
      <c r="E44" s="33">
        <v>29.594138999999998</v>
      </c>
      <c r="F44" s="33">
        <v>0.35</v>
      </c>
      <c r="G44" s="34"/>
      <c r="H44" s="34">
        <f>'facts premium'!$C$28*'facts premium'!$C$16/2</f>
        <v>9.0537746017979099</v>
      </c>
      <c r="I44" s="7">
        <f t="shared" si="1"/>
        <v>105.43715746364425</v>
      </c>
      <c r="J44" s="63">
        <f t="shared" si="4"/>
        <v>-77.49248054874856</v>
      </c>
      <c r="K44" s="7">
        <f t="shared" si="2"/>
        <v>-83.85344173064847</v>
      </c>
    </row>
    <row r="45" spans="1:11" x14ac:dyDescent="0.2">
      <c r="A45" s="59">
        <f t="shared" si="6"/>
        <v>38874</v>
      </c>
      <c r="B45">
        <v>108</v>
      </c>
      <c r="C45" s="58">
        <f t="shared" si="3"/>
        <v>105.43715746364425</v>
      </c>
      <c r="D45" s="33">
        <f t="shared" si="5"/>
        <v>3.0049589877138612</v>
      </c>
      <c r="E45" s="33"/>
      <c r="F45" s="33">
        <v>0.35</v>
      </c>
      <c r="G45" s="34"/>
      <c r="H45" s="34">
        <f>'facts premium'!$C$28*'facts premium'!$C$16/2</f>
        <v>9.0537746017979099</v>
      </c>
      <c r="I45" s="7">
        <f t="shared" si="1"/>
        <v>99.7383418495602</v>
      </c>
      <c r="J45" s="63">
        <f t="shared" si="4"/>
        <v>-83.85344173064847</v>
      </c>
      <c r="K45" s="7">
        <f t="shared" si="2"/>
        <v>-89.552257344732524</v>
      </c>
    </row>
    <row r="46" spans="1:11" x14ac:dyDescent="0.2">
      <c r="A46" s="59">
        <f t="shared" si="6"/>
        <v>39057</v>
      </c>
      <c r="B46">
        <v>114</v>
      </c>
      <c r="C46" s="58">
        <f t="shared" si="3"/>
        <v>99.7383418495602</v>
      </c>
      <c r="D46" s="33">
        <f t="shared" si="5"/>
        <v>2.8425427427124657</v>
      </c>
      <c r="E46" s="33">
        <v>30.803229000000002</v>
      </c>
      <c r="F46" s="33">
        <v>0.35</v>
      </c>
      <c r="G46" s="34"/>
      <c r="H46" s="34">
        <f>'facts premium'!$C$28*'facts premium'!$C$16/2</f>
        <v>9.0537746017979099</v>
      </c>
      <c r="I46" s="7">
        <f t="shared" si="1"/>
        <v>124.68033899047477</v>
      </c>
      <c r="J46" s="63">
        <f t="shared" si="4"/>
        <v>-89.552257344732524</v>
      </c>
      <c r="K46" s="7">
        <f t="shared" si="2"/>
        <v>-95.413489203817974</v>
      </c>
    </row>
    <row r="47" spans="1:11" x14ac:dyDescent="0.2">
      <c r="A47" s="59">
        <f t="shared" si="6"/>
        <v>39240</v>
      </c>
      <c r="B47">
        <v>120</v>
      </c>
      <c r="C47" s="58">
        <f t="shared" si="3"/>
        <v>124.68033899047477</v>
      </c>
      <c r="D47" s="33">
        <f t="shared" si="5"/>
        <v>3.5533896612285312</v>
      </c>
      <c r="E47" s="33"/>
      <c r="F47" s="33">
        <v>0.35</v>
      </c>
      <c r="G47" s="34"/>
      <c r="H47" s="34">
        <f>'facts premium'!$C$28*'facts premium'!$C$16/2</f>
        <v>9.0537746017979099</v>
      </c>
      <c r="I47" s="7">
        <f t="shared" si="1"/>
        <v>119.52995404990538</v>
      </c>
      <c r="J47" s="63">
        <f t="shared" si="4"/>
        <v>-95.413489203817974</v>
      </c>
      <c r="K47" s="7">
        <f t="shared" si="2"/>
        <v>-100.56387414438736</v>
      </c>
    </row>
    <row r="48" spans="1:11" x14ac:dyDescent="0.2">
      <c r="A48" s="59">
        <f t="shared" si="6"/>
        <v>39423</v>
      </c>
      <c r="B48">
        <v>126</v>
      </c>
      <c r="C48" s="58">
        <f t="shared" si="3"/>
        <v>119.52995404990538</v>
      </c>
      <c r="D48" s="33">
        <f t="shared" si="5"/>
        <v>3.4066036904223034</v>
      </c>
      <c r="E48" s="33">
        <v>32.061720000000001</v>
      </c>
      <c r="F48" s="33">
        <v>0.35</v>
      </c>
      <c r="G48" s="34"/>
      <c r="H48" s="34">
        <f>'facts premium'!$C$28*'facts premium'!$C$16/2</f>
        <v>9.0537746017979099</v>
      </c>
      <c r="I48" s="7">
        <f t="shared" si="1"/>
        <v>146.29450313852979</v>
      </c>
      <c r="J48" s="63">
        <f t="shared" si="4"/>
        <v>-100.56387414438736</v>
      </c>
      <c r="K48" s="7">
        <f t="shared" si="2"/>
        <v>-105.86104505576297</v>
      </c>
    </row>
    <row r="49" spans="1:11" x14ac:dyDescent="0.2">
      <c r="A49" s="59">
        <f t="shared" si="6"/>
        <v>39606</v>
      </c>
      <c r="B49">
        <v>132</v>
      </c>
      <c r="C49" s="58">
        <f t="shared" si="3"/>
        <v>146.29450313852979</v>
      </c>
      <c r="D49" s="33">
        <f t="shared" si="5"/>
        <v>4.1693933394480993</v>
      </c>
      <c r="E49" s="33"/>
      <c r="F49" s="33">
        <v>0.35</v>
      </c>
      <c r="G49" s="34"/>
      <c r="H49" s="34">
        <f>'facts premium'!$C$28*'facts premium'!$C$16/2</f>
        <v>9.0537746017979099</v>
      </c>
      <c r="I49" s="7">
        <f t="shared" si="1"/>
        <v>141.76012187617999</v>
      </c>
      <c r="J49" s="63">
        <f t="shared" si="4"/>
        <v>-105.86104505576297</v>
      </c>
      <c r="K49" s="7">
        <f t="shared" si="2"/>
        <v>-110.3954263181128</v>
      </c>
    </row>
    <row r="50" spans="1:11" x14ac:dyDescent="0.2">
      <c r="A50" s="59">
        <f t="shared" si="6"/>
        <v>39789</v>
      </c>
      <c r="B50">
        <v>138</v>
      </c>
      <c r="C50" s="58">
        <f t="shared" si="3"/>
        <v>141.76012187617999</v>
      </c>
      <c r="D50" s="33">
        <f t="shared" si="5"/>
        <v>4.0401634734711296</v>
      </c>
      <c r="E50" s="33">
        <v>33.371633000000003</v>
      </c>
      <c r="F50" s="33">
        <v>0.35</v>
      </c>
      <c r="G50" s="34"/>
      <c r="H50" s="34">
        <f>'facts premium'!$C$28*'facts premium'!$C$16/2</f>
        <v>9.0537746017979099</v>
      </c>
      <c r="I50" s="7">
        <f t="shared" si="1"/>
        <v>170.46814374785322</v>
      </c>
      <c r="J50" s="63">
        <f t="shared" si="4"/>
        <v>-110.3954263181128</v>
      </c>
      <c r="K50" s="7">
        <f t="shared" si="2"/>
        <v>-115.05903744643959</v>
      </c>
    </row>
    <row r="51" spans="1:11" x14ac:dyDescent="0.2">
      <c r="A51" s="59">
        <f t="shared" si="6"/>
        <v>39972</v>
      </c>
      <c r="B51">
        <v>144</v>
      </c>
      <c r="C51" s="58">
        <f t="shared" si="3"/>
        <v>170.46814374785322</v>
      </c>
      <c r="D51" s="33">
        <f t="shared" si="5"/>
        <v>4.8583420968138169</v>
      </c>
      <c r="E51" s="33"/>
      <c r="F51" s="33">
        <v>0.35</v>
      </c>
      <c r="G51" s="34"/>
      <c r="H51" s="34">
        <f>'facts premium'!$C$28*'facts premium'!$C$16/2</f>
        <v>9.0537746017979099</v>
      </c>
      <c r="I51" s="7">
        <f t="shared" si="1"/>
        <v>166.62271124286914</v>
      </c>
      <c r="J51" s="63">
        <f t="shared" si="4"/>
        <v>-115.05903744643959</v>
      </c>
      <c r="K51" s="7">
        <f t="shared" si="2"/>
        <v>-118.90446995142369</v>
      </c>
    </row>
    <row r="52" spans="1:11" x14ac:dyDescent="0.2">
      <c r="A52" s="59">
        <f t="shared" si="6"/>
        <v>40155</v>
      </c>
      <c r="B52">
        <v>150</v>
      </c>
      <c r="C52" s="58">
        <f t="shared" si="3"/>
        <v>166.62271124286914</v>
      </c>
      <c r="D52" s="33">
        <f t="shared" si="5"/>
        <v>4.748747270421771</v>
      </c>
      <c r="E52" s="33">
        <v>34.735066000000003</v>
      </c>
      <c r="F52" s="33">
        <v>0.35</v>
      </c>
      <c r="G52" s="34"/>
      <c r="H52" s="34">
        <f>'facts premium'!$C$28*'facts premium'!$C$16/2</f>
        <v>9.0537746017979099</v>
      </c>
      <c r="I52" s="7">
        <f t="shared" si="1"/>
        <v>197.40274991149303</v>
      </c>
      <c r="J52" s="63">
        <f t="shared" si="4"/>
        <v>-118.90446995142369</v>
      </c>
      <c r="K52" s="7">
        <f t="shared" si="2"/>
        <v>-122.85949728279984</v>
      </c>
    </row>
    <row r="53" spans="1:11" x14ac:dyDescent="0.2">
      <c r="A53" s="59">
        <f t="shared" si="6"/>
        <v>40338</v>
      </c>
      <c r="B53">
        <v>156</v>
      </c>
      <c r="C53" s="58">
        <f t="shared" si="3"/>
        <v>197.40274991149303</v>
      </c>
      <c r="D53" s="33">
        <f t="shared" si="5"/>
        <v>5.6259783724775518</v>
      </c>
      <c r="E53" s="33"/>
      <c r="F53" s="33">
        <v>0.35</v>
      </c>
      <c r="G53" s="34"/>
      <c r="H53" s="34">
        <f>'facts premium'!$C$28*'facts premium'!$C$16/2</f>
        <v>9.0537746017979099</v>
      </c>
      <c r="I53" s="7">
        <f t="shared" si="1"/>
        <v>194.32495368217269</v>
      </c>
      <c r="J53" s="63">
        <f t="shared" si="4"/>
        <v>-122.85949728279984</v>
      </c>
      <c r="K53" s="7">
        <f t="shared" si="2"/>
        <v>-125.93729351212021</v>
      </c>
    </row>
    <row r="54" spans="1:11" x14ac:dyDescent="0.2">
      <c r="A54" s="59">
        <f t="shared" si="6"/>
        <v>40521</v>
      </c>
      <c r="B54">
        <v>162</v>
      </c>
      <c r="C54" s="58">
        <f t="shared" si="3"/>
        <v>194.32495368217269</v>
      </c>
      <c r="D54" s="33">
        <f t="shared" si="5"/>
        <v>5.5382611799419221</v>
      </c>
      <c r="E54" s="33">
        <v>36.154209000000002</v>
      </c>
      <c r="F54" s="33">
        <v>0.35</v>
      </c>
      <c r="G54" s="34"/>
      <c r="H54" s="34">
        <f>'facts premium'!$C$28*'facts premium'!$C$16/2</f>
        <v>9.0537746017979099</v>
      </c>
      <c r="I54" s="7">
        <f t="shared" si="1"/>
        <v>227.31364926031671</v>
      </c>
      <c r="J54" s="63">
        <f t="shared" si="4"/>
        <v>-125.93729351212021</v>
      </c>
      <c r="K54" s="7">
        <f t="shared" si="2"/>
        <v>-129.10280693397618</v>
      </c>
    </row>
    <row r="55" spans="1:11" x14ac:dyDescent="0.2">
      <c r="A55" s="59">
        <f t="shared" si="6"/>
        <v>40704</v>
      </c>
      <c r="B55">
        <v>168</v>
      </c>
      <c r="C55" s="58">
        <f t="shared" si="3"/>
        <v>227.31364926031671</v>
      </c>
      <c r="D55" s="33">
        <f t="shared" si="5"/>
        <v>6.4784390039190267</v>
      </c>
      <c r="E55" s="33"/>
      <c r="F55" s="33">
        <v>0.35</v>
      </c>
      <c r="G55" s="34"/>
      <c r="H55" s="34">
        <f>'facts premium'!$C$28*'facts premium'!$C$16/2</f>
        <v>9.0537746017979099</v>
      </c>
      <c r="I55" s="7">
        <f t="shared" si="1"/>
        <v>225.08831366243783</v>
      </c>
      <c r="J55" s="63">
        <f t="shared" si="4"/>
        <v>-129.10280693397618</v>
      </c>
      <c r="K55" s="7">
        <f t="shared" si="2"/>
        <v>-131.32814253185506</v>
      </c>
    </row>
    <row r="56" spans="1:11" x14ac:dyDescent="0.2">
      <c r="A56" s="59">
        <f t="shared" si="6"/>
        <v>40887</v>
      </c>
      <c r="B56">
        <v>174</v>
      </c>
      <c r="C56" s="58">
        <f t="shared" si="3"/>
        <v>225.08831366243783</v>
      </c>
      <c r="D56" s="33">
        <f t="shared" si="5"/>
        <v>6.4150169393794787</v>
      </c>
      <c r="E56" s="33">
        <v>37.631335999999997</v>
      </c>
      <c r="F56" s="33">
        <v>0.35</v>
      </c>
      <c r="G56" s="34"/>
      <c r="H56" s="34">
        <f>'facts premium'!$C$28*'facts premium'!$C$16/2</f>
        <v>9.0537746017979099</v>
      </c>
      <c r="I56" s="7">
        <f t="shared" si="1"/>
        <v>260.43089200001941</v>
      </c>
      <c r="J56" s="63">
        <f t="shared" si="4"/>
        <v>-131.32814253185506</v>
      </c>
      <c r="K56" s="7">
        <f t="shared" si="2"/>
        <v>-133.61690019427348</v>
      </c>
    </row>
    <row r="57" spans="1:11" x14ac:dyDescent="0.2">
      <c r="A57" s="59">
        <f t="shared" si="6"/>
        <v>41070</v>
      </c>
      <c r="B57">
        <v>180</v>
      </c>
      <c r="C57" s="58">
        <f t="shared" si="3"/>
        <v>260.43089200001941</v>
      </c>
      <c r="D57" s="33">
        <f t="shared" si="5"/>
        <v>7.4222804220005534</v>
      </c>
      <c r="E57" s="33"/>
      <c r="F57" s="33">
        <v>0.35</v>
      </c>
      <c r="G57" s="34"/>
      <c r="H57" s="34">
        <f>'facts premium'!$C$28*'facts premium'!$C$16/2</f>
        <v>9.0537746017979099</v>
      </c>
      <c r="I57" s="7">
        <f t="shared" si="1"/>
        <v>259.14939782022208</v>
      </c>
      <c r="J57" s="63">
        <f t="shared" si="4"/>
        <v>-133.61690019427348</v>
      </c>
      <c r="K57" s="7">
        <f t="shared" si="2"/>
        <v>-134.89839437407085</v>
      </c>
    </row>
    <row r="58" spans="1:11" x14ac:dyDescent="0.2">
      <c r="A58" s="59">
        <f t="shared" si="6"/>
        <v>41253</v>
      </c>
      <c r="B58">
        <v>186</v>
      </c>
      <c r="C58" s="58">
        <f t="shared" si="3"/>
        <v>259.14939782022208</v>
      </c>
      <c r="D58" s="33">
        <f t="shared" si="5"/>
        <v>7.3857578378763291</v>
      </c>
      <c r="E58" s="33">
        <v>39.168818000000002</v>
      </c>
      <c r="F58" s="33">
        <v>0.35</v>
      </c>
      <c r="G58" s="34"/>
      <c r="H58" s="34">
        <f>'facts premium'!$C$28*'facts premium'!$C$16/2</f>
        <v>9.0537746017979099</v>
      </c>
      <c r="I58" s="7">
        <f t="shared" si="1"/>
        <v>297.00019905630052</v>
      </c>
      <c r="J58" s="63">
        <f t="shared" si="4"/>
        <v>-134.89839437407085</v>
      </c>
      <c r="K58" s="7">
        <f t="shared" si="2"/>
        <v>-136.21641113799242</v>
      </c>
    </row>
    <row r="59" spans="1:11" x14ac:dyDescent="0.2">
      <c r="A59" s="59">
        <f t="shared" si="6"/>
        <v>41436</v>
      </c>
      <c r="B59">
        <v>192</v>
      </c>
      <c r="C59" s="58">
        <f t="shared" si="3"/>
        <v>297.00019905630052</v>
      </c>
      <c r="D59" s="33">
        <f t="shared" si="5"/>
        <v>8.4645056731045649</v>
      </c>
      <c r="E59" s="33"/>
      <c r="F59" s="33">
        <v>0.35</v>
      </c>
      <c r="G59" s="34"/>
      <c r="H59" s="34">
        <f>'facts premium'!$C$28*'facts premium'!$C$16/2</f>
        <v>9.0537746017979099</v>
      </c>
      <c r="I59" s="7">
        <f t="shared" si="1"/>
        <v>296.7609301276072</v>
      </c>
      <c r="J59" s="63">
        <f t="shared" si="4"/>
        <v>-136.21641113799242</v>
      </c>
      <c r="K59" s="7">
        <f t="shared" si="2"/>
        <v>-136.45568006668577</v>
      </c>
    </row>
    <row r="60" spans="1:11" x14ac:dyDescent="0.2">
      <c r="A60" s="59">
        <f t="shared" si="6"/>
        <v>41619</v>
      </c>
      <c r="B60">
        <v>198</v>
      </c>
      <c r="C60" s="58">
        <f t="shared" si="3"/>
        <v>296.7609301276072</v>
      </c>
      <c r="D60" s="33">
        <f t="shared" si="5"/>
        <v>8.4576865086368063</v>
      </c>
      <c r="E60" s="33">
        <v>40.769120999999998</v>
      </c>
      <c r="F60" s="33">
        <v>0.35</v>
      </c>
      <c r="G60" s="34"/>
      <c r="H60" s="34">
        <f>'facts premium'!$C$28*'facts premium'!$C$16/2</f>
        <v>9.0537746017979099</v>
      </c>
      <c r="I60" s="7">
        <f t="shared" si="1"/>
        <v>337.28396303444612</v>
      </c>
      <c r="J60" s="63">
        <f t="shared" si="4"/>
        <v>-136.45568006668577</v>
      </c>
      <c r="K60" s="7">
        <f t="shared" si="2"/>
        <v>-136.70176815984686</v>
      </c>
    </row>
    <row r="61" spans="1:11" x14ac:dyDescent="0.2">
      <c r="A61" s="59">
        <f t="shared" si="6"/>
        <v>41802</v>
      </c>
      <c r="B61">
        <v>204</v>
      </c>
      <c r="C61" s="58">
        <f t="shared" si="3"/>
        <v>337.28396303444612</v>
      </c>
      <c r="D61" s="33">
        <f t="shared" si="5"/>
        <v>9.6125929464817155</v>
      </c>
      <c r="E61" s="33"/>
      <c r="F61" s="33">
        <v>0.35</v>
      </c>
      <c r="G61" s="34"/>
      <c r="H61" s="34">
        <f>'facts premium'!$C$28*'facts premium'!$C$16/2</f>
        <v>9.0537746017979099</v>
      </c>
      <c r="I61" s="7">
        <f t="shared" si="1"/>
        <v>338.19278137912994</v>
      </c>
      <c r="J61" s="63">
        <f t="shared" si="4"/>
        <v>-136.70176815984686</v>
      </c>
      <c r="K61" s="7">
        <f t="shared" si="2"/>
        <v>-135.79294981516307</v>
      </c>
    </row>
    <row r="62" spans="1:11" x14ac:dyDescent="0.2">
      <c r="A62" s="59">
        <f t="shared" si="6"/>
        <v>41985</v>
      </c>
      <c r="B62">
        <v>210</v>
      </c>
      <c r="C62" s="58">
        <f t="shared" si="3"/>
        <v>338.19278137912994</v>
      </c>
      <c r="D62" s="33">
        <f t="shared" si="5"/>
        <v>9.6384942693052036</v>
      </c>
      <c r="E62" s="33">
        <v>42.434811000000003</v>
      </c>
      <c r="F62" s="33">
        <v>0.35</v>
      </c>
      <c r="G62" s="34"/>
      <c r="H62" s="34">
        <f>'facts premium'!$C$28*'facts premium'!$C$16/2</f>
        <v>9.0537746017979099</v>
      </c>
      <c r="I62" s="7">
        <f t="shared" si="1"/>
        <v>381.56231204663732</v>
      </c>
      <c r="J62" s="63">
        <f t="shared" si="4"/>
        <v>-135.79294981516307</v>
      </c>
      <c r="K62" s="7">
        <f t="shared" si="2"/>
        <v>-134.85823014765577</v>
      </c>
    </row>
    <row r="63" spans="1:11" x14ac:dyDescent="0.2">
      <c r="A63" s="59">
        <f t="shared" si="6"/>
        <v>42168</v>
      </c>
      <c r="B63">
        <v>216</v>
      </c>
      <c r="C63" s="58">
        <f t="shared" si="3"/>
        <v>381.56231204663732</v>
      </c>
      <c r="D63" s="33">
        <f t="shared" si="5"/>
        <v>10.874525893329164</v>
      </c>
      <c r="E63" s="33"/>
      <c r="F63" s="33">
        <v>0.35</v>
      </c>
      <c r="G63" s="34"/>
      <c r="H63" s="34">
        <f>'facts premium'!$C$28*'facts premium'!$C$16/2</f>
        <v>9.0537746017979099</v>
      </c>
      <c r="I63" s="7">
        <f t="shared" si="1"/>
        <v>383.73306333816862</v>
      </c>
      <c r="J63" s="63">
        <f t="shared" si="4"/>
        <v>-134.85823014765577</v>
      </c>
      <c r="K63" s="7">
        <f t="shared" si="2"/>
        <v>-132.68747885612453</v>
      </c>
    </row>
    <row r="64" spans="1:11" x14ac:dyDescent="0.2">
      <c r="A64" s="59">
        <f t="shared" si="6"/>
        <v>42351</v>
      </c>
      <c r="B64">
        <v>222</v>
      </c>
      <c r="C64" s="58">
        <f t="shared" si="3"/>
        <v>383.73306333816862</v>
      </c>
      <c r="D64" s="33">
        <f t="shared" si="5"/>
        <v>10.936392305137806</v>
      </c>
      <c r="E64" s="33">
        <v>44.168560999999997</v>
      </c>
      <c r="F64" s="33">
        <v>0.35</v>
      </c>
      <c r="G64" s="34"/>
      <c r="H64" s="34">
        <f>'facts premium'!$C$28*'facts premium'!$C$16/2</f>
        <v>9.0537746017979099</v>
      </c>
      <c r="I64" s="7">
        <f t="shared" si="1"/>
        <v>430.13424204150857</v>
      </c>
      <c r="J64" s="63">
        <f t="shared" si="4"/>
        <v>-132.68747885612453</v>
      </c>
      <c r="K64" s="7">
        <f t="shared" si="2"/>
        <v>-130.45486115278464</v>
      </c>
    </row>
    <row r="65" spans="1:11" x14ac:dyDescent="0.2">
      <c r="A65" s="59">
        <f t="shared" si="6"/>
        <v>42534</v>
      </c>
      <c r="B65">
        <v>228</v>
      </c>
      <c r="C65" s="58">
        <f t="shared" si="3"/>
        <v>430.13424204150857</v>
      </c>
      <c r="D65" s="33">
        <f t="shared" si="5"/>
        <v>12.258825898182995</v>
      </c>
      <c r="E65" s="33"/>
      <c r="F65" s="33">
        <v>0.35</v>
      </c>
      <c r="G65" s="34"/>
      <c r="H65" s="34">
        <f>'facts premium'!$C$28*'facts premium'!$C$16/2</f>
        <v>9.0537746017979099</v>
      </c>
      <c r="I65" s="7">
        <f t="shared" si="1"/>
        <v>433.68929333789367</v>
      </c>
      <c r="J65" s="63">
        <f t="shared" si="4"/>
        <v>-130.45486115278464</v>
      </c>
      <c r="K65" s="7">
        <f t="shared" si="2"/>
        <v>-126.89980985639957</v>
      </c>
    </row>
    <row r="66" spans="1:11" x14ac:dyDescent="0.2">
      <c r="A66" s="59">
        <f t="shared" si="6"/>
        <v>42717</v>
      </c>
      <c r="B66">
        <v>234</v>
      </c>
      <c r="C66" s="58">
        <f t="shared" si="3"/>
        <v>433.68929333789367</v>
      </c>
      <c r="D66" s="33">
        <f t="shared" si="5"/>
        <v>12.360144860129971</v>
      </c>
      <c r="E66" s="33"/>
      <c r="F66" s="33">
        <v>0.35</v>
      </c>
      <c r="G66" s="33"/>
      <c r="H66" s="34">
        <v>9.31</v>
      </c>
      <c r="I66" s="7">
        <f>C66+D66+E66+F66-G66-H66</f>
        <v>437.08943819802369</v>
      </c>
      <c r="J66" s="63">
        <f t="shared" si="4"/>
        <v>-126.89980985639957</v>
      </c>
      <c r="K66" s="7">
        <f t="shared" si="2"/>
        <v>-123.49966499626962</v>
      </c>
    </row>
    <row r="67" spans="1:11" x14ac:dyDescent="0.2">
      <c r="A67" s="59">
        <f t="shared" si="6"/>
        <v>42900</v>
      </c>
      <c r="B67">
        <v>240</v>
      </c>
      <c r="C67" s="58">
        <f t="shared" si="3"/>
        <v>437.08943819802369</v>
      </c>
      <c r="D67" s="33">
        <f t="shared" si="5"/>
        <v>12.457048988643676</v>
      </c>
      <c r="E67" s="33"/>
      <c r="F67" s="33">
        <v>0.35</v>
      </c>
      <c r="G67" s="34"/>
      <c r="H67" s="34">
        <f>9.31+'facts premium'!C28</f>
        <v>326.98630181747052</v>
      </c>
      <c r="I67" s="7">
        <f t="shared" si="1"/>
        <v>122.91018536919688</v>
      </c>
      <c r="J67" s="63">
        <f t="shared" si="4"/>
        <v>-123.49966499626962</v>
      </c>
      <c r="K67" s="7">
        <f t="shared" si="2"/>
        <v>-437.67891782509645</v>
      </c>
    </row>
    <row r="68" spans="1:11" x14ac:dyDescent="0.2">
      <c r="A68" s="59">
        <f t="shared" si="6"/>
        <v>43083</v>
      </c>
      <c r="B68">
        <v>246</v>
      </c>
      <c r="C68" s="58">
        <f t="shared" si="3"/>
        <v>122.91018536919688</v>
      </c>
      <c r="D68" s="33">
        <f t="shared" si="5"/>
        <v>3.5029402830221112</v>
      </c>
      <c r="E68" s="33"/>
      <c r="F68" s="33">
        <v>0.35</v>
      </c>
      <c r="G68" s="34"/>
      <c r="H68" s="54"/>
      <c r="I68" s="7">
        <f>C68+D68+E68+F68-G68-H68</f>
        <v>126.76312565221899</v>
      </c>
      <c r="J68" s="63">
        <f t="shared" si="4"/>
        <v>-437.67891782509645</v>
      </c>
      <c r="K68" s="7">
        <f>J68+D68+F68-G68-H68</f>
        <v>-433.82597754207433</v>
      </c>
    </row>
    <row r="69" spans="1:11" x14ac:dyDescent="0.2">
      <c r="A69" s="59">
        <f t="shared" si="6"/>
        <v>43266</v>
      </c>
      <c r="B69">
        <v>252</v>
      </c>
      <c r="C69" s="58">
        <f>I68</f>
        <v>126.76312565221899</v>
      </c>
      <c r="D69" s="33">
        <f t="shared" si="5"/>
        <v>3.6127490810882414</v>
      </c>
      <c r="E69" s="33"/>
      <c r="F69" s="33">
        <v>0.35</v>
      </c>
      <c r="G69" s="34"/>
      <c r="H69" s="54"/>
      <c r="I69" s="7">
        <f>C69+D69+E69+F69-G69-H69</f>
        <v>130.72587473330722</v>
      </c>
      <c r="J69" s="63">
        <f>K68</f>
        <v>-433.82597754207433</v>
      </c>
      <c r="K69" s="7">
        <f>J69+D69+F69-G69-H69</f>
        <v>-429.86322846098608</v>
      </c>
    </row>
    <row r="70" spans="1:11" x14ac:dyDescent="0.2">
      <c r="A70" s="59">
        <f t="shared" si="6"/>
        <v>43449</v>
      </c>
      <c r="B70">
        <v>258</v>
      </c>
      <c r="C70" s="58">
        <f>I69</f>
        <v>130.72587473330722</v>
      </c>
      <c r="D70" s="33">
        <f t="shared" si="5"/>
        <v>3.7256874298992559</v>
      </c>
      <c r="E70" s="33"/>
      <c r="F70" s="33">
        <v>0.35</v>
      </c>
      <c r="G70" s="34"/>
      <c r="H70" s="54"/>
      <c r="I70" s="7">
        <f>C70+D70+E70+F70-G70-H70</f>
        <v>134.80156216320648</v>
      </c>
      <c r="J70" s="63">
        <f>K69</f>
        <v>-429.86322846098608</v>
      </c>
      <c r="K70" s="7">
        <f>J70+D70+F70-G70-H70</f>
        <v>-425.78754103108679</v>
      </c>
    </row>
    <row r="71" spans="1:11" x14ac:dyDescent="0.2">
      <c r="A71" s="59"/>
      <c r="C71" s="58"/>
      <c r="D71" s="33"/>
      <c r="E71" s="33"/>
      <c r="F71" s="33"/>
      <c r="G71" s="34"/>
      <c r="H71" s="54"/>
      <c r="I71" s="7"/>
    </row>
  </sheetData>
  <mergeCells count="1">
    <mergeCell ref="J1:K1"/>
  </mergeCells>
  <phoneticPr fontId="0" type="noConversion"/>
  <pageMargins left="0.75" right="0.75" top="0.41" bottom="0.23" header="0.17" footer="0.18"/>
  <pageSetup scale="8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.75" x14ac:dyDescent="0.2"/>
  <cols>
    <col min="1" max="1" width="10.140625" bestFit="1" customWidth="1"/>
    <col min="3" max="3" width="9.140625" style="57"/>
    <col min="8" max="8" width="9.140625" style="56"/>
    <col min="10" max="10" width="9.140625" style="62"/>
  </cols>
  <sheetData>
    <row r="1" spans="1:14" x14ac:dyDescent="0.2">
      <c r="D1" s="60">
        <f>'facts premium'!DiscRate6</f>
        <v>5.6300000000000003E-2</v>
      </c>
      <c r="J1" s="73" t="s">
        <v>71</v>
      </c>
      <c r="K1" s="73"/>
    </row>
    <row r="2" spans="1:14" x14ac:dyDescent="0.2">
      <c r="B2" s="26" t="s">
        <v>47</v>
      </c>
      <c r="C2" s="57" t="s">
        <v>44</v>
      </c>
      <c r="D2" s="53" t="s">
        <v>46</v>
      </c>
      <c r="E2" s="53" t="s">
        <v>68</v>
      </c>
      <c r="F2" s="53" t="s">
        <v>70</v>
      </c>
      <c r="G2" s="55" t="s">
        <v>69</v>
      </c>
      <c r="H2" s="55" t="s">
        <v>67</v>
      </c>
      <c r="I2" s="26" t="s">
        <v>45</v>
      </c>
      <c r="J2" s="61" t="s">
        <v>44</v>
      </c>
      <c r="K2" s="27" t="s">
        <v>45</v>
      </c>
      <c r="L2" s="27"/>
      <c r="M2" s="53"/>
      <c r="N2" s="27"/>
    </row>
    <row r="3" spans="1:14" x14ac:dyDescent="0.2">
      <c r="A3" s="59">
        <v>35582</v>
      </c>
      <c r="B3">
        <v>1</v>
      </c>
      <c r="C3" s="58">
        <f>'facts premium'!H28</f>
        <v>300.13778682578987</v>
      </c>
      <c r="D3" s="33">
        <f>C3*DiscRate6/12</f>
        <v>1.6132406041886205</v>
      </c>
      <c r="E3" s="33">
        <f>'tax rev'!C3/1000000</f>
        <v>4.7314463768222623</v>
      </c>
      <c r="F3" s="33"/>
      <c r="G3" s="34">
        <f>facts!$B$6/facts!$B$7</f>
        <v>11.3</v>
      </c>
      <c r="H3" s="34"/>
      <c r="I3" s="7">
        <f t="shared" ref="I3:I34" si="0">C3+D3+E3+F3-G3-H3</f>
        <v>295.18247380680072</v>
      </c>
      <c r="J3" s="62">
        <v>360.32</v>
      </c>
      <c r="K3" s="7">
        <f t="shared" ref="K3:K34" si="1">J3+D3+F3-G3-H3</f>
        <v>350.63324060418859</v>
      </c>
    </row>
    <row r="4" spans="1:14" x14ac:dyDescent="0.2">
      <c r="A4" s="59"/>
      <c r="B4">
        <v>2</v>
      </c>
      <c r="C4" s="58">
        <f t="shared" ref="C4:C35" si="2">I3</f>
        <v>295.18247380680072</v>
      </c>
      <c r="D4" s="33">
        <f t="shared" ref="D4:D32" si="3">C4*DiscRate/12</f>
        <v>1.4021167505823033</v>
      </c>
      <c r="E4" s="33"/>
      <c r="F4" s="33"/>
      <c r="G4" s="34">
        <f>facts!$B$6/facts!$B$7</f>
        <v>11.3</v>
      </c>
      <c r="H4" s="54"/>
      <c r="I4" s="7">
        <f t="shared" si="0"/>
        <v>285.28459055738301</v>
      </c>
      <c r="J4" s="63">
        <f t="shared" ref="J4:J35" si="4">K3</f>
        <v>350.63324060418859</v>
      </c>
      <c r="K4" s="7">
        <f t="shared" si="1"/>
        <v>340.73535735477088</v>
      </c>
    </row>
    <row r="5" spans="1:14" x14ac:dyDescent="0.2">
      <c r="A5" s="59"/>
      <c r="B5">
        <v>3</v>
      </c>
      <c r="C5" s="58">
        <f t="shared" si="2"/>
        <v>285.28459055738301</v>
      </c>
      <c r="D5" s="33">
        <f t="shared" si="3"/>
        <v>1.3551018051475694</v>
      </c>
      <c r="E5" s="33"/>
      <c r="F5" s="33"/>
      <c r="G5" s="34">
        <f>facts!$B$6/facts!$B$7</f>
        <v>11.3</v>
      </c>
      <c r="H5" s="54"/>
      <c r="I5" s="7">
        <f t="shared" si="0"/>
        <v>275.33969236253057</v>
      </c>
      <c r="J5" s="63">
        <f t="shared" si="4"/>
        <v>340.73535735477088</v>
      </c>
      <c r="K5" s="7">
        <f t="shared" si="1"/>
        <v>330.79045915991844</v>
      </c>
    </row>
    <row r="6" spans="1:14" x14ac:dyDescent="0.2">
      <c r="A6" s="59"/>
      <c r="B6">
        <v>4</v>
      </c>
      <c r="C6" s="58">
        <f t="shared" si="2"/>
        <v>275.33969236253057</v>
      </c>
      <c r="D6" s="33">
        <f t="shared" si="3"/>
        <v>1.3078635387220203</v>
      </c>
      <c r="E6" s="33"/>
      <c r="F6" s="33"/>
      <c r="G6" s="34">
        <f>facts!$B$6/facts!$B$7</f>
        <v>11.3</v>
      </c>
      <c r="H6" s="54"/>
      <c r="I6" s="7">
        <f t="shared" si="0"/>
        <v>265.34755590125258</v>
      </c>
      <c r="J6" s="63">
        <f t="shared" si="4"/>
        <v>330.79045915991844</v>
      </c>
      <c r="K6" s="7">
        <f t="shared" si="1"/>
        <v>320.79832269864045</v>
      </c>
    </row>
    <row r="7" spans="1:14" x14ac:dyDescent="0.2">
      <c r="A7" s="59"/>
      <c r="B7">
        <v>5</v>
      </c>
      <c r="C7" s="58">
        <f t="shared" si="2"/>
        <v>265.34755590125258</v>
      </c>
      <c r="D7" s="33">
        <f t="shared" si="3"/>
        <v>1.2604008905309498</v>
      </c>
      <c r="E7" s="33"/>
      <c r="F7" s="33"/>
      <c r="G7" s="34">
        <f>facts!$B$6/facts!$B$7</f>
        <v>11.3</v>
      </c>
      <c r="H7" s="54"/>
      <c r="I7" s="7">
        <f t="shared" si="0"/>
        <v>255.30795679178351</v>
      </c>
      <c r="J7" s="63">
        <f t="shared" si="4"/>
        <v>320.79832269864045</v>
      </c>
      <c r="K7" s="7">
        <f t="shared" si="1"/>
        <v>310.75872358917138</v>
      </c>
    </row>
    <row r="8" spans="1:14" x14ac:dyDescent="0.2">
      <c r="A8" s="59">
        <v>35765</v>
      </c>
      <c r="B8">
        <v>6</v>
      </c>
      <c r="C8" s="58">
        <f t="shared" si="2"/>
        <v>255.30795679178351</v>
      </c>
      <c r="D8" s="33">
        <f t="shared" si="3"/>
        <v>1.2127127947609717</v>
      </c>
      <c r="E8" s="33">
        <v>19.89</v>
      </c>
      <c r="F8" s="33"/>
      <c r="G8" s="34">
        <f>facts!$B$6/facts!$B$7</f>
        <v>11.3</v>
      </c>
      <c r="H8" s="34">
        <f>'facts premium'!$C$28*'facts premium'!$H$16/2</f>
        <v>10.245060733613425</v>
      </c>
      <c r="I8" s="7">
        <f t="shared" si="0"/>
        <v>254.86560885293105</v>
      </c>
      <c r="J8" s="63">
        <f t="shared" si="4"/>
        <v>310.75872358917138</v>
      </c>
      <c r="K8" s="7">
        <f t="shared" si="1"/>
        <v>290.42637565031896</v>
      </c>
    </row>
    <row r="9" spans="1:14" x14ac:dyDescent="0.2">
      <c r="A9" s="59"/>
      <c r="B9">
        <v>7</v>
      </c>
      <c r="C9" s="58">
        <f t="shared" si="2"/>
        <v>254.86560885293105</v>
      </c>
      <c r="D9" s="33">
        <f t="shared" si="3"/>
        <v>1.2106116420514226</v>
      </c>
      <c r="E9" s="33"/>
      <c r="F9" s="33"/>
      <c r="G9" s="34">
        <f>facts!$B$6/facts!$B$7</f>
        <v>11.3</v>
      </c>
      <c r="H9" s="54"/>
      <c r="I9" s="7">
        <f t="shared" si="0"/>
        <v>244.77622049498245</v>
      </c>
      <c r="J9" s="63">
        <f t="shared" si="4"/>
        <v>290.42637565031896</v>
      </c>
      <c r="K9" s="7">
        <f t="shared" si="1"/>
        <v>280.3369872923704</v>
      </c>
    </row>
    <row r="10" spans="1:14" x14ac:dyDescent="0.2">
      <c r="A10" s="59"/>
      <c r="B10">
        <v>8</v>
      </c>
      <c r="C10" s="58">
        <f t="shared" si="2"/>
        <v>244.77622049498245</v>
      </c>
      <c r="D10" s="33">
        <f t="shared" si="3"/>
        <v>1.1626870473511668</v>
      </c>
      <c r="E10" s="33"/>
      <c r="F10" s="33"/>
      <c r="G10" s="34">
        <f>facts!$B$6/facts!$B$7</f>
        <v>11.3</v>
      </c>
      <c r="H10" s="54"/>
      <c r="I10" s="7">
        <f t="shared" si="0"/>
        <v>234.63890754233361</v>
      </c>
      <c r="J10" s="63">
        <f t="shared" si="4"/>
        <v>280.3369872923704</v>
      </c>
      <c r="K10" s="7">
        <f t="shared" si="1"/>
        <v>270.19967433972153</v>
      </c>
    </row>
    <row r="11" spans="1:14" x14ac:dyDescent="0.2">
      <c r="A11" s="59"/>
      <c r="B11">
        <v>9</v>
      </c>
      <c r="C11" s="58">
        <f t="shared" si="2"/>
        <v>234.63890754233361</v>
      </c>
      <c r="D11" s="33">
        <f t="shared" si="3"/>
        <v>1.1145348108260846</v>
      </c>
      <c r="E11" s="33"/>
      <c r="F11" s="33"/>
      <c r="G11" s="34">
        <f>facts!$B$6/facts!$B$7</f>
        <v>11.3</v>
      </c>
      <c r="H11" s="54"/>
      <c r="I11" s="7">
        <f t="shared" si="0"/>
        <v>224.45344235315969</v>
      </c>
      <c r="J11" s="63">
        <f t="shared" si="4"/>
        <v>270.19967433972153</v>
      </c>
      <c r="K11" s="7">
        <f t="shared" si="1"/>
        <v>260.01420915054757</v>
      </c>
    </row>
    <row r="12" spans="1:14" x14ac:dyDescent="0.2">
      <c r="A12" s="59"/>
      <c r="B12">
        <v>10</v>
      </c>
      <c r="C12" s="58">
        <f t="shared" si="2"/>
        <v>224.45344235315969</v>
      </c>
      <c r="D12" s="33">
        <f t="shared" si="3"/>
        <v>1.0661538511775086</v>
      </c>
      <c r="E12" s="33"/>
      <c r="F12" s="33"/>
      <c r="G12" s="34">
        <f>facts!$B$6/facts!$B$7</f>
        <v>11.3</v>
      </c>
      <c r="H12" s="54"/>
      <c r="I12" s="7">
        <f t="shared" si="0"/>
        <v>214.21959620433719</v>
      </c>
      <c r="J12" s="63">
        <f t="shared" si="4"/>
        <v>260.01420915054757</v>
      </c>
      <c r="K12" s="7">
        <f t="shared" si="1"/>
        <v>249.78036300172505</v>
      </c>
    </row>
    <row r="13" spans="1:14" x14ac:dyDescent="0.2">
      <c r="A13" s="59"/>
      <c r="B13">
        <v>11</v>
      </c>
      <c r="C13" s="58">
        <f t="shared" si="2"/>
        <v>214.21959620433719</v>
      </c>
      <c r="D13" s="33">
        <f t="shared" si="3"/>
        <v>1.0175430819706017</v>
      </c>
      <c r="E13" s="33"/>
      <c r="F13" s="33"/>
      <c r="G13" s="34">
        <f>facts!$B$6/facts!$B$7</f>
        <v>11.3</v>
      </c>
      <c r="H13" s="54"/>
      <c r="I13" s="7">
        <f t="shared" si="0"/>
        <v>203.9371392863078</v>
      </c>
      <c r="J13" s="63">
        <f t="shared" si="4"/>
        <v>249.78036300172505</v>
      </c>
      <c r="K13" s="7">
        <f t="shared" si="1"/>
        <v>239.49790608369565</v>
      </c>
    </row>
    <row r="14" spans="1:14" x14ac:dyDescent="0.2">
      <c r="A14" s="59">
        <v>35947</v>
      </c>
      <c r="B14">
        <v>12</v>
      </c>
      <c r="C14" s="58">
        <f t="shared" si="2"/>
        <v>203.9371392863078</v>
      </c>
      <c r="D14" s="33">
        <f t="shared" si="3"/>
        <v>0.96870141160996204</v>
      </c>
      <c r="E14" s="33"/>
      <c r="F14" s="33"/>
      <c r="G14" s="34">
        <f>facts!$B$6/facts!$B$7</f>
        <v>11.3</v>
      </c>
      <c r="H14" s="34">
        <f>'facts premium'!$C$28*'facts premium'!$H$16/2</f>
        <v>10.245060733613425</v>
      </c>
      <c r="I14" s="7">
        <f t="shared" si="0"/>
        <v>183.36077996430433</v>
      </c>
      <c r="J14" s="63">
        <f t="shared" si="4"/>
        <v>239.49790608369565</v>
      </c>
      <c r="K14" s="7">
        <f t="shared" si="1"/>
        <v>218.92154676169218</v>
      </c>
    </row>
    <row r="15" spans="1:14" x14ac:dyDescent="0.2">
      <c r="B15">
        <v>13</v>
      </c>
      <c r="C15" s="58">
        <f t="shared" si="2"/>
        <v>183.36077996430433</v>
      </c>
      <c r="D15" s="33">
        <f t="shared" si="3"/>
        <v>0.87096370483044561</v>
      </c>
      <c r="E15" s="33"/>
      <c r="F15" s="33"/>
      <c r="G15" s="34">
        <f>facts!$B$6/facts!$B$7</f>
        <v>11.3</v>
      </c>
      <c r="H15" s="34"/>
      <c r="I15" s="7">
        <f t="shared" si="0"/>
        <v>172.93174366913476</v>
      </c>
      <c r="J15" s="63">
        <f t="shared" si="4"/>
        <v>218.92154676169218</v>
      </c>
      <c r="K15" s="7">
        <f t="shared" si="1"/>
        <v>208.49251046652262</v>
      </c>
    </row>
    <row r="16" spans="1:14" x14ac:dyDescent="0.2">
      <c r="A16" s="59"/>
      <c r="B16">
        <v>14</v>
      </c>
      <c r="C16" s="58">
        <f t="shared" si="2"/>
        <v>172.93174366913476</v>
      </c>
      <c r="D16" s="33">
        <f t="shared" si="3"/>
        <v>0.82142578242839015</v>
      </c>
      <c r="E16" s="33"/>
      <c r="F16" s="33"/>
      <c r="G16" s="34">
        <f>facts!$B$6/facts!$B$7</f>
        <v>11.3</v>
      </c>
      <c r="H16" s="54"/>
      <c r="I16" s="7">
        <f t="shared" si="0"/>
        <v>162.45316945156313</v>
      </c>
      <c r="J16" s="63">
        <f t="shared" si="4"/>
        <v>208.49251046652262</v>
      </c>
      <c r="K16" s="7">
        <f t="shared" si="1"/>
        <v>198.01393624895098</v>
      </c>
    </row>
    <row r="17" spans="1:11" x14ac:dyDescent="0.2">
      <c r="A17" s="59"/>
      <c r="B17">
        <v>15</v>
      </c>
      <c r="C17" s="58">
        <f t="shared" si="2"/>
        <v>162.45316945156313</v>
      </c>
      <c r="D17" s="33">
        <f t="shared" si="3"/>
        <v>0.77165255489492479</v>
      </c>
      <c r="E17" s="33"/>
      <c r="F17" s="33"/>
      <c r="G17" s="34">
        <f>facts!$B$6/facts!$B$7</f>
        <v>11.3</v>
      </c>
      <c r="H17" s="54"/>
      <c r="I17" s="7">
        <f t="shared" si="0"/>
        <v>151.92482200645804</v>
      </c>
      <c r="J17" s="63">
        <f t="shared" si="4"/>
        <v>198.01393624895098</v>
      </c>
      <c r="K17" s="7">
        <f t="shared" si="1"/>
        <v>187.4855888038459</v>
      </c>
    </row>
    <row r="18" spans="1:11" x14ac:dyDescent="0.2">
      <c r="A18" s="59"/>
      <c r="B18">
        <v>16</v>
      </c>
      <c r="C18" s="58">
        <f t="shared" si="2"/>
        <v>151.92482200645804</v>
      </c>
      <c r="D18" s="33">
        <f t="shared" si="3"/>
        <v>0.7216429045306757</v>
      </c>
      <c r="E18" s="33"/>
      <c r="F18" s="33"/>
      <c r="G18" s="34">
        <f>facts!$B$6/facts!$B$7</f>
        <v>11.3</v>
      </c>
      <c r="H18" s="54"/>
      <c r="I18" s="7">
        <f t="shared" si="0"/>
        <v>141.34646491098871</v>
      </c>
      <c r="J18" s="63">
        <f t="shared" si="4"/>
        <v>187.4855888038459</v>
      </c>
      <c r="K18" s="7">
        <f t="shared" si="1"/>
        <v>176.90723170837657</v>
      </c>
    </row>
    <row r="19" spans="1:11" x14ac:dyDescent="0.2">
      <c r="A19" s="59"/>
      <c r="B19">
        <v>17</v>
      </c>
      <c r="C19" s="58">
        <f t="shared" si="2"/>
        <v>141.34646491098871</v>
      </c>
      <c r="D19" s="33">
        <f t="shared" si="3"/>
        <v>0.67139570832719642</v>
      </c>
      <c r="E19" s="33"/>
      <c r="F19" s="33"/>
      <c r="G19" s="34">
        <f>facts!$B$6/facts!$B$7</f>
        <v>11.3</v>
      </c>
      <c r="H19" s="54"/>
      <c r="I19" s="7">
        <f t="shared" si="0"/>
        <v>130.7178606193159</v>
      </c>
      <c r="J19" s="63">
        <f t="shared" si="4"/>
        <v>176.90723170837657</v>
      </c>
      <c r="K19" s="7">
        <f t="shared" si="1"/>
        <v>166.27862741670376</v>
      </c>
    </row>
    <row r="20" spans="1:11" x14ac:dyDescent="0.2">
      <c r="A20" s="59">
        <v>36130</v>
      </c>
      <c r="B20">
        <v>18</v>
      </c>
      <c r="C20" s="58">
        <f t="shared" si="2"/>
        <v>130.7178606193159</v>
      </c>
      <c r="D20" s="33">
        <f t="shared" si="3"/>
        <v>0.62090983794175048</v>
      </c>
      <c r="E20" s="33">
        <v>20.43</v>
      </c>
      <c r="F20" s="33"/>
      <c r="G20" s="34">
        <f>facts!$B$6/facts!$B$7</f>
        <v>11.3</v>
      </c>
      <c r="H20" s="34">
        <f>'facts premium'!$C$28*'facts premium'!$H$16/2</f>
        <v>10.245060733613425</v>
      </c>
      <c r="I20" s="7">
        <f t="shared" si="0"/>
        <v>130.22370972364422</v>
      </c>
      <c r="J20" s="63">
        <f t="shared" si="4"/>
        <v>166.27862741670376</v>
      </c>
      <c r="K20" s="7">
        <f t="shared" si="1"/>
        <v>145.35447652103207</v>
      </c>
    </row>
    <row r="21" spans="1:11" x14ac:dyDescent="0.2">
      <c r="A21" s="59"/>
      <c r="B21">
        <v>19</v>
      </c>
      <c r="C21" s="58">
        <f t="shared" si="2"/>
        <v>130.22370972364422</v>
      </c>
      <c r="D21" s="33">
        <f t="shared" si="3"/>
        <v>0.61856262118731009</v>
      </c>
      <c r="E21" s="33"/>
      <c r="F21" s="33"/>
      <c r="G21" s="34">
        <f>facts!$B$6/facts!$B$7</f>
        <v>11.3</v>
      </c>
      <c r="H21" s="54"/>
      <c r="I21" s="7">
        <f t="shared" si="0"/>
        <v>119.54227234483155</v>
      </c>
      <c r="J21" s="63">
        <f t="shared" si="4"/>
        <v>145.35447652103207</v>
      </c>
      <c r="K21" s="7">
        <f t="shared" si="1"/>
        <v>134.67303914221938</v>
      </c>
    </row>
    <row r="22" spans="1:11" x14ac:dyDescent="0.2">
      <c r="A22" s="59"/>
      <c r="B22">
        <v>20</v>
      </c>
      <c r="C22" s="58">
        <f t="shared" si="2"/>
        <v>119.54227234483155</v>
      </c>
      <c r="D22" s="33">
        <f t="shared" si="3"/>
        <v>0.56782579363794983</v>
      </c>
      <c r="E22" s="33"/>
      <c r="F22" s="33"/>
      <c r="G22" s="34">
        <f>facts!$B$6/facts!$B$7</f>
        <v>11.3</v>
      </c>
      <c r="H22" s="54"/>
      <c r="I22" s="7">
        <f t="shared" si="0"/>
        <v>108.8100981384695</v>
      </c>
      <c r="J22" s="63">
        <f t="shared" si="4"/>
        <v>134.67303914221938</v>
      </c>
      <c r="K22" s="7">
        <f t="shared" si="1"/>
        <v>123.94086493585733</v>
      </c>
    </row>
    <row r="23" spans="1:11" x14ac:dyDescent="0.2">
      <c r="A23" s="59"/>
      <c r="B23">
        <v>21</v>
      </c>
      <c r="C23" s="58">
        <f t="shared" si="2"/>
        <v>108.8100981384695</v>
      </c>
      <c r="D23" s="33">
        <f t="shared" si="3"/>
        <v>0.51684796615773021</v>
      </c>
      <c r="E23" s="33"/>
      <c r="F23" s="33"/>
      <c r="G23" s="34">
        <f>facts!$B$6/facts!$B$7</f>
        <v>11.3</v>
      </c>
      <c r="H23" s="54"/>
      <c r="I23" s="7">
        <f t="shared" si="0"/>
        <v>98.026946104627228</v>
      </c>
      <c r="J23" s="63">
        <f t="shared" si="4"/>
        <v>123.94086493585733</v>
      </c>
      <c r="K23" s="7">
        <f t="shared" si="1"/>
        <v>113.15771290201506</v>
      </c>
    </row>
    <row r="24" spans="1:11" x14ac:dyDescent="0.2">
      <c r="A24" s="59"/>
      <c r="B24">
        <v>22</v>
      </c>
      <c r="C24" s="58">
        <f t="shared" si="2"/>
        <v>98.026946104627228</v>
      </c>
      <c r="D24" s="33">
        <f t="shared" si="3"/>
        <v>0.46562799399697935</v>
      </c>
      <c r="E24" s="33"/>
      <c r="F24" s="33"/>
      <c r="G24" s="34">
        <f>facts!$B$6/facts!$B$7</f>
        <v>11.3</v>
      </c>
      <c r="H24" s="54"/>
      <c r="I24" s="7">
        <f t="shared" si="0"/>
        <v>87.192574098624206</v>
      </c>
      <c r="J24" s="63">
        <f t="shared" si="4"/>
        <v>113.15771290201506</v>
      </c>
      <c r="K24" s="7">
        <f t="shared" si="1"/>
        <v>102.32334089601204</v>
      </c>
    </row>
    <row r="25" spans="1:11" x14ac:dyDescent="0.2">
      <c r="A25" s="59"/>
      <c r="B25">
        <v>23</v>
      </c>
      <c r="C25" s="58">
        <f t="shared" si="2"/>
        <v>87.192574098624206</v>
      </c>
      <c r="D25" s="33">
        <f t="shared" si="3"/>
        <v>0.41416472696846496</v>
      </c>
      <c r="E25" s="33"/>
      <c r="F25" s="33"/>
      <c r="G25" s="34">
        <f>facts!$B$6/facts!$B$7</f>
        <v>11.3</v>
      </c>
      <c r="H25" s="54"/>
      <c r="I25" s="7">
        <f t="shared" si="0"/>
        <v>76.306738825592674</v>
      </c>
      <c r="J25" s="63">
        <f t="shared" si="4"/>
        <v>102.32334089601204</v>
      </c>
      <c r="K25" s="7">
        <f t="shared" si="1"/>
        <v>91.43750562298051</v>
      </c>
    </row>
    <row r="26" spans="1:11" x14ac:dyDescent="0.2">
      <c r="A26" s="59">
        <v>36312</v>
      </c>
      <c r="B26">
        <v>24</v>
      </c>
      <c r="C26" s="58">
        <f t="shared" si="2"/>
        <v>76.306738825592674</v>
      </c>
      <c r="D26" s="33">
        <f t="shared" si="3"/>
        <v>0.36245700942156517</v>
      </c>
      <c r="E26" s="33"/>
      <c r="F26" s="33">
        <v>0.35</v>
      </c>
      <c r="G26" s="34">
        <f>facts!$B$6/facts!$B$7</f>
        <v>11.3</v>
      </c>
      <c r="H26" s="34">
        <f>'facts premium'!$C$28*'facts premium'!$H$16/2</f>
        <v>10.245060733613425</v>
      </c>
      <c r="I26" s="7">
        <f t="shared" si="0"/>
        <v>55.474135101400805</v>
      </c>
      <c r="J26" s="63">
        <f t="shared" si="4"/>
        <v>91.43750562298051</v>
      </c>
      <c r="K26" s="7">
        <f t="shared" si="1"/>
        <v>70.60490189878864</v>
      </c>
    </row>
    <row r="27" spans="1:11" x14ac:dyDescent="0.2">
      <c r="B27">
        <v>25</v>
      </c>
      <c r="C27" s="58">
        <f t="shared" si="2"/>
        <v>55.474135101400805</v>
      </c>
      <c r="D27" s="33">
        <f t="shared" si="3"/>
        <v>0.26350214173165382</v>
      </c>
      <c r="E27" s="33"/>
      <c r="F27" s="33"/>
      <c r="G27" s="34">
        <f>facts!$B$6/facts!$B$7</f>
        <v>11.3</v>
      </c>
      <c r="H27" s="34"/>
      <c r="I27" s="7">
        <f t="shared" si="0"/>
        <v>44.437637243132457</v>
      </c>
      <c r="J27" s="63">
        <f t="shared" si="4"/>
        <v>70.60490189878864</v>
      </c>
      <c r="K27" s="7">
        <f t="shared" si="1"/>
        <v>59.568404040520292</v>
      </c>
    </row>
    <row r="28" spans="1:11" x14ac:dyDescent="0.2">
      <c r="A28" s="59"/>
      <c r="B28">
        <v>26</v>
      </c>
      <c r="C28" s="58">
        <f t="shared" si="2"/>
        <v>44.437637243132457</v>
      </c>
      <c r="D28" s="33">
        <f t="shared" si="3"/>
        <v>0.2110787769048792</v>
      </c>
      <c r="E28" s="33"/>
      <c r="F28" s="33"/>
      <c r="G28" s="34">
        <f>facts!$B$6/facts!$B$7</f>
        <v>11.3</v>
      </c>
      <c r="H28" s="54"/>
      <c r="I28" s="7">
        <f t="shared" si="0"/>
        <v>33.34871602003733</v>
      </c>
      <c r="J28" s="63">
        <f t="shared" si="4"/>
        <v>59.568404040520292</v>
      </c>
      <c r="K28" s="7">
        <f t="shared" si="1"/>
        <v>48.479482817425165</v>
      </c>
    </row>
    <row r="29" spans="1:11" x14ac:dyDescent="0.2">
      <c r="A29" s="59"/>
      <c r="B29">
        <v>27</v>
      </c>
      <c r="C29" s="58">
        <f t="shared" si="2"/>
        <v>33.34871602003733</v>
      </c>
      <c r="D29" s="33">
        <f t="shared" si="3"/>
        <v>0.15840640109517731</v>
      </c>
      <c r="E29" s="33"/>
      <c r="F29" s="33"/>
      <c r="G29" s="34">
        <f>facts!$B$6/facts!$B$7</f>
        <v>11.3</v>
      </c>
      <c r="H29" s="54"/>
      <c r="I29" s="7">
        <f t="shared" si="0"/>
        <v>22.207122421132507</v>
      </c>
      <c r="J29" s="63">
        <f t="shared" si="4"/>
        <v>48.479482817425165</v>
      </c>
      <c r="K29" s="7">
        <f t="shared" si="1"/>
        <v>37.337889218520345</v>
      </c>
    </row>
    <row r="30" spans="1:11" x14ac:dyDescent="0.2">
      <c r="A30" s="59"/>
      <c r="B30">
        <v>28</v>
      </c>
      <c r="C30" s="58">
        <f t="shared" si="2"/>
        <v>22.207122421132507</v>
      </c>
      <c r="D30" s="33">
        <f t="shared" si="3"/>
        <v>0.10548383150037942</v>
      </c>
      <c r="E30" s="33"/>
      <c r="F30" s="33"/>
      <c r="G30" s="34">
        <f>facts!$B$6/facts!$B$7</f>
        <v>11.3</v>
      </c>
      <c r="H30" s="54"/>
      <c r="I30" s="7">
        <f t="shared" si="0"/>
        <v>11.012606252632885</v>
      </c>
      <c r="J30" s="63">
        <f t="shared" si="4"/>
        <v>37.337889218520345</v>
      </c>
      <c r="K30" s="7">
        <f t="shared" si="1"/>
        <v>26.143373050020724</v>
      </c>
    </row>
    <row r="31" spans="1:11" x14ac:dyDescent="0.2">
      <c r="A31" s="59"/>
      <c r="B31">
        <v>29</v>
      </c>
      <c r="C31" s="58">
        <f t="shared" si="2"/>
        <v>11.012606252632885</v>
      </c>
      <c r="D31" s="33">
        <f t="shared" si="3"/>
        <v>5.2309879700006202E-2</v>
      </c>
      <c r="E31" s="33"/>
      <c r="F31" s="33"/>
      <c r="G31" s="34">
        <f>facts!$B$6/facts!$B$7</f>
        <v>11.3</v>
      </c>
      <c r="H31" s="54"/>
      <c r="I31" s="7">
        <f t="shared" si="0"/>
        <v>-0.2350838676671092</v>
      </c>
      <c r="J31" s="63">
        <f t="shared" si="4"/>
        <v>26.143373050020724</v>
      </c>
      <c r="K31" s="7">
        <f t="shared" si="1"/>
        <v>14.895682929720728</v>
      </c>
    </row>
    <row r="32" spans="1:11" x14ac:dyDescent="0.2">
      <c r="A32" s="59">
        <v>36495</v>
      </c>
      <c r="B32">
        <v>30</v>
      </c>
      <c r="C32" s="58">
        <f t="shared" si="2"/>
        <v>-0.2350838676671092</v>
      </c>
      <c r="D32" s="33">
        <f t="shared" si="3"/>
        <v>-1.1166483714187688E-3</v>
      </c>
      <c r="E32" s="33">
        <v>24.715328</v>
      </c>
      <c r="F32" s="33">
        <v>0.35</v>
      </c>
      <c r="G32" s="34">
        <f>facts!$B$6/facts!$B$7</f>
        <v>11.3</v>
      </c>
      <c r="H32" s="34">
        <f>'facts premium'!$C$28*'facts premium'!$H$16/2</f>
        <v>10.245060733613425</v>
      </c>
      <c r="I32" s="7">
        <f t="shared" si="0"/>
        <v>3.2840667503480461</v>
      </c>
      <c r="J32" s="63">
        <f t="shared" si="4"/>
        <v>14.895682929720728</v>
      </c>
      <c r="K32" s="7">
        <f t="shared" si="1"/>
        <v>-6.3004944522641164</v>
      </c>
    </row>
    <row r="33" spans="1:11" x14ac:dyDescent="0.2">
      <c r="A33" s="59">
        <v>36678</v>
      </c>
      <c r="B33">
        <v>36</v>
      </c>
      <c r="C33" s="58">
        <f t="shared" si="2"/>
        <v>3.2840667503480461</v>
      </c>
      <c r="D33" s="33">
        <f t="shared" ref="D33:D70" si="5">C33*DiscRate/2</f>
        <v>9.3595902384919313E-2</v>
      </c>
      <c r="E33" s="33"/>
      <c r="F33" s="33">
        <v>0.35</v>
      </c>
      <c r="G33" s="34"/>
      <c r="H33" s="34">
        <f>'facts premium'!$C$28*'facts premium'!$H$16/2</f>
        <v>10.245060733613425</v>
      </c>
      <c r="I33" s="7">
        <f t="shared" si="0"/>
        <v>-6.5173980808804597</v>
      </c>
      <c r="J33" s="63">
        <f t="shared" si="4"/>
        <v>-6.3004944522641164</v>
      </c>
      <c r="K33" s="7">
        <f t="shared" si="1"/>
        <v>-16.101959283492622</v>
      </c>
    </row>
    <row r="34" spans="1:11" x14ac:dyDescent="0.2">
      <c r="A34" s="59">
        <v>36861</v>
      </c>
      <c r="B34">
        <v>42</v>
      </c>
      <c r="C34" s="58">
        <f t="shared" si="2"/>
        <v>-6.5173980808804597</v>
      </c>
      <c r="D34" s="33">
        <f t="shared" si="5"/>
        <v>-0.18574584530509311</v>
      </c>
      <c r="E34" s="33">
        <v>25.091313</v>
      </c>
      <c r="F34" s="33">
        <v>0.35</v>
      </c>
      <c r="G34" s="34"/>
      <c r="H34" s="34">
        <f>'facts premium'!$C$28*'facts premium'!$H$16/2</f>
        <v>10.245060733613425</v>
      </c>
      <c r="I34" s="7">
        <f t="shared" si="0"/>
        <v>8.4931083402010223</v>
      </c>
      <c r="J34" s="63">
        <f t="shared" si="4"/>
        <v>-16.101959283492622</v>
      </c>
      <c r="K34" s="7">
        <f t="shared" si="1"/>
        <v>-26.182765862411138</v>
      </c>
    </row>
    <row r="35" spans="1:11" x14ac:dyDescent="0.2">
      <c r="A35" s="59">
        <f t="shared" ref="A35:A70" si="6">A34+366/2</f>
        <v>37044</v>
      </c>
      <c r="B35">
        <v>48</v>
      </c>
      <c r="C35" s="58">
        <f t="shared" si="2"/>
        <v>8.4931083402010223</v>
      </c>
      <c r="D35" s="33">
        <f t="shared" si="5"/>
        <v>0.24205358769572916</v>
      </c>
      <c r="E35" s="33"/>
      <c r="F35" s="33">
        <v>0.35</v>
      </c>
      <c r="G35" s="34"/>
      <c r="H35" s="34">
        <f>'facts premium'!$C$28*'facts premium'!$H$16/2</f>
        <v>10.245060733613425</v>
      </c>
      <c r="I35" s="7">
        <f t="shared" ref="I35:I66" si="7">C35+D35+E35+F35-G35-H35</f>
        <v>-1.1598988057166739</v>
      </c>
      <c r="J35" s="63">
        <f t="shared" si="4"/>
        <v>-26.182765862411138</v>
      </c>
      <c r="K35" s="7">
        <f t="shared" ref="K35:K66" si="8">J35+D35+F35-G35-H35</f>
        <v>-35.835773008328829</v>
      </c>
    </row>
    <row r="36" spans="1:11" x14ac:dyDescent="0.2">
      <c r="A36" s="59">
        <f t="shared" si="6"/>
        <v>37227</v>
      </c>
      <c r="B36">
        <v>54</v>
      </c>
      <c r="C36" s="58">
        <f t="shared" ref="C36:C70" si="9">I35</f>
        <v>-1.1598988057166739</v>
      </c>
      <c r="D36" s="33">
        <f t="shared" si="5"/>
        <v>-3.305711596292521E-2</v>
      </c>
      <c r="E36" s="33">
        <v>25.488810000000001</v>
      </c>
      <c r="F36" s="33">
        <v>0.35</v>
      </c>
      <c r="G36" s="34"/>
      <c r="H36" s="34">
        <f>'facts premium'!$C$28*'facts premium'!$H$16/2</f>
        <v>10.245060733613425</v>
      </c>
      <c r="I36" s="7">
        <f t="shared" si="7"/>
        <v>14.40079334470698</v>
      </c>
      <c r="J36" s="63">
        <f t="shared" ref="J36:J70" si="10">K35</f>
        <v>-35.835773008328829</v>
      </c>
      <c r="K36" s="7">
        <f t="shared" si="8"/>
        <v>-45.763890857905182</v>
      </c>
    </row>
    <row r="37" spans="1:11" x14ac:dyDescent="0.2">
      <c r="A37" s="59">
        <f t="shared" si="6"/>
        <v>37410</v>
      </c>
      <c r="B37">
        <v>60</v>
      </c>
      <c r="C37" s="58">
        <f t="shared" si="9"/>
        <v>14.40079334470698</v>
      </c>
      <c r="D37" s="33">
        <f t="shared" si="5"/>
        <v>0.41042261032414895</v>
      </c>
      <c r="E37" s="33"/>
      <c r="F37" s="33">
        <v>0.35</v>
      </c>
      <c r="G37" s="34"/>
      <c r="H37" s="34">
        <f>'facts premium'!$C$28*'facts premium'!$H$16/2</f>
        <v>10.245060733613425</v>
      </c>
      <c r="I37" s="7">
        <f t="shared" si="7"/>
        <v>4.9161552214177036</v>
      </c>
      <c r="J37" s="63">
        <f t="shared" si="10"/>
        <v>-45.763890857905182</v>
      </c>
      <c r="K37" s="7">
        <f t="shared" si="8"/>
        <v>-55.248528981194454</v>
      </c>
    </row>
    <row r="38" spans="1:11" x14ac:dyDescent="0.2">
      <c r="A38" s="59">
        <f t="shared" si="6"/>
        <v>37593</v>
      </c>
      <c r="B38">
        <v>66</v>
      </c>
      <c r="C38" s="58">
        <f t="shared" si="9"/>
        <v>4.9161552214177036</v>
      </c>
      <c r="D38" s="33">
        <f t="shared" si="5"/>
        <v>0.14011042381040456</v>
      </c>
      <c r="E38" s="33">
        <v>26.244264999999999</v>
      </c>
      <c r="F38" s="33">
        <v>0.35</v>
      </c>
      <c r="G38" s="34"/>
      <c r="H38" s="34">
        <f>'facts premium'!$C$28*'facts premium'!$H$16/2</f>
        <v>10.245060733613425</v>
      </c>
      <c r="I38" s="7">
        <f t="shared" si="7"/>
        <v>21.405469911614684</v>
      </c>
      <c r="J38" s="63">
        <f t="shared" si="10"/>
        <v>-55.248528981194454</v>
      </c>
      <c r="K38" s="7">
        <f t="shared" si="8"/>
        <v>-65.003479290997475</v>
      </c>
    </row>
    <row r="39" spans="1:11" x14ac:dyDescent="0.2">
      <c r="A39" s="59">
        <f t="shared" si="6"/>
        <v>37776</v>
      </c>
      <c r="B39">
        <v>72</v>
      </c>
      <c r="C39" s="58">
        <f t="shared" si="9"/>
        <v>21.405469911614684</v>
      </c>
      <c r="D39" s="33">
        <f t="shared" si="5"/>
        <v>0.61005589248101855</v>
      </c>
      <c r="E39" s="33"/>
      <c r="F39" s="33">
        <v>0.35</v>
      </c>
      <c r="G39" s="34"/>
      <c r="H39" s="34">
        <f>'facts premium'!$C$28*'facts premium'!$H$16/2</f>
        <v>10.245060733613425</v>
      </c>
      <c r="I39" s="7">
        <f t="shared" si="7"/>
        <v>12.120465070482279</v>
      </c>
      <c r="J39" s="63">
        <f t="shared" si="10"/>
        <v>-65.003479290997475</v>
      </c>
      <c r="K39" s="7">
        <f t="shared" si="8"/>
        <v>-74.288484132129895</v>
      </c>
    </row>
    <row r="40" spans="1:11" x14ac:dyDescent="0.2">
      <c r="A40" s="59">
        <f t="shared" si="6"/>
        <v>37959</v>
      </c>
      <c r="B40">
        <v>78</v>
      </c>
      <c r="C40" s="58">
        <f t="shared" si="9"/>
        <v>12.120465070482279</v>
      </c>
      <c r="D40" s="33">
        <f t="shared" si="5"/>
        <v>0.34543325450874496</v>
      </c>
      <c r="E40" s="33">
        <v>27.316483999999999</v>
      </c>
      <c r="F40" s="33">
        <v>0.35</v>
      </c>
      <c r="G40" s="34"/>
      <c r="H40" s="34">
        <f>'facts premium'!$C$28*'facts premium'!$H$16/2</f>
        <v>10.245060733613425</v>
      </c>
      <c r="I40" s="7">
        <f t="shared" si="7"/>
        <v>29.887321591377596</v>
      </c>
      <c r="J40" s="63">
        <f t="shared" si="10"/>
        <v>-74.288484132129895</v>
      </c>
      <c r="K40" s="7">
        <f t="shared" si="8"/>
        <v>-83.838111611234581</v>
      </c>
    </row>
    <row r="41" spans="1:11" x14ac:dyDescent="0.2">
      <c r="A41" s="59">
        <f t="shared" si="6"/>
        <v>38142</v>
      </c>
      <c r="B41">
        <v>84</v>
      </c>
      <c r="C41" s="58">
        <f t="shared" si="9"/>
        <v>29.887321591377596</v>
      </c>
      <c r="D41" s="33">
        <f t="shared" si="5"/>
        <v>0.85178866535426156</v>
      </c>
      <c r="E41" s="33"/>
      <c r="F41" s="33">
        <v>0.35</v>
      </c>
      <c r="G41" s="34"/>
      <c r="H41" s="34">
        <f>'facts premium'!$C$28*'facts premium'!$H$16/2</f>
        <v>10.245060733613425</v>
      </c>
      <c r="I41" s="7">
        <f t="shared" si="7"/>
        <v>20.844049523118436</v>
      </c>
      <c r="J41" s="63">
        <f t="shared" si="10"/>
        <v>-83.838111611234581</v>
      </c>
      <c r="K41" s="7">
        <f t="shared" si="8"/>
        <v>-92.881383679493752</v>
      </c>
    </row>
    <row r="42" spans="1:11" x14ac:dyDescent="0.2">
      <c r="A42" s="59">
        <f t="shared" si="6"/>
        <v>38325</v>
      </c>
      <c r="B42">
        <v>90</v>
      </c>
      <c r="C42" s="58">
        <f t="shared" si="9"/>
        <v>20.844049523118436</v>
      </c>
      <c r="D42" s="33">
        <f t="shared" si="5"/>
        <v>0.59405541140887541</v>
      </c>
      <c r="E42" s="33">
        <v>28.432511999999999</v>
      </c>
      <c r="F42" s="33">
        <v>0.35</v>
      </c>
      <c r="G42" s="34"/>
      <c r="H42" s="34">
        <f>'facts premium'!$C$28*'facts premium'!$H$16/2</f>
        <v>10.245060733613425</v>
      </c>
      <c r="I42" s="7">
        <f t="shared" si="7"/>
        <v>39.975556200913886</v>
      </c>
      <c r="J42" s="63">
        <f t="shared" si="10"/>
        <v>-92.881383679493752</v>
      </c>
      <c r="K42" s="7">
        <f t="shared" si="8"/>
        <v>-102.18238900169831</v>
      </c>
    </row>
    <row r="43" spans="1:11" x14ac:dyDescent="0.2">
      <c r="A43" s="59">
        <f t="shared" si="6"/>
        <v>38508</v>
      </c>
      <c r="B43">
        <v>96</v>
      </c>
      <c r="C43" s="58">
        <f t="shared" si="9"/>
        <v>39.975556200913886</v>
      </c>
      <c r="D43" s="33">
        <f t="shared" si="5"/>
        <v>1.1393033517260458</v>
      </c>
      <c r="E43" s="33"/>
      <c r="F43" s="33">
        <v>0.35</v>
      </c>
      <c r="G43" s="34"/>
      <c r="H43" s="34">
        <f>'facts premium'!$C$28*'facts premium'!$H$16/2</f>
        <v>10.245060733613425</v>
      </c>
      <c r="I43" s="7">
        <f t="shared" si="7"/>
        <v>31.219798819026511</v>
      </c>
      <c r="J43" s="63">
        <f t="shared" si="10"/>
        <v>-102.18238900169831</v>
      </c>
      <c r="K43" s="7">
        <f t="shared" si="8"/>
        <v>-110.9381463835857</v>
      </c>
    </row>
    <row r="44" spans="1:11" x14ac:dyDescent="0.2">
      <c r="A44" s="59">
        <f t="shared" si="6"/>
        <v>38691</v>
      </c>
      <c r="B44">
        <v>102</v>
      </c>
      <c r="C44" s="58">
        <f t="shared" si="9"/>
        <v>31.219798819026511</v>
      </c>
      <c r="D44" s="33">
        <f t="shared" si="5"/>
        <v>0.88976426634225558</v>
      </c>
      <c r="E44" s="33">
        <v>29.594138999999998</v>
      </c>
      <c r="F44" s="33">
        <v>0.35</v>
      </c>
      <c r="G44" s="34"/>
      <c r="H44" s="34">
        <f>'facts premium'!$C$28*'facts premium'!$H$16/2</f>
        <v>10.245060733613425</v>
      </c>
      <c r="I44" s="7">
        <f t="shared" si="7"/>
        <v>51.808641351755341</v>
      </c>
      <c r="J44" s="63">
        <f t="shared" si="10"/>
        <v>-110.9381463835857</v>
      </c>
      <c r="K44" s="7">
        <f t="shared" si="8"/>
        <v>-119.94344285085688</v>
      </c>
    </row>
    <row r="45" spans="1:11" x14ac:dyDescent="0.2">
      <c r="A45" s="59">
        <f t="shared" si="6"/>
        <v>38874</v>
      </c>
      <c r="B45">
        <v>108</v>
      </c>
      <c r="C45" s="58">
        <f t="shared" si="9"/>
        <v>51.808641351755341</v>
      </c>
      <c r="D45" s="33">
        <f t="shared" si="5"/>
        <v>1.4765462785250272</v>
      </c>
      <c r="E45" s="33"/>
      <c r="F45" s="33">
        <v>0.35</v>
      </c>
      <c r="G45" s="34"/>
      <c r="H45" s="34">
        <f>'facts premium'!$C$28*'facts premium'!$H$16/2</f>
        <v>10.245060733613425</v>
      </c>
      <c r="I45" s="7">
        <f t="shared" si="7"/>
        <v>43.390126896666942</v>
      </c>
      <c r="J45" s="63">
        <f t="shared" si="10"/>
        <v>-119.94344285085688</v>
      </c>
      <c r="K45" s="7">
        <f t="shared" si="8"/>
        <v>-128.36195730594528</v>
      </c>
    </row>
    <row r="46" spans="1:11" x14ac:dyDescent="0.2">
      <c r="A46" s="59">
        <f t="shared" si="6"/>
        <v>39057</v>
      </c>
      <c r="B46">
        <v>114</v>
      </c>
      <c r="C46" s="58">
        <f t="shared" si="9"/>
        <v>43.390126896666942</v>
      </c>
      <c r="D46" s="33">
        <f t="shared" si="5"/>
        <v>1.2366186165550079</v>
      </c>
      <c r="E46" s="33">
        <v>30.803229000000002</v>
      </c>
      <c r="F46" s="33">
        <v>0.35</v>
      </c>
      <c r="G46" s="34"/>
      <c r="H46" s="34">
        <f>'facts premium'!$C$28*'facts premium'!$H$16/2</f>
        <v>10.245060733613425</v>
      </c>
      <c r="I46" s="7">
        <f t="shared" si="7"/>
        <v>65.534913779608516</v>
      </c>
      <c r="J46" s="63">
        <f t="shared" si="10"/>
        <v>-128.36195730594528</v>
      </c>
      <c r="K46" s="7">
        <f t="shared" si="8"/>
        <v>-137.02039942300371</v>
      </c>
    </row>
    <row r="47" spans="1:11" x14ac:dyDescent="0.2">
      <c r="A47" s="59">
        <f t="shared" si="6"/>
        <v>39240</v>
      </c>
      <c r="B47">
        <v>120</v>
      </c>
      <c r="C47" s="58">
        <f t="shared" si="9"/>
        <v>65.534913779608516</v>
      </c>
      <c r="D47" s="33">
        <f t="shared" si="5"/>
        <v>1.8677450427188427</v>
      </c>
      <c r="E47" s="33"/>
      <c r="F47" s="33">
        <v>0.35</v>
      </c>
      <c r="G47" s="34"/>
      <c r="H47" s="34">
        <f>'facts premium'!$C$28*'facts premium'!$H$16/2</f>
        <v>10.245060733613425</v>
      </c>
      <c r="I47" s="7">
        <f t="shared" si="7"/>
        <v>57.50759808871392</v>
      </c>
      <c r="J47" s="63">
        <f t="shared" si="10"/>
        <v>-137.02039942300371</v>
      </c>
      <c r="K47" s="7">
        <f t="shared" si="8"/>
        <v>-145.04771511389831</v>
      </c>
    </row>
    <row r="48" spans="1:11" x14ac:dyDescent="0.2">
      <c r="A48" s="59">
        <f t="shared" si="6"/>
        <v>39423</v>
      </c>
      <c r="B48">
        <v>126</v>
      </c>
      <c r="C48" s="58">
        <f t="shared" si="9"/>
        <v>57.50759808871392</v>
      </c>
      <c r="D48" s="33">
        <f t="shared" si="5"/>
        <v>1.6389665455283469</v>
      </c>
      <c r="E48" s="33">
        <v>32.061720000000001</v>
      </c>
      <c r="F48" s="33">
        <v>0.35</v>
      </c>
      <c r="G48" s="34"/>
      <c r="H48" s="34">
        <f>'facts premium'!$C$28*'facts premium'!$H$16/2</f>
        <v>10.245060733613425</v>
      </c>
      <c r="I48" s="7">
        <f t="shared" si="7"/>
        <v>81.313223900628827</v>
      </c>
      <c r="J48" s="63">
        <f t="shared" si="10"/>
        <v>-145.04771511389831</v>
      </c>
      <c r="K48" s="7">
        <f t="shared" si="8"/>
        <v>-153.30380930198339</v>
      </c>
    </row>
    <row r="49" spans="1:11" x14ac:dyDescent="0.2">
      <c r="A49" s="59">
        <f t="shared" si="6"/>
        <v>39606</v>
      </c>
      <c r="B49">
        <v>132</v>
      </c>
      <c r="C49" s="58">
        <f t="shared" si="9"/>
        <v>81.313223900628827</v>
      </c>
      <c r="D49" s="33">
        <f t="shared" si="5"/>
        <v>2.3174268811679215</v>
      </c>
      <c r="E49" s="33"/>
      <c r="F49" s="33">
        <v>0.35</v>
      </c>
      <c r="G49" s="34"/>
      <c r="H49" s="34">
        <f>'facts premium'!$C$28*'facts premium'!$H$16/2</f>
        <v>10.245060733613425</v>
      </c>
      <c r="I49" s="7">
        <f t="shared" si="7"/>
        <v>73.735590048183312</v>
      </c>
      <c r="J49" s="63">
        <f t="shared" si="10"/>
        <v>-153.30380930198339</v>
      </c>
      <c r="K49" s="7">
        <f t="shared" si="8"/>
        <v>-160.88144315442889</v>
      </c>
    </row>
    <row r="50" spans="1:11" x14ac:dyDescent="0.2">
      <c r="A50" s="59">
        <f t="shared" si="6"/>
        <v>39789</v>
      </c>
      <c r="B50">
        <v>138</v>
      </c>
      <c r="C50" s="58">
        <f t="shared" si="9"/>
        <v>73.735590048183312</v>
      </c>
      <c r="D50" s="33">
        <f t="shared" si="5"/>
        <v>2.1014643163732245</v>
      </c>
      <c r="E50" s="33">
        <v>33.371633000000003</v>
      </c>
      <c r="F50" s="33">
        <v>0.35</v>
      </c>
      <c r="G50" s="34"/>
      <c r="H50" s="34">
        <f>'facts premium'!$C$28*'facts premium'!$H$16/2</f>
        <v>10.245060733613425</v>
      </c>
      <c r="I50" s="7">
        <f t="shared" si="7"/>
        <v>99.313626630943105</v>
      </c>
      <c r="J50" s="63">
        <f t="shared" si="10"/>
        <v>-160.88144315442889</v>
      </c>
      <c r="K50" s="7">
        <f t="shared" si="8"/>
        <v>-168.67503957166912</v>
      </c>
    </row>
    <row r="51" spans="1:11" x14ac:dyDescent="0.2">
      <c r="A51" s="59">
        <f t="shared" si="6"/>
        <v>39972</v>
      </c>
      <c r="B51">
        <v>144</v>
      </c>
      <c r="C51" s="58">
        <f t="shared" si="9"/>
        <v>99.313626630943105</v>
      </c>
      <c r="D51" s="33">
        <f t="shared" si="5"/>
        <v>2.8304383589818785</v>
      </c>
      <c r="E51" s="33"/>
      <c r="F51" s="33">
        <v>0.35</v>
      </c>
      <c r="G51" s="34"/>
      <c r="H51" s="34">
        <f>'facts premium'!$C$28*'facts premium'!$H$16/2</f>
        <v>10.245060733613425</v>
      </c>
      <c r="I51" s="7">
        <f t="shared" si="7"/>
        <v>92.249004256311551</v>
      </c>
      <c r="J51" s="63">
        <f t="shared" si="10"/>
        <v>-168.67503957166912</v>
      </c>
      <c r="K51" s="7">
        <f t="shared" si="8"/>
        <v>-175.73966194630069</v>
      </c>
    </row>
    <row r="52" spans="1:11" x14ac:dyDescent="0.2">
      <c r="A52" s="59">
        <f t="shared" si="6"/>
        <v>40155</v>
      </c>
      <c r="B52">
        <v>150</v>
      </c>
      <c r="C52" s="58">
        <f t="shared" si="9"/>
        <v>92.249004256311551</v>
      </c>
      <c r="D52" s="33">
        <f t="shared" si="5"/>
        <v>2.6290966213048792</v>
      </c>
      <c r="E52" s="33">
        <v>34.735066000000003</v>
      </c>
      <c r="F52" s="33">
        <v>0.35</v>
      </c>
      <c r="G52" s="34"/>
      <c r="H52" s="34">
        <f>'facts premium'!$C$28*'facts premium'!$H$16/2</f>
        <v>10.245060733613425</v>
      </c>
      <c r="I52" s="7">
        <f t="shared" si="7"/>
        <v>119.718106144003</v>
      </c>
      <c r="J52" s="63">
        <f t="shared" si="10"/>
        <v>-175.73966194630069</v>
      </c>
      <c r="K52" s="7">
        <f t="shared" si="8"/>
        <v>-183.00562605860924</v>
      </c>
    </row>
    <row r="53" spans="1:11" x14ac:dyDescent="0.2">
      <c r="A53" s="59">
        <f t="shared" si="6"/>
        <v>40338</v>
      </c>
      <c r="B53">
        <v>156</v>
      </c>
      <c r="C53" s="58">
        <f t="shared" si="9"/>
        <v>119.718106144003</v>
      </c>
      <c r="D53" s="33">
        <f t="shared" si="5"/>
        <v>3.4119660251040855</v>
      </c>
      <c r="E53" s="33"/>
      <c r="F53" s="33">
        <v>0.35</v>
      </c>
      <c r="G53" s="34"/>
      <c r="H53" s="34">
        <f>'facts premium'!$C$28*'facts premium'!$H$16/2</f>
        <v>10.245060733613425</v>
      </c>
      <c r="I53" s="7">
        <f t="shared" si="7"/>
        <v>113.23501143549365</v>
      </c>
      <c r="J53" s="63">
        <f t="shared" si="10"/>
        <v>-183.00562605860924</v>
      </c>
      <c r="K53" s="7">
        <f t="shared" si="8"/>
        <v>-189.48872076711859</v>
      </c>
    </row>
    <row r="54" spans="1:11" x14ac:dyDescent="0.2">
      <c r="A54" s="59">
        <f t="shared" si="6"/>
        <v>40521</v>
      </c>
      <c r="B54">
        <v>162</v>
      </c>
      <c r="C54" s="58">
        <f t="shared" si="9"/>
        <v>113.23501143549365</v>
      </c>
      <c r="D54" s="33">
        <f t="shared" si="5"/>
        <v>3.2271978259115692</v>
      </c>
      <c r="E54" s="33">
        <v>36.154209000000002</v>
      </c>
      <c r="F54" s="33">
        <v>0.35</v>
      </c>
      <c r="G54" s="34"/>
      <c r="H54" s="34">
        <f>'facts premium'!$C$28*'facts premium'!$H$16/2</f>
        <v>10.245060733613425</v>
      </c>
      <c r="I54" s="7">
        <f t="shared" si="7"/>
        <v>142.72135752779178</v>
      </c>
      <c r="J54" s="63">
        <f t="shared" si="10"/>
        <v>-189.48872076711859</v>
      </c>
      <c r="K54" s="7">
        <f t="shared" si="8"/>
        <v>-196.15658367482047</v>
      </c>
    </row>
    <row r="55" spans="1:11" x14ac:dyDescent="0.2">
      <c r="A55" s="59">
        <f t="shared" si="6"/>
        <v>40704</v>
      </c>
      <c r="B55">
        <v>168</v>
      </c>
      <c r="C55" s="58">
        <f t="shared" si="9"/>
        <v>142.72135752779178</v>
      </c>
      <c r="D55" s="33">
        <f t="shared" si="5"/>
        <v>4.0675586895420661</v>
      </c>
      <c r="E55" s="33"/>
      <c r="F55" s="33">
        <v>0.35</v>
      </c>
      <c r="G55" s="34"/>
      <c r="H55" s="34">
        <f>'facts premium'!$C$28*'facts premium'!$H$16/2</f>
        <v>10.245060733613425</v>
      </c>
      <c r="I55" s="7">
        <f t="shared" si="7"/>
        <v>136.89385548372042</v>
      </c>
      <c r="J55" s="63">
        <f t="shared" si="10"/>
        <v>-196.15658367482047</v>
      </c>
      <c r="K55" s="7">
        <f t="shared" si="8"/>
        <v>-201.98408571889183</v>
      </c>
    </row>
    <row r="56" spans="1:11" x14ac:dyDescent="0.2">
      <c r="A56" s="59">
        <f t="shared" si="6"/>
        <v>40887</v>
      </c>
      <c r="B56">
        <v>174</v>
      </c>
      <c r="C56" s="58">
        <f t="shared" si="9"/>
        <v>136.89385548372042</v>
      </c>
      <c r="D56" s="33">
        <f t="shared" si="5"/>
        <v>3.901474881286032</v>
      </c>
      <c r="E56" s="33">
        <v>37.631335999999997</v>
      </c>
      <c r="F56" s="33">
        <v>0.35</v>
      </c>
      <c r="G56" s="34"/>
      <c r="H56" s="34">
        <f>'facts premium'!$C$28*'facts premium'!$H$16/2</f>
        <v>10.245060733613425</v>
      </c>
      <c r="I56" s="7">
        <f t="shared" si="7"/>
        <v>168.53160563139301</v>
      </c>
      <c r="J56" s="63">
        <f t="shared" si="10"/>
        <v>-201.98408571889183</v>
      </c>
      <c r="K56" s="7">
        <f t="shared" si="8"/>
        <v>-207.97767157121925</v>
      </c>
    </row>
    <row r="57" spans="1:11" x14ac:dyDescent="0.2">
      <c r="A57" s="59">
        <f t="shared" si="6"/>
        <v>41070</v>
      </c>
      <c r="B57">
        <v>180</v>
      </c>
      <c r="C57" s="58">
        <f t="shared" si="9"/>
        <v>168.53160563139301</v>
      </c>
      <c r="D57" s="33">
        <f t="shared" si="5"/>
        <v>4.8031507604947006</v>
      </c>
      <c r="E57" s="33"/>
      <c r="F57" s="33">
        <v>0.35</v>
      </c>
      <c r="G57" s="34"/>
      <c r="H57" s="34">
        <f>'facts premium'!$C$28*'facts premium'!$H$16/2</f>
        <v>10.245060733613425</v>
      </c>
      <c r="I57" s="7">
        <f t="shared" si="7"/>
        <v>163.43969565827427</v>
      </c>
      <c r="J57" s="63">
        <f t="shared" si="10"/>
        <v>-207.97767157121925</v>
      </c>
      <c r="K57" s="7">
        <f t="shared" si="8"/>
        <v>-213.06958154433798</v>
      </c>
    </row>
    <row r="58" spans="1:11" x14ac:dyDescent="0.2">
      <c r="A58" s="59">
        <f t="shared" si="6"/>
        <v>41253</v>
      </c>
      <c r="B58">
        <v>186</v>
      </c>
      <c r="C58" s="58">
        <f t="shared" si="9"/>
        <v>163.43969565827427</v>
      </c>
      <c r="D58" s="33">
        <f t="shared" si="5"/>
        <v>4.6580313262608168</v>
      </c>
      <c r="E58" s="33">
        <v>39.168818000000002</v>
      </c>
      <c r="F58" s="33">
        <v>0.35</v>
      </c>
      <c r="G58" s="34"/>
      <c r="H58" s="34">
        <f>'facts premium'!$C$28*'facts premium'!$H$16/2</f>
        <v>10.245060733613425</v>
      </c>
      <c r="I58" s="7">
        <f t="shared" si="7"/>
        <v>197.37148425092164</v>
      </c>
      <c r="J58" s="63">
        <f t="shared" si="10"/>
        <v>-213.06958154433798</v>
      </c>
      <c r="K58" s="7">
        <f t="shared" si="8"/>
        <v>-218.3066109516906</v>
      </c>
    </row>
    <row r="59" spans="1:11" x14ac:dyDescent="0.2">
      <c r="A59" s="59">
        <f t="shared" si="6"/>
        <v>41436</v>
      </c>
      <c r="B59">
        <v>192</v>
      </c>
      <c r="C59" s="58">
        <f t="shared" si="9"/>
        <v>197.37148425092164</v>
      </c>
      <c r="D59" s="33">
        <f t="shared" si="5"/>
        <v>5.6250873011512672</v>
      </c>
      <c r="E59" s="33"/>
      <c r="F59" s="33">
        <v>0.35</v>
      </c>
      <c r="G59" s="34"/>
      <c r="H59" s="34">
        <f>'facts premium'!$C$28*'facts premium'!$H$16/2</f>
        <v>10.245060733613425</v>
      </c>
      <c r="I59" s="7">
        <f t="shared" si="7"/>
        <v>193.10151081845947</v>
      </c>
      <c r="J59" s="63">
        <f t="shared" si="10"/>
        <v>-218.3066109516906</v>
      </c>
      <c r="K59" s="7">
        <f t="shared" si="8"/>
        <v>-222.57658438415277</v>
      </c>
    </row>
    <row r="60" spans="1:11" x14ac:dyDescent="0.2">
      <c r="A60" s="59">
        <f t="shared" si="6"/>
        <v>41619</v>
      </c>
      <c r="B60">
        <v>198</v>
      </c>
      <c r="C60" s="58">
        <f t="shared" si="9"/>
        <v>193.10151081845947</v>
      </c>
      <c r="D60" s="33">
        <f t="shared" si="5"/>
        <v>5.503393058326095</v>
      </c>
      <c r="E60" s="33">
        <v>40.769120999999998</v>
      </c>
      <c r="F60" s="33">
        <v>0.35</v>
      </c>
      <c r="G60" s="34"/>
      <c r="H60" s="34">
        <f>'facts premium'!$C$28*'facts premium'!$H$16/2</f>
        <v>10.245060733613425</v>
      </c>
      <c r="I60" s="7">
        <f t="shared" si="7"/>
        <v>229.47896414317211</v>
      </c>
      <c r="J60" s="63">
        <f t="shared" si="10"/>
        <v>-222.57658438415277</v>
      </c>
      <c r="K60" s="7">
        <f t="shared" si="8"/>
        <v>-226.96825205944012</v>
      </c>
    </row>
    <row r="61" spans="1:11" x14ac:dyDescent="0.2">
      <c r="A61" s="59">
        <f t="shared" si="6"/>
        <v>41802</v>
      </c>
      <c r="B61">
        <v>204</v>
      </c>
      <c r="C61" s="58">
        <f t="shared" si="9"/>
        <v>229.47896414317211</v>
      </c>
      <c r="D61" s="33">
        <f t="shared" si="5"/>
        <v>6.5401504780804052</v>
      </c>
      <c r="E61" s="33"/>
      <c r="F61" s="33">
        <v>0.35</v>
      </c>
      <c r="G61" s="34"/>
      <c r="H61" s="34">
        <f>'facts premium'!$C$28*'facts premium'!$H$16/2</f>
        <v>10.245060733613425</v>
      </c>
      <c r="I61" s="7">
        <f t="shared" si="7"/>
        <v>226.12405388763906</v>
      </c>
      <c r="J61" s="63">
        <f t="shared" si="10"/>
        <v>-226.96825205944012</v>
      </c>
      <c r="K61" s="7">
        <f t="shared" si="8"/>
        <v>-230.32316231497316</v>
      </c>
    </row>
    <row r="62" spans="1:11" x14ac:dyDescent="0.2">
      <c r="A62" s="59">
        <f t="shared" si="6"/>
        <v>41985</v>
      </c>
      <c r="B62">
        <v>210</v>
      </c>
      <c r="C62" s="58">
        <f t="shared" si="9"/>
        <v>226.12405388763906</v>
      </c>
      <c r="D62" s="33">
        <f t="shared" si="5"/>
        <v>6.4445355357977139</v>
      </c>
      <c r="E62" s="33">
        <v>42.434811000000003</v>
      </c>
      <c r="F62" s="33">
        <v>0.35</v>
      </c>
      <c r="G62" s="34"/>
      <c r="H62" s="34">
        <f>'facts premium'!$C$28*'facts premium'!$H$16/2</f>
        <v>10.245060733613425</v>
      </c>
      <c r="I62" s="7">
        <f t="shared" si="7"/>
        <v>265.10833968982342</v>
      </c>
      <c r="J62" s="63">
        <f t="shared" si="10"/>
        <v>-230.32316231497316</v>
      </c>
      <c r="K62" s="7">
        <f t="shared" si="8"/>
        <v>-233.77368751278888</v>
      </c>
    </row>
    <row r="63" spans="1:11" x14ac:dyDescent="0.2">
      <c r="A63" s="59">
        <f t="shared" si="6"/>
        <v>42168</v>
      </c>
      <c r="B63">
        <v>216</v>
      </c>
      <c r="C63" s="58">
        <f t="shared" si="9"/>
        <v>265.10833968982342</v>
      </c>
      <c r="D63" s="33">
        <f t="shared" si="5"/>
        <v>7.5555876811599676</v>
      </c>
      <c r="E63" s="33"/>
      <c r="F63" s="33">
        <v>0.35</v>
      </c>
      <c r="G63" s="34"/>
      <c r="H63" s="34">
        <f>'facts premium'!$C$28*'facts premium'!$H$16/2</f>
        <v>10.245060733613425</v>
      </c>
      <c r="I63" s="7">
        <f t="shared" si="7"/>
        <v>262.76886663737002</v>
      </c>
      <c r="J63" s="63">
        <f t="shared" si="10"/>
        <v>-233.77368751278888</v>
      </c>
      <c r="K63" s="7">
        <f t="shared" si="8"/>
        <v>-236.11316056524234</v>
      </c>
    </row>
    <row r="64" spans="1:11" x14ac:dyDescent="0.2">
      <c r="A64" s="59">
        <f t="shared" si="6"/>
        <v>42351</v>
      </c>
      <c r="B64">
        <v>222</v>
      </c>
      <c r="C64" s="58">
        <f t="shared" si="9"/>
        <v>262.76886663737002</v>
      </c>
      <c r="D64" s="33">
        <f t="shared" si="5"/>
        <v>7.4889126991650459</v>
      </c>
      <c r="E64" s="33">
        <v>44.168560999999997</v>
      </c>
      <c r="F64" s="33">
        <v>0.35</v>
      </c>
      <c r="G64" s="34"/>
      <c r="H64" s="34">
        <f>'facts premium'!$C$28*'facts premium'!$H$16/2</f>
        <v>10.245060733613425</v>
      </c>
      <c r="I64" s="7">
        <f t="shared" si="7"/>
        <v>304.5312796029217</v>
      </c>
      <c r="J64" s="63">
        <f t="shared" si="10"/>
        <v>-236.11316056524234</v>
      </c>
      <c r="K64" s="7">
        <f t="shared" si="8"/>
        <v>-238.51930859969073</v>
      </c>
    </row>
    <row r="65" spans="1:11" x14ac:dyDescent="0.2">
      <c r="A65" s="59">
        <f t="shared" si="6"/>
        <v>42534</v>
      </c>
      <c r="B65">
        <v>228</v>
      </c>
      <c r="C65" s="58">
        <f t="shared" si="9"/>
        <v>304.5312796029217</v>
      </c>
      <c r="D65" s="33">
        <f t="shared" si="5"/>
        <v>8.6791414686832695</v>
      </c>
      <c r="E65" s="33"/>
      <c r="F65" s="33">
        <v>0.35</v>
      </c>
      <c r="G65" s="34"/>
      <c r="H65" s="34">
        <f>'facts premium'!$C$28*'facts premium'!$H$16/2</f>
        <v>10.245060733613425</v>
      </c>
      <c r="I65" s="7">
        <f t="shared" si="7"/>
        <v>303.31536033799159</v>
      </c>
      <c r="J65" s="63">
        <f t="shared" si="10"/>
        <v>-238.51930859969073</v>
      </c>
      <c r="K65" s="7">
        <f t="shared" si="8"/>
        <v>-239.7352278646209</v>
      </c>
    </row>
    <row r="66" spans="1:11" x14ac:dyDescent="0.2">
      <c r="A66" s="59">
        <f t="shared" si="6"/>
        <v>42717</v>
      </c>
      <c r="B66">
        <v>234</v>
      </c>
      <c r="C66" s="58">
        <f t="shared" si="9"/>
        <v>303.31536033799159</v>
      </c>
      <c r="D66" s="33">
        <f t="shared" si="5"/>
        <v>8.6444877696327609</v>
      </c>
      <c r="E66" s="33"/>
      <c r="F66" s="33">
        <v>0.35</v>
      </c>
      <c r="G66" s="33"/>
      <c r="H66" s="34">
        <v>9.31</v>
      </c>
      <c r="I66" s="7">
        <f t="shared" si="7"/>
        <v>302.99984810762436</v>
      </c>
      <c r="J66" s="63">
        <f t="shared" si="10"/>
        <v>-239.7352278646209</v>
      </c>
      <c r="K66" s="7">
        <f t="shared" si="8"/>
        <v>-240.05074009498813</v>
      </c>
    </row>
    <row r="67" spans="1:11" x14ac:dyDescent="0.2">
      <c r="A67" s="59">
        <f t="shared" si="6"/>
        <v>42900</v>
      </c>
      <c r="B67">
        <v>240</v>
      </c>
      <c r="C67" s="58">
        <f t="shared" si="9"/>
        <v>302.99984810762436</v>
      </c>
      <c r="D67" s="33">
        <f t="shared" si="5"/>
        <v>8.6354956710672948</v>
      </c>
      <c r="E67" s="33"/>
      <c r="F67" s="33">
        <v>0.35</v>
      </c>
      <c r="G67" s="34"/>
      <c r="H67" s="34">
        <f>9.31+'facts premium'!C28</f>
        <v>326.98630181747052</v>
      </c>
      <c r="I67" s="7">
        <f>C67+D67+E67+F67-G67-H67</f>
        <v>-15.000958038778833</v>
      </c>
      <c r="J67" s="63">
        <f t="shared" si="10"/>
        <v>-240.05074009498813</v>
      </c>
      <c r="K67" s="7">
        <f>J67+D67+F67-G67-H67</f>
        <v>-558.05154624139141</v>
      </c>
    </row>
    <row r="68" spans="1:11" x14ac:dyDescent="0.2">
      <c r="A68" s="59">
        <f t="shared" si="6"/>
        <v>43083</v>
      </c>
      <c r="B68">
        <v>246</v>
      </c>
      <c r="C68" s="58">
        <f t="shared" si="9"/>
        <v>-15.000958038778833</v>
      </c>
      <c r="D68" s="33">
        <f t="shared" si="5"/>
        <v>-0.42752730410519674</v>
      </c>
      <c r="E68" s="33"/>
      <c r="F68" s="33">
        <v>0.35</v>
      </c>
      <c r="G68" s="34"/>
      <c r="H68" s="54"/>
      <c r="I68" s="7">
        <f>C68+D68+E68+F68-G68-H68</f>
        <v>-15.078485342884031</v>
      </c>
      <c r="J68" s="63">
        <f t="shared" si="10"/>
        <v>-558.05154624139141</v>
      </c>
      <c r="K68" s="7">
        <f>J68+D68+F68-G68-H68</f>
        <v>-558.12907354549657</v>
      </c>
    </row>
    <row r="69" spans="1:11" x14ac:dyDescent="0.2">
      <c r="A69" s="59">
        <f t="shared" si="6"/>
        <v>43266</v>
      </c>
      <c r="B69">
        <v>252</v>
      </c>
      <c r="C69" s="58">
        <f t="shared" si="9"/>
        <v>-15.078485342884031</v>
      </c>
      <c r="D69" s="33">
        <f t="shared" si="5"/>
        <v>-0.42973683227219489</v>
      </c>
      <c r="E69" s="33"/>
      <c r="F69" s="33">
        <v>0.35</v>
      </c>
      <c r="G69" s="34"/>
      <c r="H69" s="54"/>
      <c r="I69" s="7">
        <f>C69+D69+E69+F69-G69-H69</f>
        <v>-15.158222175156226</v>
      </c>
      <c r="J69" s="63">
        <f t="shared" si="10"/>
        <v>-558.12907354549657</v>
      </c>
      <c r="K69" s="7">
        <f>J69+D69+F69-G69-H69</f>
        <v>-558.20881037776871</v>
      </c>
    </row>
    <row r="70" spans="1:11" x14ac:dyDescent="0.2">
      <c r="A70" s="59">
        <f t="shared" si="6"/>
        <v>43449</v>
      </c>
      <c r="B70">
        <v>258</v>
      </c>
      <c r="C70" s="58">
        <f t="shared" si="9"/>
        <v>-15.158222175156226</v>
      </c>
      <c r="D70" s="33">
        <f t="shared" si="5"/>
        <v>-0.43200933199195246</v>
      </c>
      <c r="E70" s="33"/>
      <c r="F70" s="33">
        <v>0.35</v>
      </c>
      <c r="G70" s="34"/>
      <c r="H70" s="54"/>
      <c r="I70" s="7">
        <f>C70+D70+E70+F70-G70-H70</f>
        <v>-15.240231507148179</v>
      </c>
      <c r="J70" s="63">
        <f t="shared" si="10"/>
        <v>-558.20881037776871</v>
      </c>
      <c r="K70" s="7">
        <f>J70+D70+F70-G70-H70</f>
        <v>-558.29081970976063</v>
      </c>
    </row>
  </sheetData>
  <mergeCells count="1">
    <mergeCell ref="J1:K1"/>
  </mergeCells>
  <phoneticPr fontId="0" type="noConversion"/>
  <pageMargins left="0.75" right="0.75" top="0.53" bottom="0.19" header="0.5" footer="0.19"/>
  <pageSetup scale="8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B1" zoomScale="75" workbookViewId="0">
      <selection activeCell="F2" sqref="F2"/>
    </sheetView>
  </sheetViews>
  <sheetFormatPr defaultRowHeight="12.75" x14ac:dyDescent="0.2"/>
  <cols>
    <col min="1" max="1" width="3" style="26" bestFit="1" customWidth="1"/>
    <col min="2" max="2" width="6.28515625" style="26" bestFit="1" customWidth="1"/>
    <col min="3" max="3" width="11.42578125" bestFit="1" customWidth="1"/>
    <col min="4" max="4" width="7.28515625" bestFit="1" customWidth="1"/>
    <col min="5" max="5" width="14.140625" bestFit="1" customWidth="1"/>
    <col min="6" max="6" width="14.85546875" bestFit="1" customWidth="1"/>
    <col min="7" max="7" width="12.42578125" bestFit="1" customWidth="1"/>
    <col min="8" max="8" width="14.85546875" bestFit="1" customWidth="1"/>
    <col min="9" max="9" width="14.140625" bestFit="1" customWidth="1"/>
    <col min="10" max="10" width="14.85546875" bestFit="1" customWidth="1"/>
    <col min="11" max="11" width="12.42578125" bestFit="1" customWidth="1"/>
    <col min="12" max="12" width="9.28515625" bestFit="1" customWidth="1"/>
    <col min="13" max="13" width="14.140625" bestFit="1" customWidth="1"/>
    <col min="14" max="14" width="14.85546875" bestFit="1" customWidth="1"/>
  </cols>
  <sheetData>
    <row r="1" spans="1:11" x14ac:dyDescent="0.2">
      <c r="A1" s="32" t="s">
        <v>57</v>
      </c>
    </row>
    <row r="2" spans="1:11" x14ac:dyDescent="0.2">
      <c r="A2" s="32"/>
      <c r="F2" s="60">
        <f>DiscRate</f>
        <v>5.7000000000000002E-2</v>
      </c>
      <c r="G2" s="60">
        <f>discrate2</f>
        <v>5.45E-2</v>
      </c>
      <c r="H2" s="60">
        <f>DiscRate3</f>
        <v>5.2000000000000005E-2</v>
      </c>
      <c r="I2" s="60">
        <f>DiscRate4</f>
        <v>5.9500000000000004E-2</v>
      </c>
      <c r="J2" s="60">
        <f>DiscRate5</f>
        <v>6.2E-2</v>
      </c>
      <c r="K2" s="60">
        <f>DiscRate6</f>
        <v>6.4500000000000002E-2</v>
      </c>
    </row>
    <row r="3" spans="1:11" s="19" customFormat="1" x14ac:dyDescent="0.2">
      <c r="A3" s="27"/>
      <c r="B3" s="27" t="s">
        <v>22</v>
      </c>
      <c r="C3" s="27" t="s">
        <v>21</v>
      </c>
      <c r="D3" s="27" t="s">
        <v>23</v>
      </c>
      <c r="E3" s="27" t="s">
        <v>39</v>
      </c>
      <c r="F3" s="27" t="s">
        <v>65</v>
      </c>
      <c r="G3" s="27" t="s">
        <v>65</v>
      </c>
      <c r="H3" s="27" t="s">
        <v>65</v>
      </c>
      <c r="I3" s="27" t="s">
        <v>65</v>
      </c>
      <c r="J3" s="27" t="s">
        <v>65</v>
      </c>
      <c r="K3" s="27" t="s">
        <v>65</v>
      </c>
    </row>
    <row r="4" spans="1:11" x14ac:dyDescent="0.2">
      <c r="A4" s="26">
        <v>1</v>
      </c>
      <c r="B4" s="26">
        <v>1999</v>
      </c>
      <c r="C4" s="12">
        <v>2703704</v>
      </c>
      <c r="D4">
        <v>15.64</v>
      </c>
      <c r="E4" s="12">
        <f>C4*D4</f>
        <v>42285930.560000002</v>
      </c>
      <c r="F4" s="16">
        <f>$E4/POWER(1+DiscRate,1+attendance!$A4)</f>
        <v>37848259.931313433</v>
      </c>
      <c r="G4" s="16">
        <f>$E4/POWER(1+discrate2,1+attendance!$A4)</f>
        <v>38027933.355231404</v>
      </c>
      <c r="H4" s="16">
        <f>$E4/POWER(1+DiscRate3,1+attendance!$A4)</f>
        <v>38208889.242290616</v>
      </c>
      <c r="I4" s="16">
        <f>$E4/POWER(1+DiscRate4,1+attendance!$A4)</f>
        <v>37669856.880410299</v>
      </c>
      <c r="J4" s="16">
        <f>$E4/POWER(1+DiscRate5,1+attendance!$A4)</f>
        <v>37492712.254531652</v>
      </c>
      <c r="K4" s="16">
        <f>$E4/POWER(1+DiscRate6,1+attendance!$A4)</f>
        <v>37316814.24582269</v>
      </c>
    </row>
    <row r="5" spans="1:11" x14ac:dyDescent="0.2">
      <c r="A5" s="26">
        <v>2</v>
      </c>
      <c r="B5" s="26">
        <v>2000</v>
      </c>
      <c r="C5" s="12">
        <v>2478395</v>
      </c>
      <c r="D5">
        <v>16.23</v>
      </c>
      <c r="E5" s="12">
        <f t="shared" ref="E5:E23" si="0">C5*D5</f>
        <v>40224350.850000001</v>
      </c>
      <c r="F5" s="16">
        <f>E5/POWER(1+DiscRate,1+attendance!A5)</f>
        <v>34061524.521416791</v>
      </c>
      <c r="G5" s="16">
        <f>$E5/POWER(1+discrate2,1+attendance!$A5)</f>
        <v>34304357.673066691</v>
      </c>
      <c r="H5" s="16">
        <f>$E5/POWER(1+DiscRate3,1+attendance!$A5)</f>
        <v>34549504.612318628</v>
      </c>
      <c r="I5" s="16">
        <f>$E5/POWER(1+DiscRate4,1+attendance!$A5)</f>
        <v>33820977.923674181</v>
      </c>
      <c r="J5" s="16">
        <f>$E5/POWER(1+DiscRate5,1+attendance!$A5)</f>
        <v>33582691.029895008</v>
      </c>
      <c r="K5" s="16">
        <f>$E5/POWER(1+DiscRate6,1+attendance!$A5)</f>
        <v>33346637.367592312</v>
      </c>
    </row>
    <row r="6" spans="1:11" x14ac:dyDescent="0.2">
      <c r="A6" s="26">
        <v>3</v>
      </c>
      <c r="B6" s="26">
        <v>2001</v>
      </c>
      <c r="C6" s="12">
        <v>2253086</v>
      </c>
      <c r="D6">
        <v>16.87</v>
      </c>
      <c r="E6" s="12">
        <f t="shared" si="0"/>
        <v>38009560.82</v>
      </c>
      <c r="F6" s="16">
        <f>E6/POWER(1+DiscRate,1+attendance!A6)</f>
        <v>30450393.017589208</v>
      </c>
      <c r="G6" s="16">
        <f>$E6/POWER(1+discrate2,1+attendance!$A6)</f>
        <v>30740187.72204908</v>
      </c>
      <c r="H6" s="16">
        <f>$E6/POWER(1+DiscRate3,1+attendance!$A6)</f>
        <v>31033438.093652468</v>
      </c>
      <c r="I6" s="16">
        <f>$E6/POWER(1+DiscRate4,1+attendance!$A6)</f>
        <v>30164005.229271594</v>
      </c>
      <c r="J6" s="16">
        <f>$E6/POWER(1+DiscRate5,1+attendance!$A6)</f>
        <v>29880976.406595167</v>
      </c>
      <c r="K6" s="16">
        <f>$E6/POWER(1+DiscRate6,1+attendance!$A6)</f>
        <v>29601259.38457204</v>
      </c>
    </row>
    <row r="7" spans="1:11" x14ac:dyDescent="0.2">
      <c r="A7" s="26">
        <v>4</v>
      </c>
      <c r="B7" s="26">
        <v>2002</v>
      </c>
      <c r="C7" s="12">
        <v>2253086</v>
      </c>
      <c r="D7">
        <v>17.54</v>
      </c>
      <c r="E7" s="12">
        <f t="shared" si="0"/>
        <v>39519128.439999998</v>
      </c>
      <c r="F7" s="16">
        <f>E7/POWER(1+DiscRate,1+attendance!A7)</f>
        <v>29952454.802320752</v>
      </c>
      <c r="G7" s="16">
        <f>$E7/POWER(1+discrate2,1+attendance!$A7)</f>
        <v>30309197.500015642</v>
      </c>
      <c r="H7" s="16">
        <f>$E7/POWER(1+DiscRate3,1+attendance!$A7)</f>
        <v>30671051.057103205</v>
      </c>
      <c r="I7" s="16">
        <f>$E7/POWER(1+DiscRate4,1+attendance!$A7)</f>
        <v>29600738.944560573</v>
      </c>
      <c r="J7" s="16">
        <f>$E7/POWER(1+DiscRate5,1+attendance!$A7)</f>
        <v>29253967.482123695</v>
      </c>
      <c r="K7" s="16">
        <f>$E7/POWER(1+DiscRate6,1+attendance!$A7)</f>
        <v>28912059.512114357</v>
      </c>
    </row>
    <row r="8" spans="1:11" x14ac:dyDescent="0.2">
      <c r="A8" s="26">
        <v>5</v>
      </c>
      <c r="B8" s="26">
        <v>2003</v>
      </c>
      <c r="C8" s="12">
        <v>2253086</v>
      </c>
      <c r="D8">
        <v>18.260000000000002</v>
      </c>
      <c r="E8" s="12">
        <f t="shared" si="0"/>
        <v>41141350.360000007</v>
      </c>
      <c r="F8" s="16">
        <f>E8/POWER(1+DiscRate,1+attendance!A8)</f>
        <v>29500448.478373371</v>
      </c>
      <c r="G8" s="16">
        <f>$E8/POWER(1+discrate2,1+attendance!$A8)</f>
        <v>29922580.067630332</v>
      </c>
      <c r="H8" s="16">
        <f>$E8/POWER(1+DiscRate3,1+attendance!$A8)</f>
        <v>30351775.642784152</v>
      </c>
      <c r="I8" s="16">
        <f>$E8/POWER(1+DiscRate4,1+attendance!$A8)</f>
        <v>29085248.314117115</v>
      </c>
      <c r="J8" s="16">
        <f>$E8/POWER(1+DiscRate5,1+attendance!$A8)</f>
        <v>28676849.80596295</v>
      </c>
      <c r="K8" s="16">
        <f>$E8/POWER(1+DiscRate6,1+attendance!$A8)</f>
        <v>28275125.911823545</v>
      </c>
    </row>
    <row r="9" spans="1:11" x14ac:dyDescent="0.2">
      <c r="A9" s="26">
        <v>6</v>
      </c>
      <c r="B9" s="26">
        <v>2004</v>
      </c>
      <c r="C9" s="12">
        <v>2253086</v>
      </c>
      <c r="D9">
        <v>19.010000000000002</v>
      </c>
      <c r="E9" s="12">
        <f t="shared" si="0"/>
        <v>42831164.860000007</v>
      </c>
      <c r="F9" s="16">
        <f>E9/POWER(1+DiscRate,1+attendance!A9)</f>
        <v>29055942.989669759</v>
      </c>
      <c r="G9" s="16">
        <f>$E9/POWER(1+discrate2,1+attendance!$A9)</f>
        <v>29541585.30335762</v>
      </c>
      <c r="H9" s="16">
        <f>$E9/POWER(1+DiscRate3,1+attendance!$A9)</f>
        <v>30036526.418636527</v>
      </c>
      <c r="I9" s="16">
        <f>$E9/POWER(1+DiscRate4,1+attendance!$A9)</f>
        <v>28579403.397693031</v>
      </c>
      <c r="J9" s="16">
        <f>$E9/POWER(1+DiscRate5,1+attendance!$A9)</f>
        <v>28111775.030855615</v>
      </c>
      <c r="K9" s="16">
        <f>$E9/POWER(1+DiscRate6,1+attendance!$A9)</f>
        <v>27652870.858321998</v>
      </c>
    </row>
    <row r="10" spans="1:11" x14ac:dyDescent="0.2">
      <c r="A10" s="26">
        <v>7</v>
      </c>
      <c r="B10" s="26">
        <v>2005</v>
      </c>
      <c r="C10" s="12">
        <v>2253086</v>
      </c>
      <c r="D10">
        <v>19.79</v>
      </c>
      <c r="E10" s="12">
        <f t="shared" si="0"/>
        <v>44588571.939999998</v>
      </c>
      <c r="F10" s="16">
        <f>E10/POWER(1+DiscRate,1+attendance!A10)</f>
        <v>28616971.089038149</v>
      </c>
      <c r="G10" s="16">
        <f>$E10/POWER(1+discrate2,1+attendance!$A10)</f>
        <v>29164255.251020696</v>
      </c>
      <c r="H10" s="16">
        <f>$E10/POWER(1+DiscRate3,1+attendance!$A10)</f>
        <v>29723342.418579802</v>
      </c>
      <c r="I10" s="16">
        <f>$E10/POWER(1+DiscRate4,1+attendance!$A10)</f>
        <v>28081213.719529394</v>
      </c>
      <c r="J10" s="16">
        <f>$E10/POWER(1+DiscRate5,1+attendance!$A10)</f>
        <v>27556714.023079954</v>
      </c>
      <c r="K10" s="16">
        <f>$E10/POWER(1+DiscRate6,1+attendance!$A10)</f>
        <v>27043209.775685646</v>
      </c>
    </row>
    <row r="11" spans="1:11" x14ac:dyDescent="0.2">
      <c r="A11" s="26">
        <v>8</v>
      </c>
      <c r="B11" s="26">
        <v>2006</v>
      </c>
      <c r="C11" s="12">
        <v>2253086</v>
      </c>
      <c r="D11" s="7">
        <v>20.6</v>
      </c>
      <c r="E11" s="12">
        <f t="shared" si="0"/>
        <v>46413571.600000001</v>
      </c>
      <c r="F11" s="16">
        <f>E11/POWER(1+DiscRate,1+attendance!A11)</f>
        <v>28181889.233077206</v>
      </c>
      <c r="G11" s="16">
        <f>$E11/POWER(1+discrate2,1+attendance!$A11)</f>
        <v>28788943.852175027</v>
      </c>
      <c r="H11" s="16">
        <f>$E11/POWER(1+DiscRate3,1+attendance!$A11)</f>
        <v>29410562.513941251</v>
      </c>
      <c r="I11" s="16">
        <f>$E11/POWER(1+DiscRate4,1+attendance!$A11)</f>
        <v>27589024.188729443</v>
      </c>
      <c r="J11" s="16">
        <f>$E11/POWER(1+DiscRate5,1+attendance!$A11)</f>
        <v>27009984.730225135</v>
      </c>
      <c r="K11" s="16">
        <f>$E11/POWER(1+DiscRate6,1+attendance!$A11)</f>
        <v>26444417.030730817</v>
      </c>
    </row>
    <row r="12" spans="1:11" x14ac:dyDescent="0.2">
      <c r="A12" s="26">
        <v>9</v>
      </c>
      <c r="B12" s="26">
        <v>2007</v>
      </c>
      <c r="C12" s="12">
        <v>2253086</v>
      </c>
      <c r="D12">
        <v>21.45</v>
      </c>
      <c r="E12" s="12">
        <f t="shared" si="0"/>
        <v>48328694.699999996</v>
      </c>
      <c r="F12" s="16">
        <f>E12/POWER(1+DiscRate,1+attendance!A12)</f>
        <v>27762283.989745017</v>
      </c>
      <c r="G12" s="16">
        <f>$E12/POWER(1+discrate2,1+attendance!$A12)</f>
        <v>28427536.430975627</v>
      </c>
      <c r="H12" s="16">
        <f>$E12/POWER(1+DiscRate3,1+attendance!$A12)</f>
        <v>29110366.104509197</v>
      </c>
      <c r="I12" s="16">
        <f>$E12/POWER(1+DiscRate4,1+attendance!$A12)</f>
        <v>27114116.332958229</v>
      </c>
      <c r="J12" s="16">
        <f>$E12/POWER(1+DiscRate5,1+attendance!$A12)</f>
        <v>26482555.924127817</v>
      </c>
      <c r="K12" s="16">
        <f>$E12/POWER(1+DiscRate6,1+attendance!$A12)</f>
        <v>25867139.653019831</v>
      </c>
    </row>
    <row r="13" spans="1:11" x14ac:dyDescent="0.2">
      <c r="A13" s="26">
        <v>10</v>
      </c>
      <c r="B13" s="26">
        <v>2008</v>
      </c>
      <c r="C13" s="12">
        <v>2253086</v>
      </c>
      <c r="D13">
        <v>22.32</v>
      </c>
      <c r="E13" s="12">
        <f t="shared" si="0"/>
        <v>50288879.520000003</v>
      </c>
      <c r="F13" s="16">
        <f>E13/POWER(1+DiscRate,1+attendance!A13)</f>
        <v>27330469.91203538</v>
      </c>
      <c r="G13" s="16">
        <f>$E13/POWER(1+discrate2,1+attendance!$A13)</f>
        <v>28051722.527358104</v>
      </c>
      <c r="H13" s="16">
        <f>$E13/POWER(1+DiscRate3,1+attendance!$A13)</f>
        <v>28793789.228316151</v>
      </c>
      <c r="I13" s="16">
        <f>$E13/POWER(1+DiscRate4,1+attendance!$A13)</f>
        <v>26629400.398949135</v>
      </c>
      <c r="J13" s="16">
        <f>$E13/POWER(1+DiscRate5,1+attendance!$A13)</f>
        <v>25947903.556492038</v>
      </c>
      <c r="K13" s="16">
        <f>$E13/POWER(1+DiscRate6,1+attendance!$A13)</f>
        <v>25285388.789308824</v>
      </c>
    </row>
    <row r="14" spans="1:11" x14ac:dyDescent="0.2">
      <c r="A14" s="26">
        <v>11</v>
      </c>
      <c r="B14" s="26">
        <v>2009</v>
      </c>
      <c r="C14" s="12">
        <v>2253086</v>
      </c>
      <c r="D14">
        <v>23.24</v>
      </c>
      <c r="E14" s="12">
        <f t="shared" si="0"/>
        <v>52361718.639999993</v>
      </c>
      <c r="F14" s="16">
        <f>E14/POWER(1+DiscRate,1+attendance!A14)</f>
        <v>26922416.894525576</v>
      </c>
      <c r="G14" s="16">
        <f>$E14/POWER(1+discrate2,1+attendance!$A14)</f>
        <v>27698412.824360956</v>
      </c>
      <c r="H14" s="16">
        <f>$E14/POWER(1+DiscRate3,1+attendance!$A14)</f>
        <v>28498697.721444864</v>
      </c>
      <c r="I14" s="16">
        <f>$E14/POWER(1+DiscRate4,1+attendance!$A14)</f>
        <v>26169917.898970813</v>
      </c>
      <c r="J14" s="16">
        <f>$E14/POWER(1+DiscRate5,1+attendance!$A14)</f>
        <v>25440151.412297532</v>
      </c>
      <c r="K14" s="16">
        <f>$E14/POWER(1+DiscRate6,1+attendance!$A14)</f>
        <v>24732379.592600595</v>
      </c>
    </row>
    <row r="15" spans="1:11" x14ac:dyDescent="0.2">
      <c r="A15" s="26">
        <v>12</v>
      </c>
      <c r="B15" s="26">
        <v>2010</v>
      </c>
      <c r="C15" s="12">
        <v>2253086</v>
      </c>
      <c r="D15">
        <v>24.19</v>
      </c>
      <c r="E15" s="12">
        <f t="shared" si="0"/>
        <v>54502150.340000004</v>
      </c>
      <c r="F15" s="16">
        <f>E15/POWER(1+DiscRate,1+attendance!A15)</f>
        <v>26511774.819723837</v>
      </c>
      <c r="G15" s="16">
        <f>$E15/POWER(1+discrate2,1+attendance!$A15)</f>
        <v>27340600.20701753</v>
      </c>
      <c r="H15" s="16">
        <f>$E15/POWER(1+DiscRate3,1+attendance!$A15)</f>
        <v>28197397.052158311</v>
      </c>
      <c r="I15" s="16">
        <f>$E15/POWER(1+DiscRate4,1+attendance!$A15)</f>
        <v>25709944.773746263</v>
      </c>
      <c r="J15" s="16">
        <f>$E15/POWER(1+DiscRate5,1+attendance!$A15)</f>
        <v>24934170.202337906</v>
      </c>
      <c r="K15" s="16">
        <f>$E15/POWER(1+DiscRate6,1+attendance!$A15)</f>
        <v>24183546.061519455</v>
      </c>
    </row>
    <row r="16" spans="1:11" x14ac:dyDescent="0.2">
      <c r="A16" s="26">
        <v>13</v>
      </c>
      <c r="B16" s="26">
        <v>2011</v>
      </c>
      <c r="C16" s="12">
        <v>2253086</v>
      </c>
      <c r="D16">
        <v>25.18</v>
      </c>
      <c r="E16" s="12">
        <f t="shared" si="0"/>
        <v>56732705.479999997</v>
      </c>
      <c r="F16" s="16">
        <f>E16/POWER(1+DiscRate,1+attendance!A16)</f>
        <v>26108605.280751847</v>
      </c>
      <c r="G16" s="16">
        <f>$E16/POWER(1+discrate2,1+attendance!$A16)</f>
        <v>26988659.723949328</v>
      </c>
      <c r="H16" s="16">
        <f>$E16/POWER(1+DiscRate3,1+attendance!$A16)</f>
        <v>27900573.948531117</v>
      </c>
      <c r="I16" s="16">
        <f>$E16/POWER(1+DiscRate4,1+attendance!$A16)</f>
        <v>25259226.085254006</v>
      </c>
      <c r="J16" s="16">
        <f>$E16/POWER(1+DiscRate5,1+attendance!$A16)</f>
        <v>24439384.288026925</v>
      </c>
      <c r="K16" s="16">
        <f>$E16/POWER(1+DiscRate6,1+attendance!$A16)</f>
        <v>23647986.780288573</v>
      </c>
    </row>
    <row r="17" spans="1:14" x14ac:dyDescent="0.2">
      <c r="A17" s="26">
        <v>14</v>
      </c>
      <c r="B17" s="26">
        <v>2012</v>
      </c>
      <c r="C17" s="12">
        <v>2253086</v>
      </c>
      <c r="D17">
        <v>26.22</v>
      </c>
      <c r="E17" s="12">
        <f t="shared" si="0"/>
        <v>59075914.919999994</v>
      </c>
      <c r="F17" s="16">
        <f>E17/POWER(1+DiscRate,1+attendance!A17)</f>
        <v>25720869.548571512</v>
      </c>
      <c r="G17" s="16">
        <f>$E17/POWER(1+discrate2,1+attendance!$A17)</f>
        <v>26650888.678309012</v>
      </c>
      <c r="H17" s="16">
        <f>$E17/POWER(1+DiscRate3,1+attendance!$A17)</f>
        <v>27616863.862716421</v>
      </c>
      <c r="I17" s="16">
        <f>$E17/POWER(1+DiscRate4,1+attendance!$A17)</f>
        <v>24825387.758599993</v>
      </c>
      <c r="J17" s="16">
        <f>$E17/POWER(1+DiscRate5,1+attendance!$A17)</f>
        <v>23963083.726811625</v>
      </c>
      <c r="K17" s="16">
        <f>$E17/POWER(1+DiscRate6,1+attendance!$A17)</f>
        <v>23132654.40931135</v>
      </c>
    </row>
    <row r="18" spans="1:14" x14ac:dyDescent="0.2">
      <c r="A18" s="26">
        <v>15</v>
      </c>
      <c r="B18" s="26">
        <v>2013</v>
      </c>
      <c r="C18" s="12">
        <v>2253086</v>
      </c>
      <c r="D18">
        <v>27.29</v>
      </c>
      <c r="E18" s="12">
        <f t="shared" si="0"/>
        <v>61486716.939999998</v>
      </c>
      <c r="F18" s="16">
        <f>E18/POWER(1+DiscRate,1+attendance!A18)</f>
        <v>25326869.216682523</v>
      </c>
      <c r="G18" s="16">
        <f>$E18/POWER(1+discrate2,1+attendance!$A18)</f>
        <v>26304857.863923889</v>
      </c>
      <c r="H18" s="16">
        <f>$E18/POWER(1+DiscRate3,1+attendance!$A18)</f>
        <v>27323068.290740065</v>
      </c>
      <c r="I18" s="16">
        <f>$E18/POWER(1+DiscRate4,1+attendance!$A18)</f>
        <v>24387423.940390177</v>
      </c>
      <c r="J18" s="16">
        <f>$E18/POWER(1+DiscRate5,1+attendance!$A18)</f>
        <v>23484917.384002995</v>
      </c>
      <c r="K18" s="16">
        <f>$E18/POWER(1+DiscRate6,1+attendance!$A18)</f>
        <v>22617815.250088111</v>
      </c>
    </row>
    <row r="19" spans="1:14" x14ac:dyDescent="0.2">
      <c r="A19" s="26">
        <v>16</v>
      </c>
      <c r="B19" s="26">
        <v>2014</v>
      </c>
      <c r="C19" s="12">
        <v>2253086</v>
      </c>
      <c r="D19">
        <v>28.42</v>
      </c>
      <c r="E19" s="12">
        <f t="shared" si="0"/>
        <v>64032704.120000005</v>
      </c>
      <c r="F19" s="16">
        <f>E19/POWER(1+DiscRate,1+attendance!A19)</f>
        <v>24953246.591001011</v>
      </c>
      <c r="G19" s="16">
        <f>$E19/POWER(1+discrate2,1+attendance!$A19)</f>
        <v>25978251.281442687</v>
      </c>
      <c r="H19" s="16">
        <f>$E19/POWER(1+DiscRate3,1+attendance!$A19)</f>
        <v>27047944.442066155</v>
      </c>
      <c r="I19" s="16">
        <f>$E19/POWER(1+DiscRate4,1+attendance!$A19)</f>
        <v>23970964.28277437</v>
      </c>
      <c r="J19" s="16">
        <f>$E19/POWER(1+DiscRate5,1+attendance!$A19)</f>
        <v>23029529.109238401</v>
      </c>
      <c r="K19" s="16">
        <f>$E19/POWER(1+DiscRate6,1+attendance!$A19)</f>
        <v>22127152.266481567</v>
      </c>
    </row>
    <row r="20" spans="1:14" x14ac:dyDescent="0.2">
      <c r="A20" s="26">
        <v>17</v>
      </c>
      <c r="B20" s="26">
        <v>2015</v>
      </c>
      <c r="C20" s="12">
        <v>2253086</v>
      </c>
      <c r="D20">
        <v>29.58</v>
      </c>
      <c r="E20" s="12">
        <f t="shared" si="0"/>
        <v>66646283.879999995</v>
      </c>
      <c r="F20" s="16">
        <f>E20/POWER(1+DiscRate,1+attendance!A20)</f>
        <v>24571188.696176153</v>
      </c>
      <c r="G20" s="16">
        <f>$E20/POWER(1+discrate2,1+attendance!$A20)</f>
        <v>25641145.631522372</v>
      </c>
      <c r="H20" s="16">
        <f>$E20/POWER(1+DiscRate3,1+attendance!$A20)</f>
        <v>26760401.30645949</v>
      </c>
      <c r="I20" s="16">
        <f>$E20/POWER(1+DiscRate4,1+attendance!$A20)</f>
        <v>23548250.10683693</v>
      </c>
      <c r="J20" s="16">
        <f>$E20/POWER(1+DiscRate5,1+attendance!$A20)</f>
        <v>22570159.971005</v>
      </c>
      <c r="K20" s="16">
        <f>$E20/POWER(1+DiscRate6,1+attendance!$A20)</f>
        <v>21634853.300688449</v>
      </c>
    </row>
    <row r="21" spans="1:14" x14ac:dyDescent="0.2">
      <c r="A21" s="26">
        <v>18</v>
      </c>
      <c r="B21" s="26">
        <v>2016</v>
      </c>
      <c r="C21" s="12">
        <v>2253086</v>
      </c>
      <c r="D21">
        <v>29.58</v>
      </c>
      <c r="E21" s="12">
        <f t="shared" si="0"/>
        <v>66646283.879999995</v>
      </c>
      <c r="F21" s="16">
        <f>E21/POWER(1+DiscRate,1+attendance!A21)</f>
        <v>23246157.706883777</v>
      </c>
      <c r="G21" s="16">
        <f>$E21/POWER(1+discrate2,1+attendance!$A21)</f>
        <v>24315927.57849443</v>
      </c>
      <c r="H21" s="16">
        <f>$E21/POWER(1+DiscRate3,1+attendance!$A21)</f>
        <v>25437643.827432971</v>
      </c>
      <c r="I21" s="16">
        <f>$E21/POWER(1+DiscRate4,1+attendance!$A21)</f>
        <v>22225814.164074499</v>
      </c>
      <c r="J21" s="16">
        <f>$E21/POWER(1+DiscRate5,1+attendance!$A21)</f>
        <v>21252504.68079567</v>
      </c>
      <c r="K21" s="16">
        <f>$E21/POWER(1+DiscRate6,1+attendance!$A21)</f>
        <v>20323958.009101409</v>
      </c>
    </row>
    <row r="22" spans="1:14" x14ac:dyDescent="0.2">
      <c r="A22" s="26">
        <v>19</v>
      </c>
      <c r="B22" s="26">
        <v>2017</v>
      </c>
      <c r="C22" s="12">
        <v>2253086</v>
      </c>
      <c r="D22">
        <v>29.58</v>
      </c>
      <c r="E22" s="12">
        <f t="shared" si="0"/>
        <v>66646283.879999995</v>
      </c>
      <c r="F22" s="16">
        <f>E22/POWER(1+DiscRate,1+attendance!A22)</f>
        <v>21992580.611999787</v>
      </c>
      <c r="G22" s="16">
        <f>$E22/POWER(1+discrate2,1+attendance!$A22)</f>
        <v>23059201.117585991</v>
      </c>
      <c r="H22" s="16">
        <f>$E22/POWER(1+DiscRate3,1+attendance!$A22)</f>
        <v>24180269.797940087</v>
      </c>
      <c r="I22" s="16">
        <f>$E22/POWER(1+DiscRate4,1+attendance!$A22)</f>
        <v>20977644.326639447</v>
      </c>
      <c r="J22" s="16">
        <f>$E22/POWER(1+DiscRate5,1+attendance!$A22)</f>
        <v>20011774.652349971</v>
      </c>
      <c r="K22" s="16">
        <f>$E22/POWER(1+DiscRate6,1+attendance!$A22)</f>
        <v>19092492.258432511</v>
      </c>
    </row>
    <row r="23" spans="1:14" x14ac:dyDescent="0.2">
      <c r="A23" s="26">
        <v>20</v>
      </c>
      <c r="B23" s="26">
        <v>2018</v>
      </c>
      <c r="C23" s="12">
        <v>2253086</v>
      </c>
      <c r="D23">
        <v>29.58</v>
      </c>
      <c r="E23" s="25">
        <f t="shared" si="0"/>
        <v>66646283.879999995</v>
      </c>
      <c r="F23" s="29">
        <f>E23/POWER(1+DiscRate,1+attendance!A23)</f>
        <v>20806604.17407738</v>
      </c>
      <c r="G23" s="29">
        <f>$E23/POWER(1+discrate2,1+attendance!$A23)</f>
        <v>21867426.379882399</v>
      </c>
      <c r="H23" s="29">
        <f>$E23/POWER(1+DiscRate3,1+attendance!$A23)</f>
        <v>22985047.336444948</v>
      </c>
      <c r="I23" s="29">
        <f>$E23/POWER(1+DiscRate4,1+attendance!$A23)</f>
        <v>19799569.916601647</v>
      </c>
      <c r="J23" s="29">
        <f>$E23/POWER(1+DiscRate5,1+attendance!$A23)</f>
        <v>18843478.957015041</v>
      </c>
      <c r="K23" s="29">
        <f>$E23/POWER(1+DiscRate6,1+attendance!$A23)</f>
        <v>17935643.267667927</v>
      </c>
    </row>
    <row r="24" spans="1:14" x14ac:dyDescent="0.2">
      <c r="E24" s="16">
        <f t="shared" ref="E24:K24" si="1">SUM(E4:E23)</f>
        <v>1048408249.61</v>
      </c>
      <c r="F24" s="49">
        <f t="shared" si="1"/>
        <v>548920951.50497246</v>
      </c>
      <c r="G24" s="16">
        <f t="shared" si="1"/>
        <v>563123670.96936893</v>
      </c>
      <c r="H24" s="49">
        <f t="shared" si="1"/>
        <v>577837152.91806638</v>
      </c>
      <c r="I24" s="16">
        <f t="shared" si="1"/>
        <v>535208128.58378118</v>
      </c>
      <c r="J24" s="49">
        <f t="shared" si="1"/>
        <v>521965284.62777019</v>
      </c>
      <c r="K24" s="16">
        <f t="shared" si="1"/>
        <v>509173403.72517198</v>
      </c>
    </row>
    <row r="26" spans="1:14" x14ac:dyDescent="0.2">
      <c r="A26" s="32" t="s">
        <v>77</v>
      </c>
      <c r="I26" s="44"/>
    </row>
    <row r="27" spans="1:14" x14ac:dyDescent="0.2">
      <c r="A27" s="32"/>
      <c r="F27" s="60">
        <f>DiscRate</f>
        <v>5.7000000000000002E-2</v>
      </c>
      <c r="G27" s="70"/>
      <c r="H27" s="70"/>
      <c r="I27" s="70"/>
      <c r="J27" s="60">
        <f>DiscRate3</f>
        <v>5.2000000000000005E-2</v>
      </c>
      <c r="K27" s="70"/>
      <c r="L27" s="70"/>
      <c r="M27" s="67"/>
      <c r="N27" s="60">
        <f>DiscRate5</f>
        <v>6.2E-2</v>
      </c>
    </row>
    <row r="28" spans="1:14" s="19" customFormat="1" x14ac:dyDescent="0.2">
      <c r="A28" s="27"/>
      <c r="B28" s="27" t="s">
        <v>22</v>
      </c>
      <c r="C28" s="27" t="s">
        <v>21</v>
      </c>
      <c r="D28" s="27" t="s">
        <v>23</v>
      </c>
      <c r="E28" s="27" t="s">
        <v>39</v>
      </c>
      <c r="F28" s="27" t="s">
        <v>65</v>
      </c>
      <c r="G28" s="27" t="s">
        <v>21</v>
      </c>
      <c r="H28" s="27" t="s">
        <v>23</v>
      </c>
      <c r="I28" s="27" t="s">
        <v>39</v>
      </c>
      <c r="J28" s="27" t="s">
        <v>65</v>
      </c>
      <c r="K28" s="27" t="s">
        <v>21</v>
      </c>
      <c r="L28" s="27" t="s">
        <v>23</v>
      </c>
      <c r="M28" s="27" t="s">
        <v>39</v>
      </c>
      <c r="N28" s="27" t="s">
        <v>65</v>
      </c>
    </row>
    <row r="29" spans="1:14" x14ac:dyDescent="0.2">
      <c r="A29" s="26">
        <v>1</v>
      </c>
      <c r="B29" s="26">
        <v>1999</v>
      </c>
      <c r="C29" s="12">
        <f>elasticity!E19</f>
        <v>1567699.8412583834</v>
      </c>
      <c r="D29" s="7">
        <f>elasticity!D19</f>
        <v>24.401859060863117</v>
      </c>
      <c r="E29" s="12">
        <f>C29*D29</f>
        <v>38254790.576124549</v>
      </c>
      <c r="F29" s="16">
        <f>$E29/POWER(1+DiscRate,1+attendance!$A29)</f>
        <v>34240165.42071154</v>
      </c>
      <c r="G29" s="12">
        <f>elasticity!E26</f>
        <v>1618976.3694819629</v>
      </c>
      <c r="H29" s="7">
        <f>elasticity!D26</f>
        <v>24.006369563779717</v>
      </c>
      <c r="I29" s="12">
        <f>G29*H29</f>
        <v>38865745.040810376</v>
      </c>
      <c r="J29" s="16">
        <f>$I29/POWER(1+DiscRate3,1+attendance!$A29)</f>
        <v>35118464.413980946</v>
      </c>
      <c r="K29" s="12">
        <f>elasticity!E33</f>
        <v>1515237.6319955133</v>
      </c>
      <c r="L29" s="7">
        <f>elasticity!D33</f>
        <v>24.806493568620514</v>
      </c>
      <c r="M29" s="12">
        <f>K29*L29</f>
        <v>37587732.573028475</v>
      </c>
      <c r="N29" s="16">
        <f>$M29/POWER(1+DiscRate5,1+attendance!$A29)</f>
        <v>33327067.017272312</v>
      </c>
    </row>
    <row r="30" spans="1:14" x14ac:dyDescent="0.2">
      <c r="A30" s="26">
        <v>2</v>
      </c>
      <c r="B30" s="26">
        <v>2000</v>
      </c>
      <c r="C30" s="12">
        <f>elasticity!E20</f>
        <v>1437057.9945421433</v>
      </c>
      <c r="D30" s="7">
        <f>elasticity!D20</f>
        <v>25.322389549731994</v>
      </c>
      <c r="E30" s="12">
        <f t="shared" ref="E30:E48" si="2">C30*D30</f>
        <v>36389742.343352787</v>
      </c>
      <c r="F30" s="16">
        <f>$E30/POWER(1+DiscRate,1+attendance!$A30)</f>
        <v>30814421.487578832</v>
      </c>
      <c r="G30" s="12">
        <f>elasticity!E27</f>
        <v>1484061.4724253281</v>
      </c>
      <c r="H30" s="7">
        <f>elasticity!D27</f>
        <v>24.911980691825118</v>
      </c>
      <c r="I30" s="12">
        <f t="shared" ref="I30:I48" si="3">G30*H30</f>
        <v>36970910.746541329</v>
      </c>
      <c r="J30" s="16">
        <f>$I30/POWER(1+DiscRate3,1+attendance!$A30)</f>
        <v>31755059.419666186</v>
      </c>
      <c r="K30" s="12">
        <f>elasticity!E34</f>
        <v>1388967.642519122</v>
      </c>
      <c r="L30" s="7">
        <f>elasticity!D34</f>
        <v>25.742288402730878</v>
      </c>
      <c r="M30" s="12">
        <f t="shared" ref="M30:M48" si="4">K30*L30</f>
        <v>35755205.635788441</v>
      </c>
      <c r="N30" s="16">
        <f>$M30/POWER(1+DiscRate5,1+attendance!$A30)</f>
        <v>29851470.519804392</v>
      </c>
    </row>
    <row r="31" spans="1:14" x14ac:dyDescent="0.2">
      <c r="A31" s="26">
        <v>3</v>
      </c>
      <c r="B31" s="26">
        <v>2001</v>
      </c>
      <c r="C31" s="12">
        <f>elasticity!$E$21</f>
        <v>1306416.1478259033</v>
      </c>
      <c r="D31" s="7">
        <f>D6*(1+elasticity!$D$18)</f>
        <v>26.320931096979589</v>
      </c>
      <c r="E31" s="12">
        <f t="shared" si="2"/>
        <v>34386089.410907097</v>
      </c>
      <c r="F31" s="16">
        <f>$E31/POWER(1+DiscRate,1+attendance!$A31)</f>
        <v>27547541.047860064</v>
      </c>
      <c r="G31" s="12">
        <f>elasticity!$E$28</f>
        <v>1349146.5753686933</v>
      </c>
      <c r="H31" s="7">
        <f>D6*(1+elasticity!$D$25)</f>
        <v>25.894338525637075</v>
      </c>
      <c r="I31" s="12">
        <f t="shared" si="3"/>
        <v>34935258.143300876</v>
      </c>
      <c r="J31" s="16">
        <f>$I31/POWER(1+DiscRate3,1+attendance!$A31)</f>
        <v>28523380.630734056</v>
      </c>
      <c r="K31" s="12">
        <f>elasticity!$E$35</f>
        <v>1262697.6530427306</v>
      </c>
      <c r="L31" s="7">
        <f>D6*(1+elasticity!$D$32)</f>
        <v>26.757387883799748</v>
      </c>
      <c r="M31" s="12">
        <f t="shared" si="4"/>
        <v>33786490.882427938</v>
      </c>
      <c r="N31" s="16">
        <f>$M31/POWER(1+DiscRate5,1+attendance!$A31)</f>
        <v>26561036.621824138</v>
      </c>
    </row>
    <row r="32" spans="1:14" x14ac:dyDescent="0.2">
      <c r="A32" s="26">
        <v>4</v>
      </c>
      <c r="B32" s="26">
        <v>2002</v>
      </c>
      <c r="C32" s="12">
        <f>elasticity!$E$21</f>
        <v>1306416.1478259033</v>
      </c>
      <c r="D32" s="7">
        <f>D7*(1+elasticity!$D$18)</f>
        <v>27.366279279254414</v>
      </c>
      <c r="E32" s="12">
        <f t="shared" si="2"/>
        <v>35751749.15633139</v>
      </c>
      <c r="F32" s="16">
        <f>$E32/POWER(1+DiscRate,1+attendance!$A32)</f>
        <v>27097071.544347174</v>
      </c>
      <c r="G32" s="12">
        <f>elasticity!$E$28</f>
        <v>1349146.5753686933</v>
      </c>
      <c r="H32" s="7">
        <f>D7*(1+elasticity!$D$25)</f>
        <v>26.922744382908967</v>
      </c>
      <c r="I32" s="12">
        <f t="shared" si="3"/>
        <v>36322728.383728355</v>
      </c>
      <c r="J32" s="16">
        <f>$I32/POWER(1+DiscRate3,1+attendance!$A32)</f>
        <v>28190304.310026534</v>
      </c>
      <c r="K32" s="12">
        <f>elasticity!$E$35</f>
        <v>1262697.6530427306</v>
      </c>
      <c r="L32" s="7">
        <f>D7*(1+elasticity!$D$32)</f>
        <v>27.820070153043719</v>
      </c>
      <c r="M32" s="12">
        <f t="shared" si="4"/>
        <v>35128337.289732426</v>
      </c>
      <c r="N32" s="16">
        <f>$M32/POWER(1+DiscRate5,1+attendance!$A32)</f>
        <v>26003691.815600824</v>
      </c>
    </row>
    <row r="33" spans="1:14" x14ac:dyDescent="0.2">
      <c r="A33" s="26">
        <v>5</v>
      </c>
      <c r="B33" s="26">
        <v>2003</v>
      </c>
      <c r="C33" s="12">
        <f>elasticity!$E$21</f>
        <v>1306416.1478259033</v>
      </c>
      <c r="D33" s="7">
        <f>D8*(1+elasticity!$D$18)</f>
        <v>28.489638519907963</v>
      </c>
      <c r="E33" s="12">
        <f t="shared" si="2"/>
        <v>37219323.808130629</v>
      </c>
      <c r="F33" s="16">
        <f>$E33/POWER(1+DiscRate,1+attendance!$A33)</f>
        <v>26688155.220815964</v>
      </c>
      <c r="G33" s="12">
        <f>elasticity!$E$28</f>
        <v>1349146.5753686933</v>
      </c>
      <c r="H33" s="7">
        <f>D8*(1+elasticity!$D$25)</f>
        <v>28.027896945947422</v>
      </c>
      <c r="I33" s="12">
        <f t="shared" si="3"/>
        <v>37813741.17941162</v>
      </c>
      <c r="J33" s="16">
        <f>$I33/POWER(1+DiscRate3,1+attendance!$A33)</f>
        <v>27896852.642145738</v>
      </c>
      <c r="K33" s="12">
        <f>elasticity!$E$35</f>
        <v>1262697.6530427306</v>
      </c>
      <c r="L33" s="7">
        <f>D8*(1+elasticity!$D$32)</f>
        <v>28.962057069246203</v>
      </c>
      <c r="M33" s="12">
        <f t="shared" si="4"/>
        <v>36570321.488626808</v>
      </c>
      <c r="N33" s="16">
        <f>$M33/POWER(1+DiscRate5,1+attendance!$A33)</f>
        <v>25490695.067334447</v>
      </c>
    </row>
    <row r="34" spans="1:14" x14ac:dyDescent="0.2">
      <c r="A34" s="26">
        <v>6</v>
      </c>
      <c r="B34" s="26">
        <v>2004</v>
      </c>
      <c r="C34" s="12">
        <f>elasticity!$E$21</f>
        <v>1306416.1478259033</v>
      </c>
      <c r="D34" s="7">
        <f>D9*(1+elasticity!$D$18)</f>
        <v>29.65980439558874</v>
      </c>
      <c r="E34" s="12">
        <f t="shared" si="2"/>
        <v>38748047.403754838</v>
      </c>
      <c r="F34" s="16">
        <f>$E34/POWER(1+DiscRate,1+attendance!$A34)</f>
        <v>26286024.673962642</v>
      </c>
      <c r="G34" s="12">
        <f>elasticity!$E$28</f>
        <v>1349146.5753686933</v>
      </c>
      <c r="H34" s="7">
        <f>D9*(1+elasticity!$D$25)</f>
        <v>29.179097532445809</v>
      </c>
      <c r="I34" s="12">
        <f t="shared" si="3"/>
        <v>39366879.508248352</v>
      </c>
      <c r="J34" s="16">
        <f>$I34/POWER(1+DiscRate3,1+attendance!$A34)</f>
        <v>27607101.516705804</v>
      </c>
      <c r="K34" s="12">
        <f>elasticity!$E$35</f>
        <v>1262697.6530427306</v>
      </c>
      <c r="L34" s="7">
        <f>D9*(1+elasticity!$D$32)</f>
        <v>30.151626773623786</v>
      </c>
      <c r="M34" s="12">
        <f t="shared" si="4"/>
        <v>38072388.362475112</v>
      </c>
      <c r="N34" s="16">
        <f>$M34/POWER(1+DiscRate5,1+attendance!$A34)</f>
        <v>24988403.187997382</v>
      </c>
    </row>
    <row r="35" spans="1:14" x14ac:dyDescent="0.2">
      <c r="A35" s="26">
        <v>7</v>
      </c>
      <c r="B35" s="26">
        <v>2005</v>
      </c>
      <c r="C35" s="12">
        <f>elasticity!$E$21</f>
        <v>1306416.1478259033</v>
      </c>
      <c r="D35" s="7">
        <f>D10*(1+elasticity!$D$18)</f>
        <v>30.87677690629674</v>
      </c>
      <c r="E35" s="12">
        <f t="shared" si="2"/>
        <v>40337919.943204001</v>
      </c>
      <c r="F35" s="16">
        <f>$E35/POWER(1+DiscRate,1+attendance!$A35)</f>
        <v>25888900.195322208</v>
      </c>
      <c r="G35" s="12">
        <f>elasticity!$E$28</f>
        <v>1349146.5753686933</v>
      </c>
      <c r="H35" s="7">
        <f>D10*(1+elasticity!$D$25)</f>
        <v>30.376346142404127</v>
      </c>
      <c r="I35" s="12">
        <f t="shared" si="3"/>
        <v>40982143.37023855</v>
      </c>
      <c r="J35" s="16">
        <f>$I35/POWER(1+DiscRate3,1+attendance!$A35)</f>
        <v>27319248.575174946</v>
      </c>
      <c r="K35" s="12">
        <f>elasticity!$E$35</f>
        <v>1262697.6530427306</v>
      </c>
      <c r="L35" s="7">
        <f>D10*(1+elasticity!$D$32)</f>
        <v>31.388779266176467</v>
      </c>
      <c r="M35" s="12">
        <f t="shared" si="4"/>
        <v>39634537.911277346</v>
      </c>
      <c r="N35" s="16">
        <f>$M35/POWER(1+DiscRate5,1+attendance!$A35)</f>
        <v>24495012.491714049</v>
      </c>
    </row>
    <row r="36" spans="1:14" x14ac:dyDescent="0.2">
      <c r="A36" s="26">
        <v>8</v>
      </c>
      <c r="B36" s="26">
        <v>2006</v>
      </c>
      <c r="C36" s="12">
        <f>elasticity!$E$21</f>
        <v>1306416.1478259033</v>
      </c>
      <c r="D36" s="7">
        <f>D11*(1+elasticity!$D$18)</f>
        <v>32.140556052031982</v>
      </c>
      <c r="E36" s="12">
        <f t="shared" si="2"/>
        <v>41988941.426478148</v>
      </c>
      <c r="F36" s="16">
        <f>$E36/POWER(1+DiscRate,1+attendance!$A36)</f>
        <v>25495294.921349555</v>
      </c>
      <c r="G36" s="12">
        <f>elasticity!$E$28</f>
        <v>1349146.5753686933</v>
      </c>
      <c r="H36" s="7">
        <f>D11*(1+elasticity!$D$25)</f>
        <v>31.619642775822392</v>
      </c>
      <c r="I36" s="12">
        <f t="shared" si="3"/>
        <v>42659532.765382223</v>
      </c>
      <c r="J36" s="16">
        <f>$I36/POWER(1+DiscRate3,1+attendance!$A36)</f>
        <v>27031767.044874411</v>
      </c>
      <c r="K36" s="12">
        <f>elasticity!$E$35</f>
        <v>1262697.6530427306</v>
      </c>
      <c r="L36" s="7">
        <f>D11*(1+elasticity!$D$32)</f>
        <v>32.673514546904258</v>
      </c>
      <c r="M36" s="12">
        <f t="shared" si="4"/>
        <v>41256770.135033526</v>
      </c>
      <c r="N36" s="16">
        <f>$M36/POWER(1+DiscRate5,1+attendance!$A36)</f>
        <v>24009027.811289225</v>
      </c>
    </row>
    <row r="37" spans="1:14" x14ac:dyDescent="0.2">
      <c r="A37" s="26">
        <v>9</v>
      </c>
      <c r="B37" s="26">
        <v>2007</v>
      </c>
      <c r="C37" s="12">
        <f>elasticity!$E$21</f>
        <v>1306416.1478259033</v>
      </c>
      <c r="D37" s="7">
        <f>D12*(1+elasticity!$D$18)</f>
        <v>33.46674404447019</v>
      </c>
      <c r="E37" s="12">
        <f t="shared" si="2"/>
        <v>43721494.834852234</v>
      </c>
      <c r="F37" s="16">
        <f>$E37/POWER(1+DiscRate,1+attendance!$A37)</f>
        <v>25115690.866389938</v>
      </c>
      <c r="G37" s="12">
        <f>elasticity!$E$28</f>
        <v>1349146.5753686933</v>
      </c>
      <c r="H37" s="7">
        <f>D12*(1+elasticity!$D$25)</f>
        <v>32.924336773853895</v>
      </c>
      <c r="I37" s="12">
        <f t="shared" si="3"/>
        <v>44419756.204730518</v>
      </c>
      <c r="J37" s="16">
        <f>$I37/POWER(1+DiscRate3,1+attendance!$A37)</f>
        <v>26755851.227091998</v>
      </c>
      <c r="K37" s="12">
        <f>elasticity!$E$35</f>
        <v>1262697.6530427306</v>
      </c>
      <c r="L37" s="7">
        <f>D12*(1+elasticity!$D$32)</f>
        <v>34.02169354519885</v>
      </c>
      <c r="M37" s="12">
        <f t="shared" si="4"/>
        <v>42959112.592061609</v>
      </c>
      <c r="N37" s="16">
        <f>$M37/POWER(1+DiscRate5,1+attendance!$A37)</f>
        <v>23540199.228061818</v>
      </c>
    </row>
    <row r="38" spans="1:14" x14ac:dyDescent="0.2">
      <c r="A38" s="26">
        <v>10</v>
      </c>
      <c r="B38" s="26">
        <v>2008</v>
      </c>
      <c r="C38" s="12">
        <f>elasticity!$E$21</f>
        <v>1306416.1478259033</v>
      </c>
      <c r="D38" s="7">
        <f>D13*(1+elasticity!$D$18)</f>
        <v>34.824136460259894</v>
      </c>
      <c r="E38" s="12">
        <f t="shared" si="2"/>
        <v>45494814.205776319</v>
      </c>
      <c r="F38" s="16">
        <f>$E38/POWER(1+DiscRate,1+attendance!$A38)</f>
        <v>24725041.851650491</v>
      </c>
      <c r="G38" s="12">
        <f>elasticity!$E$28</f>
        <v>1349146.5753686933</v>
      </c>
      <c r="H38" s="7">
        <f>D13*(1+elasticity!$D$25)</f>
        <v>34.259729454192026</v>
      </c>
      <c r="I38" s="12">
        <f t="shared" si="3"/>
        <v>46221396.666181125</v>
      </c>
      <c r="J38" s="16">
        <f>$I38/POWER(1+DiscRate3,1+attendance!$A38)</f>
        <v>26464879.833226677</v>
      </c>
      <c r="K38" s="12">
        <f>elasticity!$E$35</f>
        <v>1262697.6530427306</v>
      </c>
      <c r="L38" s="7">
        <f>D13*(1+elasticity!$D$32)</f>
        <v>35.401594402276842</v>
      </c>
      <c r="M38" s="12">
        <f t="shared" si="4"/>
        <v>44701510.165725641</v>
      </c>
      <c r="N38" s="16">
        <f>$M38/POWER(1+DiscRate5,1+attendance!$A38)</f>
        <v>23064949.66046118</v>
      </c>
    </row>
    <row r="39" spans="1:14" x14ac:dyDescent="0.2">
      <c r="A39" s="26">
        <v>11</v>
      </c>
      <c r="B39" s="26">
        <v>2009</v>
      </c>
      <c r="C39" s="12">
        <f>elasticity!$E$21</f>
        <v>1306416.1478259033</v>
      </c>
      <c r="D39" s="7">
        <f>D14*(1+elasticity!$D$18)</f>
        <v>36.259539934428311</v>
      </c>
      <c r="E39" s="12">
        <f t="shared" si="2"/>
        <v>47370048.483075336</v>
      </c>
      <c r="F39" s="16">
        <f>$E39/POWER(1+DiscRate,1+attendance!$A39)</f>
        <v>24355888.742754284</v>
      </c>
      <c r="G39" s="12">
        <f>elasticity!$E$28</f>
        <v>1349146.5753686933</v>
      </c>
      <c r="H39" s="7">
        <f>D14*(1+elasticity!$D$25)</f>
        <v>35.67186884029671</v>
      </c>
      <c r="I39" s="12">
        <f t="shared" si="3"/>
        <v>48126579.682887509</v>
      </c>
      <c r="J39" s="16">
        <f>$I39/POWER(1+DiscRate3,1+attendance!$A39)</f>
        <v>26193656.021479305</v>
      </c>
      <c r="K39" s="12">
        <f>elasticity!$E$35</f>
        <v>1262697.6530427306</v>
      </c>
      <c r="L39" s="7">
        <f>D14*(1+elasticity!$D$32)</f>
        <v>36.860799906313346</v>
      </c>
      <c r="M39" s="12">
        <f t="shared" si="4"/>
        <v>46544045.530979566</v>
      </c>
      <c r="N39" s="16">
        <f>$M39/POWER(1+DiscRate5,1+attendance!$A39)</f>
        <v>22613611.554461971</v>
      </c>
    </row>
    <row r="40" spans="1:14" x14ac:dyDescent="0.2">
      <c r="A40" s="26">
        <v>12</v>
      </c>
      <c r="B40" s="26">
        <v>2010</v>
      </c>
      <c r="C40" s="12">
        <f>elasticity!$E$21</f>
        <v>1306416.1478259033</v>
      </c>
      <c r="D40" s="7">
        <f>D15*(1+elasticity!$D$18)</f>
        <v>37.741750043623966</v>
      </c>
      <c r="E40" s="12">
        <f t="shared" si="2"/>
        <v>49306431.704199336</v>
      </c>
      <c r="F40" s="16">
        <f>$E40/POWER(1+DiscRate,1+attendance!$A40)</f>
        <v>23984393.392758474</v>
      </c>
      <c r="G40" s="12">
        <f>elasticity!$E$28</f>
        <v>1349146.5753686933</v>
      </c>
      <c r="H40" s="7">
        <f>D15*(1+elasticity!$D$25)</f>
        <v>37.13005624986134</v>
      </c>
      <c r="I40" s="12">
        <f t="shared" si="3"/>
        <v>50093888.232747376</v>
      </c>
      <c r="J40" s="16">
        <f>$I40/POWER(1+DiscRate3,1+attendance!$A40)</f>
        <v>25916725.258976612</v>
      </c>
      <c r="K40" s="12">
        <f>elasticity!$E$35</f>
        <v>1262697.6530427306</v>
      </c>
      <c r="L40" s="7">
        <f>D15*(1+elasticity!$D$32)</f>
        <v>38.367588198524949</v>
      </c>
      <c r="M40" s="12">
        <f t="shared" si="4"/>
        <v>48446663.571187422</v>
      </c>
      <c r="N40" s="16">
        <f>$M40/POWER(1+DiscRate5,1+attendance!$A40)</f>
        <v>22163847.62222559</v>
      </c>
    </row>
    <row r="41" spans="1:14" x14ac:dyDescent="0.2">
      <c r="A41" s="26">
        <v>13</v>
      </c>
      <c r="B41" s="26">
        <v>2011</v>
      </c>
      <c r="C41" s="12">
        <f>elasticity!$E$21</f>
        <v>1306416.1478259033</v>
      </c>
      <c r="D41" s="7">
        <f>D16*(1+elasticity!$D$18)</f>
        <v>39.286368999522587</v>
      </c>
      <c r="E41" s="12">
        <f t="shared" si="2"/>
        <v>51324346.850423284</v>
      </c>
      <c r="F41" s="16">
        <f>$E41/POWER(1+DiscRate,1+attendance!$A41)</f>
        <v>23619658.21782453</v>
      </c>
      <c r="G41" s="12">
        <f>elasticity!$E$28</f>
        <v>1349146.5753686933</v>
      </c>
      <c r="H41" s="7">
        <f>D16*(1+elasticity!$D$25)</f>
        <v>38.649641024039212</v>
      </c>
      <c r="I41" s="12">
        <f t="shared" si="3"/>
        <v>52144030.826811858</v>
      </c>
      <c r="J41" s="16">
        <f>$I41/POWER(1+DiscRate3,1+attendance!$A41)</f>
        <v>25643909.906091623</v>
      </c>
      <c r="K41" s="12">
        <f>elasticity!$E$35</f>
        <v>1262697.6530427306</v>
      </c>
      <c r="L41" s="7">
        <f>D16*(1+elasticity!$D$32)</f>
        <v>39.937820208303357</v>
      </c>
      <c r="M41" s="12">
        <f t="shared" si="4"/>
        <v>50429391.844667189</v>
      </c>
      <c r="N41" s="16">
        <f>$M41/POWER(1+DiscRate5,1+attendance!$A41)</f>
        <v>21724035.127106588</v>
      </c>
    </row>
    <row r="42" spans="1:14" x14ac:dyDescent="0.2">
      <c r="A42" s="26">
        <v>14</v>
      </c>
      <c r="B42" s="26">
        <v>2012</v>
      </c>
      <c r="C42" s="12">
        <f>elasticity!$E$21</f>
        <v>1306416.1478259033</v>
      </c>
      <c r="D42" s="7">
        <f>D17*(1+elasticity!$D$18)</f>
        <v>40.908999013799928</v>
      </c>
      <c r="E42" s="12">
        <f t="shared" si="2"/>
        <v>53444176.903022178</v>
      </c>
      <c r="F42" s="16">
        <f>$E42/POWER(1+DiscRate,1+attendance!$A42)</f>
        <v>23268885.53676948</v>
      </c>
      <c r="G42" s="12">
        <f>elasticity!$E$28</f>
        <v>1349146.5753686933</v>
      </c>
      <c r="H42" s="7">
        <f>D17*(1+elasticity!$D$25)</f>
        <v>40.245972503983644</v>
      </c>
      <c r="I42" s="12">
        <f t="shared" si="3"/>
        <v>54297715.976132132</v>
      </c>
      <c r="J42" s="16">
        <f>$I42/POWER(1+DiscRate3,1+attendance!$A42)</f>
        <v>25383146.959296957</v>
      </c>
      <c r="K42" s="12">
        <f>elasticity!$E$35</f>
        <v>1262697.6530427306</v>
      </c>
      <c r="L42" s="7">
        <f>D17*(1+elasticity!$D$32)</f>
        <v>41.58735686504027</v>
      </c>
      <c r="M42" s="12">
        <f t="shared" si="4"/>
        <v>52512257.909736842</v>
      </c>
      <c r="N42" s="16">
        <f>$M42/POWER(1+DiscRate5,1+attendance!$A42)</f>
        <v>21300654.161327884</v>
      </c>
    </row>
    <row r="43" spans="1:14" x14ac:dyDescent="0.2">
      <c r="A43" s="26">
        <v>15</v>
      </c>
      <c r="B43" s="26">
        <v>2013</v>
      </c>
      <c r="C43" s="12">
        <f>elasticity!$E$21</f>
        <v>1306416.1478259033</v>
      </c>
      <c r="D43" s="7">
        <f>D18*(1+elasticity!$D$18)</f>
        <v>42.5784356631045</v>
      </c>
      <c r="E43" s="12">
        <f t="shared" si="2"/>
        <v>55625155.89944604</v>
      </c>
      <c r="F43" s="16">
        <f>$E43/POWER(1+DiscRate,1+attendance!$A43)</f>
        <v>22912445.463588387</v>
      </c>
      <c r="G43" s="12">
        <f>elasticity!$E$28</f>
        <v>1349146.5753686933</v>
      </c>
      <c r="H43" s="7">
        <f>D18*(1+elasticity!$D$25)</f>
        <v>41.888352007388008</v>
      </c>
      <c r="I43" s="12">
        <f t="shared" si="3"/>
        <v>56513526.658605859</v>
      </c>
      <c r="J43" s="16">
        <f>$I43/POWER(1+DiscRate3,1+attendance!$A43)</f>
        <v>25113114.264182195</v>
      </c>
      <c r="K43" s="12">
        <f>elasticity!$E$35</f>
        <v>1262697.6530427306</v>
      </c>
      <c r="L43" s="7">
        <f>D18*(1+elasticity!$D$32)</f>
        <v>43.284476309952289</v>
      </c>
      <c r="M43" s="12">
        <f t="shared" si="4"/>
        <v>54655206.649760433</v>
      </c>
      <c r="N43" s="16">
        <f>$M43/POWER(1+DiscRate5,1+attendance!$A43)</f>
        <v>20875614.712487768</v>
      </c>
    </row>
    <row r="44" spans="1:14" x14ac:dyDescent="0.2">
      <c r="A44" s="26">
        <v>16</v>
      </c>
      <c r="B44" s="26">
        <v>2014</v>
      </c>
      <c r="C44" s="12">
        <f>elasticity!$E$21</f>
        <v>1306416.1478259033</v>
      </c>
      <c r="D44" s="7">
        <f>D19*(1+elasticity!$D$18)</f>
        <v>44.341485582463541</v>
      </c>
      <c r="E44" s="12">
        <f t="shared" si="2"/>
        <v>57928432.783519849</v>
      </c>
      <c r="F44" s="16">
        <f>$E44/POWER(1+DiscRate,1+attendance!$A44)</f>
        <v>22574440.479172409</v>
      </c>
      <c r="G44" s="12">
        <f>elasticity!$E$28</f>
        <v>1349146.5753686933</v>
      </c>
      <c r="H44" s="7">
        <f>D19*(1+elasticity!$D$25)</f>
        <v>43.622827557712249</v>
      </c>
      <c r="I44" s="12">
        <f t="shared" si="3"/>
        <v>58853588.407386541</v>
      </c>
      <c r="J44" s="16">
        <f>$I44/POWER(1+DiscRate3,1+attendance!$A44)</f>
        <v>24860243.079473741</v>
      </c>
      <c r="K44" s="12">
        <f>elasticity!$E$35</f>
        <v>1262697.6530427306</v>
      </c>
      <c r="L44" s="7">
        <f>D19*(1+elasticity!$D$32)</f>
        <v>45.076761331214513</v>
      </c>
      <c r="M44" s="12">
        <f t="shared" si="4"/>
        <v>56918320.739691883</v>
      </c>
      <c r="N44" s="16">
        <f>$M44/POWER(1+DiscRate5,1+attendance!$A44)</f>
        <v>20470822.563844927</v>
      </c>
    </row>
    <row r="45" spans="1:14" x14ac:dyDescent="0.2">
      <c r="A45" s="26">
        <v>17</v>
      </c>
      <c r="B45" s="26">
        <v>2015</v>
      </c>
      <c r="C45" s="12">
        <f>elasticity!$E$21</f>
        <v>1306416.1478259033</v>
      </c>
      <c r="D45" s="7">
        <f>D20*(1+elasticity!$D$18)</f>
        <v>46.151342136849806</v>
      </c>
      <c r="E45" s="12">
        <f t="shared" si="2"/>
        <v>60292858.611418612</v>
      </c>
      <c r="F45" s="16">
        <f>$E45/POWER(1+DiscRate,1+attendance!$A45)</f>
        <v>22228804.364253718</v>
      </c>
      <c r="G45" s="12">
        <f>elasticity!$E$28</f>
        <v>1349146.5753686933</v>
      </c>
      <c r="H45" s="7">
        <f>D20*(1+elasticity!$D$25)</f>
        <v>45.403351131496422</v>
      </c>
      <c r="I45" s="12">
        <f t="shared" si="3"/>
        <v>61255775.689320683</v>
      </c>
      <c r="J45" s="16">
        <f>$I45/POWER(1+DiscRate3,1+attendance!$A45)</f>
        <v>24595957.108969521</v>
      </c>
      <c r="K45" s="12">
        <f>elasticity!$E$35</f>
        <v>1262697.6530427306</v>
      </c>
      <c r="L45" s="7">
        <f>D20*(1+elasticity!$D$32)</f>
        <v>46.916629140651835</v>
      </c>
      <c r="M45" s="12">
        <f t="shared" si="4"/>
        <v>59241517.504577257</v>
      </c>
      <c r="N45" s="16">
        <f>$M45/POWER(1+DiscRate5,1+attendance!$A45)</f>
        <v>20062491.847420942</v>
      </c>
    </row>
    <row r="46" spans="1:14" x14ac:dyDescent="0.2">
      <c r="A46" s="26">
        <v>18</v>
      </c>
      <c r="B46" s="26">
        <v>2016</v>
      </c>
      <c r="C46" s="12">
        <f>elasticity!$E$21</f>
        <v>1306416.1478259033</v>
      </c>
      <c r="D46" s="7">
        <f>D21*(1+elasticity!$D$18)</f>
        <v>46.151342136849806</v>
      </c>
      <c r="E46" s="12">
        <f t="shared" si="2"/>
        <v>60292858.611418612</v>
      </c>
      <c r="F46" s="16">
        <f>$E46/POWER(1+DiscRate,1+attendance!$A46)</f>
        <v>21030089.275547508</v>
      </c>
      <c r="G46" s="12">
        <f>elasticity!$E$28</f>
        <v>1349146.5753686933</v>
      </c>
      <c r="H46" s="7">
        <f>D21*(1+elasticity!$D$25)</f>
        <v>45.403351131496422</v>
      </c>
      <c r="I46" s="12">
        <f t="shared" si="3"/>
        <v>61255775.689320683</v>
      </c>
      <c r="J46" s="16">
        <f>$I46/POWER(1+DiscRate3,1+attendance!$A46)</f>
        <v>23380187.365940604</v>
      </c>
      <c r="K46" s="12">
        <f>elasticity!$E$35</f>
        <v>1262697.6530427306</v>
      </c>
      <c r="L46" s="7">
        <f>D21*(1+elasticity!$D$32)</f>
        <v>46.916629140651835</v>
      </c>
      <c r="M46" s="12">
        <f t="shared" si="4"/>
        <v>59241517.504577257</v>
      </c>
      <c r="N46" s="16">
        <f>$M46/POWER(1+DiscRate5,1+attendance!$A46)</f>
        <v>18891235.261224993</v>
      </c>
    </row>
    <row r="47" spans="1:14" x14ac:dyDescent="0.2">
      <c r="A47" s="26">
        <v>19</v>
      </c>
      <c r="B47" s="26">
        <v>2017</v>
      </c>
      <c r="C47" s="12">
        <f>elasticity!$E$21</f>
        <v>1306416.1478259033</v>
      </c>
      <c r="D47" s="7">
        <f>D22*(1+elasticity!$D$18)</f>
        <v>46.151342136849806</v>
      </c>
      <c r="E47" s="12">
        <f t="shared" si="2"/>
        <v>60292858.611418612</v>
      </c>
      <c r="F47" s="16">
        <f>$E47/POWER(1+DiscRate,1+attendance!$A47)</f>
        <v>19896016.343942769</v>
      </c>
      <c r="G47" s="12">
        <f>elasticity!$E$28</f>
        <v>1349146.5753686933</v>
      </c>
      <c r="H47" s="7">
        <f>D22*(1+elasticity!$D$25)</f>
        <v>45.403351131496422</v>
      </c>
      <c r="I47" s="12">
        <f t="shared" si="3"/>
        <v>61255775.689320683</v>
      </c>
      <c r="J47" s="16">
        <f>$I47/POWER(1+DiscRate3,1+attendance!$A47)</f>
        <v>22224512.705266736</v>
      </c>
      <c r="K47" s="12">
        <f>elasticity!$E$35</f>
        <v>1262697.6530427306</v>
      </c>
      <c r="L47" s="7">
        <f>D22*(1+elasticity!$D$32)</f>
        <v>46.916629140651835</v>
      </c>
      <c r="M47" s="12">
        <f t="shared" si="4"/>
        <v>59241517.504577257</v>
      </c>
      <c r="N47" s="16">
        <f>$M47/POWER(1+DiscRate5,1+attendance!$A47)</f>
        <v>17788357.119797543</v>
      </c>
    </row>
    <row r="48" spans="1:14" x14ac:dyDescent="0.2">
      <c r="A48" s="26">
        <v>20</v>
      </c>
      <c r="B48" s="26">
        <v>2018</v>
      </c>
      <c r="C48" s="12">
        <f>elasticity!$E$21</f>
        <v>1306416.1478259033</v>
      </c>
      <c r="D48" s="7">
        <f>D23*(1+elasticity!$D$18)</f>
        <v>46.151342136849806</v>
      </c>
      <c r="E48" s="25">
        <f t="shared" si="2"/>
        <v>60292858.611418612</v>
      </c>
      <c r="F48" s="29">
        <f>$E48/POWER(1+DiscRate,1+attendance!$A48)</f>
        <v>18823099.663143586</v>
      </c>
      <c r="G48" s="12">
        <f>elasticity!$E$28</f>
        <v>1349146.5753686933</v>
      </c>
      <c r="H48" s="7">
        <f>D23*(1+elasticity!$D$25)</f>
        <v>45.403351131496422</v>
      </c>
      <c r="I48" s="25">
        <f t="shared" si="3"/>
        <v>61255775.689320683</v>
      </c>
      <c r="J48" s="29">
        <f>$I48/POWER(1+DiscRate3,1+attendance!$A48)</f>
        <v>21125962.647591952</v>
      </c>
      <c r="K48" s="12">
        <f>elasticity!$E$35</f>
        <v>1262697.6530427306</v>
      </c>
      <c r="L48" s="7">
        <f>D23*(1+elasticity!$D$32)</f>
        <v>46.916629140651835</v>
      </c>
      <c r="M48" s="25">
        <f t="shared" si="4"/>
        <v>59241517.504577257</v>
      </c>
      <c r="N48" s="29">
        <f>$M48/POWER(1+DiscRate5,1+attendance!$A48)</f>
        <v>16749865.461202962</v>
      </c>
    </row>
    <row r="49" spans="5:14" x14ac:dyDescent="0.2">
      <c r="E49" s="16">
        <f>SUM(E29:E48)</f>
        <v>948462940.17827237</v>
      </c>
      <c r="F49" s="49">
        <f>SUM(F29:F48)</f>
        <v>496592028.70974344</v>
      </c>
      <c r="I49" s="16">
        <f>SUM(I29:I48)</f>
        <v>963610524.55042732</v>
      </c>
      <c r="J49" s="49">
        <f>SUM(J29:J48)</f>
        <v>531100324.93089652</v>
      </c>
      <c r="M49" s="16">
        <f>SUM(M29:M48)</f>
        <v>931924363.30050981</v>
      </c>
      <c r="N49" s="49">
        <f>SUM(N29:N48)</f>
        <v>463972088.85246092</v>
      </c>
    </row>
    <row r="51" spans="5:14" x14ac:dyDescent="0.2">
      <c r="G51" s="18"/>
    </row>
  </sheetData>
  <phoneticPr fontId="0" type="noConversion"/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J18" sqref="J18"/>
    </sheetView>
  </sheetViews>
  <sheetFormatPr defaultRowHeight="12.75" x14ac:dyDescent="0.2"/>
  <cols>
    <col min="2" max="2" width="10.42578125" style="6" customWidth="1"/>
    <col min="3" max="3" width="10" bestFit="1" customWidth="1"/>
    <col min="4" max="4" width="12" bestFit="1" customWidth="1"/>
    <col min="5" max="5" width="12.85546875" customWidth="1"/>
    <col min="6" max="7" width="10.5703125" bestFit="1" customWidth="1"/>
    <col min="8" max="12" width="10.7109375" customWidth="1"/>
  </cols>
  <sheetData>
    <row r="1" spans="1:11" x14ac:dyDescent="0.2">
      <c r="A1" t="s">
        <v>28</v>
      </c>
      <c r="B1" s="43">
        <v>0.03</v>
      </c>
    </row>
    <row r="2" spans="1:11" s="19" customFormat="1" x14ac:dyDescent="0.2">
      <c r="B2" s="45"/>
      <c r="E2" s="19" t="s">
        <v>53</v>
      </c>
      <c r="F2" s="19" t="s">
        <v>55</v>
      </c>
      <c r="J2" s="19" t="s">
        <v>31</v>
      </c>
    </row>
    <row r="3" spans="1:11" s="19" customFormat="1" x14ac:dyDescent="0.2">
      <c r="B3" s="19" t="s">
        <v>22</v>
      </c>
      <c r="C3" s="19" t="s">
        <v>42</v>
      </c>
      <c r="D3" s="19" t="s">
        <v>25</v>
      </c>
      <c r="E3" s="19" t="s">
        <v>54</v>
      </c>
      <c r="F3" s="19" t="s">
        <v>54</v>
      </c>
      <c r="G3" s="19" t="s">
        <v>43</v>
      </c>
      <c r="H3" s="19" t="s">
        <v>29</v>
      </c>
      <c r="I3" s="19" t="s">
        <v>30</v>
      </c>
      <c r="J3" s="19" t="s">
        <v>32</v>
      </c>
      <c r="K3" s="19" t="s">
        <v>26</v>
      </c>
    </row>
    <row r="4" spans="1:11" x14ac:dyDescent="0.2">
      <c r="A4">
        <f>$B$11-B4</f>
        <v>7</v>
      </c>
      <c r="B4" s="19">
        <v>1989</v>
      </c>
      <c r="C4" s="31">
        <v>0.45100000000000001</v>
      </c>
      <c r="D4" s="15">
        <v>6.8</v>
      </c>
      <c r="E4" s="12">
        <v>1298430</v>
      </c>
      <c r="F4" s="12">
        <f>E4</f>
        <v>1298430</v>
      </c>
      <c r="G4" s="15">
        <f t="shared" ref="G4:G11" si="0">D4*POWER(1+inflation,A4)</f>
        <v>8.3631422848891148</v>
      </c>
      <c r="H4" s="15"/>
      <c r="I4" s="15"/>
      <c r="J4" s="15"/>
    </row>
    <row r="5" spans="1:11" x14ac:dyDescent="0.2">
      <c r="A5">
        <f t="shared" ref="A5:A11" si="1">$B$11-B5</f>
        <v>6</v>
      </c>
      <c r="B5" s="19">
        <v>1990</v>
      </c>
      <c r="C5" s="31">
        <v>0.47499999999999998</v>
      </c>
      <c r="D5" s="15">
        <v>7.12</v>
      </c>
      <c r="E5" s="12">
        <v>1509759</v>
      </c>
      <c r="F5" s="12">
        <f t="shared" ref="F5:F11" si="2">E5</f>
        <v>1509759</v>
      </c>
      <c r="G5" s="15">
        <f t="shared" si="0"/>
        <v>8.501652351286479</v>
      </c>
      <c r="H5" s="17">
        <f>F5/F4-1</f>
        <v>0.16275733000623838</v>
      </c>
      <c r="I5" s="17">
        <f>G5/G4-1</f>
        <v>1.6561964591661926E-2</v>
      </c>
      <c r="J5" s="4">
        <f>-H5/I5</f>
        <v>-9.8271753393421744</v>
      </c>
    </row>
    <row r="6" spans="1:11" x14ac:dyDescent="0.2">
      <c r="A6">
        <f t="shared" si="1"/>
        <v>5</v>
      </c>
      <c r="B6" s="19">
        <v>1991</v>
      </c>
      <c r="C6" s="31">
        <v>0.51200000000000001</v>
      </c>
      <c r="D6" s="15">
        <v>6.37</v>
      </c>
      <c r="E6" s="12">
        <v>2147877</v>
      </c>
      <c r="F6" s="12">
        <f>E6-200000/D6</f>
        <v>2116479.8257456827</v>
      </c>
      <c r="G6" s="15">
        <f t="shared" si="0"/>
        <v>7.3845758532909995</v>
      </c>
      <c r="H6" s="17">
        <f t="shared" ref="H6:H11" si="3">F6/F5-1</f>
        <v>0.40186601023453594</v>
      </c>
      <c r="I6" s="17">
        <f t="shared" ref="I6:I11" si="4">G6/G5-1</f>
        <v>-0.13139522199192755</v>
      </c>
      <c r="J6" s="4">
        <f t="shared" ref="J6:J11" si="5">-H6/I6</f>
        <v>3.0584522339725959</v>
      </c>
      <c r="K6" t="s">
        <v>27</v>
      </c>
    </row>
    <row r="7" spans="1:11" x14ac:dyDescent="0.2">
      <c r="A7">
        <f t="shared" si="1"/>
        <v>4</v>
      </c>
      <c r="B7" s="19">
        <v>1992</v>
      </c>
      <c r="C7" s="31">
        <v>0.39500000000000002</v>
      </c>
      <c r="D7" s="15">
        <v>8.8800000000000008</v>
      </c>
      <c r="E7" s="12">
        <v>1651428</v>
      </c>
      <c r="F7" s="12">
        <v>1651398</v>
      </c>
      <c r="G7" s="15">
        <f t="shared" si="0"/>
        <v>9.9945182328000008</v>
      </c>
      <c r="H7" s="17">
        <f t="shared" si="3"/>
        <v>-0.21974309421155203</v>
      </c>
      <c r="I7" s="17">
        <f t="shared" si="4"/>
        <v>0.35343158921522333</v>
      </c>
      <c r="J7" s="4">
        <f t="shared" si="5"/>
        <v>0.6217415220282948</v>
      </c>
    </row>
    <row r="8" spans="1:11" x14ac:dyDescent="0.2">
      <c r="A8">
        <f t="shared" si="1"/>
        <v>3</v>
      </c>
      <c r="B8" s="19">
        <v>1993</v>
      </c>
      <c r="C8" s="31">
        <v>0.50600000000000001</v>
      </c>
      <c r="D8" s="15">
        <v>8.91</v>
      </c>
      <c r="E8" s="12">
        <v>2051853</v>
      </c>
      <c r="F8" s="12">
        <f t="shared" si="2"/>
        <v>2051853</v>
      </c>
      <c r="G8" s="15">
        <f t="shared" si="0"/>
        <v>9.7361975699999999</v>
      </c>
      <c r="H8" s="17">
        <f t="shared" si="3"/>
        <v>0.24249454098890766</v>
      </c>
      <c r="I8" s="17">
        <f t="shared" si="4"/>
        <v>-2.5846234584098737E-2</v>
      </c>
      <c r="J8" s="4">
        <f t="shared" si="5"/>
        <v>9.3821999564337499</v>
      </c>
    </row>
    <row r="9" spans="1:11" x14ac:dyDescent="0.2">
      <c r="A9">
        <f t="shared" si="1"/>
        <v>2</v>
      </c>
      <c r="B9" s="19">
        <v>1994</v>
      </c>
      <c r="C9" s="31">
        <v>0.438</v>
      </c>
      <c r="D9" s="15">
        <v>11.86</v>
      </c>
      <c r="E9" s="12">
        <v>1104206</v>
      </c>
      <c r="F9" s="12">
        <v>2032743</v>
      </c>
      <c r="G9" s="15">
        <f t="shared" si="0"/>
        <v>12.582273999999998</v>
      </c>
      <c r="H9" s="17">
        <f t="shared" si="3"/>
        <v>-9.3135326945936736E-3</v>
      </c>
      <c r="I9" s="17">
        <f t="shared" si="4"/>
        <v>0.29231909167184233</v>
      </c>
      <c r="J9" s="4">
        <f t="shared" si="5"/>
        <v>3.1860843030564197E-2</v>
      </c>
      <c r="K9" t="s">
        <v>40</v>
      </c>
    </row>
    <row r="10" spans="1:11" x14ac:dyDescent="0.2">
      <c r="A10">
        <f t="shared" si="1"/>
        <v>1</v>
      </c>
      <c r="B10" s="19">
        <v>1995</v>
      </c>
      <c r="C10" s="31">
        <v>0.54500000000000004</v>
      </c>
      <c r="D10" s="15">
        <v>10.88</v>
      </c>
      <c r="E10" s="12">
        <v>1643203</v>
      </c>
      <c r="F10" s="12">
        <v>1823280</v>
      </c>
      <c r="G10" s="15">
        <f t="shared" si="0"/>
        <v>11.2064</v>
      </c>
      <c r="H10" s="17">
        <f t="shared" si="3"/>
        <v>-0.10304450685600686</v>
      </c>
      <c r="I10" s="17">
        <f t="shared" si="4"/>
        <v>-0.10935018582491507</v>
      </c>
      <c r="J10" s="4">
        <f t="shared" si="5"/>
        <v>-0.94233499539722332</v>
      </c>
      <c r="K10" t="s">
        <v>40</v>
      </c>
    </row>
    <row r="11" spans="1:11" x14ac:dyDescent="0.2">
      <c r="A11">
        <f t="shared" si="1"/>
        <v>0</v>
      </c>
      <c r="B11" s="19">
        <v>1996</v>
      </c>
      <c r="C11" s="31">
        <v>0.52800000000000002</v>
      </c>
      <c r="D11" s="15">
        <v>12.34</v>
      </c>
      <c r="E11" s="12">
        <v>2723850</v>
      </c>
      <c r="F11" s="12">
        <f t="shared" si="2"/>
        <v>2723850</v>
      </c>
      <c r="G11" s="15">
        <f t="shared" si="0"/>
        <v>12.34</v>
      </c>
      <c r="H11" s="17">
        <f t="shared" si="3"/>
        <v>0.49392852441753332</v>
      </c>
      <c r="I11" s="17">
        <f t="shared" si="4"/>
        <v>0.10115648201027971</v>
      </c>
      <c r="J11" s="4">
        <f t="shared" si="5"/>
        <v>-4.8828163514755225</v>
      </c>
    </row>
    <row r="12" spans="1:11" x14ac:dyDescent="0.2">
      <c r="B12" s="15"/>
      <c r="I12" s="4"/>
      <c r="J12" s="4"/>
    </row>
    <row r="13" spans="1:11" x14ac:dyDescent="0.2">
      <c r="B13" s="15" t="s">
        <v>29</v>
      </c>
      <c r="F13" s="12"/>
      <c r="I13" s="4"/>
    </row>
    <row r="14" spans="1:11" x14ac:dyDescent="0.2">
      <c r="B14" s="15" t="s">
        <v>30</v>
      </c>
      <c r="I14" s="6"/>
    </row>
    <row r="15" spans="1:11" x14ac:dyDescent="0.2">
      <c r="B15" s="15"/>
    </row>
    <row r="16" spans="1:11" s="27" customFormat="1" x14ac:dyDescent="0.2">
      <c r="A16" s="27" t="s">
        <v>34</v>
      </c>
      <c r="B16" s="30"/>
      <c r="D16" s="48">
        <f>DiscRate</f>
        <v>5.7000000000000002E-2</v>
      </c>
    </row>
    <row r="17" spans="1:10" s="27" customFormat="1" x14ac:dyDescent="0.2">
      <c r="B17" s="30"/>
      <c r="C17" s="27" t="s">
        <v>58</v>
      </c>
      <c r="D17" s="27" t="s">
        <v>35</v>
      </c>
      <c r="E17" s="74" t="s">
        <v>34</v>
      </c>
      <c r="F17" s="74"/>
      <c r="G17" s="74"/>
      <c r="H17" s="74"/>
      <c r="I17" s="74"/>
      <c r="J17" s="74"/>
    </row>
    <row r="18" spans="1:10" s="27" customFormat="1" x14ac:dyDescent="0.2">
      <c r="A18" s="27" t="s">
        <v>22</v>
      </c>
      <c r="B18" s="27" t="s">
        <v>21</v>
      </c>
      <c r="C18" s="27" t="s">
        <v>59</v>
      </c>
      <c r="D18" s="71">
        <f>facts!C33</f>
        <v>0.56022116757436791</v>
      </c>
      <c r="E18" s="27">
        <v>0.75</v>
      </c>
      <c r="F18" s="27">
        <v>0.8</v>
      </c>
      <c r="G18" s="27">
        <v>0.85</v>
      </c>
      <c r="H18" s="27">
        <v>0.7</v>
      </c>
      <c r="I18" s="27">
        <v>0.65</v>
      </c>
      <c r="J18" s="27">
        <v>0.6</v>
      </c>
    </row>
    <row r="19" spans="1:10" x14ac:dyDescent="0.2">
      <c r="A19">
        <v>1999</v>
      </c>
      <c r="B19" s="12">
        <v>2703704</v>
      </c>
      <c r="C19">
        <v>15.64</v>
      </c>
      <c r="D19" s="7">
        <f>C19*(1+$D$18)</f>
        <v>24.401859060863117</v>
      </c>
      <c r="E19" s="12">
        <f t="shared" ref="E19:J21" si="6">(1-E$18*$D$18)*$B19</f>
        <v>1567699.8412583834</v>
      </c>
      <c r="F19" s="12">
        <f t="shared" si="6"/>
        <v>1491966.2306756089</v>
      </c>
      <c r="G19" s="12">
        <f t="shared" si="6"/>
        <v>1416232.6200928348</v>
      </c>
      <c r="H19" s="12">
        <f t="shared" si="6"/>
        <v>1643433.4518411581</v>
      </c>
      <c r="I19" s="12">
        <f t="shared" si="6"/>
        <v>1719167.0624239321</v>
      </c>
      <c r="J19" s="12">
        <f t="shared" si="6"/>
        <v>1794900.6730067066</v>
      </c>
    </row>
    <row r="20" spans="1:10" x14ac:dyDescent="0.2">
      <c r="A20">
        <v>2000</v>
      </c>
      <c r="B20" s="12">
        <v>2478395</v>
      </c>
      <c r="C20">
        <v>16.23</v>
      </c>
      <c r="D20" s="7">
        <f>C20*(1+$D$18)</f>
        <v>25.322389549731994</v>
      </c>
      <c r="E20" s="12">
        <f t="shared" si="6"/>
        <v>1437057.9945421433</v>
      </c>
      <c r="F20" s="12">
        <f t="shared" si="6"/>
        <v>1367635.5275116195</v>
      </c>
      <c r="G20" s="12">
        <f t="shared" si="6"/>
        <v>1298213.0604810959</v>
      </c>
      <c r="H20" s="12">
        <f t="shared" si="6"/>
        <v>1506480.4615726674</v>
      </c>
      <c r="I20" s="12">
        <f t="shared" si="6"/>
        <v>1575902.9286031909</v>
      </c>
      <c r="J20" s="12">
        <f t="shared" si="6"/>
        <v>1645325.3956337147</v>
      </c>
    </row>
    <row r="21" spans="1:10" x14ac:dyDescent="0.2">
      <c r="A21" s="3" t="s">
        <v>60</v>
      </c>
      <c r="B21" s="12">
        <v>2253086</v>
      </c>
      <c r="C21">
        <v>16.87</v>
      </c>
      <c r="D21" s="7">
        <f>C21*(1+$D$18)</f>
        <v>26.320931096979589</v>
      </c>
      <c r="E21" s="12">
        <f t="shared" si="6"/>
        <v>1306416.1478259033</v>
      </c>
      <c r="F21" s="12">
        <f t="shared" si="6"/>
        <v>1243304.8243476301</v>
      </c>
      <c r="G21" s="12">
        <f t="shared" si="6"/>
        <v>1180193.5008693573</v>
      </c>
      <c r="H21" s="12">
        <f t="shared" si="6"/>
        <v>1369527.4713041766</v>
      </c>
      <c r="I21" s="12">
        <f t="shared" si="6"/>
        <v>1432638.7947824495</v>
      </c>
      <c r="J21" s="12">
        <f t="shared" si="6"/>
        <v>1495750.1182607226</v>
      </c>
    </row>
    <row r="22" spans="1:10" x14ac:dyDescent="0.2">
      <c r="B22" s="12"/>
      <c r="D22" s="7"/>
      <c r="E22" s="12"/>
      <c r="F22" s="12"/>
      <c r="G22" s="12"/>
      <c r="H22" s="12"/>
      <c r="I22" s="12"/>
      <c r="J22" s="12"/>
    </row>
    <row r="23" spans="1:10" s="27" customFormat="1" x14ac:dyDescent="0.2">
      <c r="A23" s="27" t="s">
        <v>34</v>
      </c>
      <c r="B23" s="30"/>
      <c r="D23" s="48">
        <f>DiscRate3</f>
        <v>5.2000000000000005E-2</v>
      </c>
    </row>
    <row r="24" spans="1:10" s="27" customFormat="1" x14ac:dyDescent="0.2">
      <c r="B24" s="30"/>
      <c r="C24" s="27" t="s">
        <v>58</v>
      </c>
      <c r="D24" s="27" t="s">
        <v>35</v>
      </c>
      <c r="E24" s="74" t="s">
        <v>34</v>
      </c>
      <c r="F24" s="74"/>
      <c r="G24" s="74"/>
      <c r="H24" s="74"/>
      <c r="I24" s="74"/>
      <c r="J24" s="74"/>
    </row>
    <row r="25" spans="1:10" s="27" customFormat="1" x14ac:dyDescent="0.2">
      <c r="A25" s="27" t="s">
        <v>22</v>
      </c>
      <c r="B25" s="27" t="s">
        <v>21</v>
      </c>
      <c r="C25" s="27" t="s">
        <v>59</v>
      </c>
      <c r="D25" s="72">
        <f>facts!E33</f>
        <v>0.53493411533118385</v>
      </c>
      <c r="E25" s="27">
        <v>0.75</v>
      </c>
      <c r="F25" s="27">
        <v>0.8</v>
      </c>
      <c r="G25" s="27">
        <v>0.85</v>
      </c>
      <c r="H25" s="27">
        <v>0.7</v>
      </c>
      <c r="I25" s="27">
        <v>0.65</v>
      </c>
      <c r="J25" s="27">
        <v>0.6</v>
      </c>
    </row>
    <row r="26" spans="1:10" x14ac:dyDescent="0.2">
      <c r="A26">
        <v>1999</v>
      </c>
      <c r="B26" s="12">
        <v>2703704</v>
      </c>
      <c r="C26">
        <v>15.64</v>
      </c>
      <c r="D26" s="7">
        <f>C26*(1+$D$25)</f>
        <v>24.006369563779717</v>
      </c>
      <c r="E26" s="12">
        <f t="shared" ref="E26:J28" si="7">(1-E$18*$D$25)*$B26</f>
        <v>1618976.3694819629</v>
      </c>
      <c r="F26" s="12">
        <f t="shared" si="7"/>
        <v>1546661.1941140934</v>
      </c>
      <c r="G26" s="12">
        <f t="shared" si="7"/>
        <v>1474346.0187462245</v>
      </c>
      <c r="H26" s="12">
        <f t="shared" si="7"/>
        <v>1691291.5448498318</v>
      </c>
      <c r="I26" s="12">
        <f t="shared" si="7"/>
        <v>1763606.7202177008</v>
      </c>
      <c r="J26" s="12">
        <f t="shared" si="7"/>
        <v>1835921.8955855703</v>
      </c>
    </row>
    <row r="27" spans="1:10" x14ac:dyDescent="0.2">
      <c r="A27">
        <v>2000</v>
      </c>
      <c r="B27" s="12">
        <v>2478395</v>
      </c>
      <c r="C27">
        <v>16.23</v>
      </c>
      <c r="D27" s="7">
        <f>C27*(1+$D$25)</f>
        <v>24.911980691825118</v>
      </c>
      <c r="E27" s="12">
        <f t="shared" si="7"/>
        <v>1484061.4724253281</v>
      </c>
      <c r="F27" s="12">
        <f t="shared" si="7"/>
        <v>1417772.5705870164</v>
      </c>
      <c r="G27" s="12">
        <f t="shared" si="7"/>
        <v>1351483.6687487052</v>
      </c>
      <c r="H27" s="12">
        <f t="shared" si="7"/>
        <v>1550350.3742636393</v>
      </c>
      <c r="I27" s="12">
        <f t="shared" si="7"/>
        <v>1616639.2761019506</v>
      </c>
      <c r="J27" s="12">
        <f t="shared" si="7"/>
        <v>1682928.1779402625</v>
      </c>
    </row>
    <row r="28" spans="1:10" x14ac:dyDescent="0.2">
      <c r="A28" s="3" t="s">
        <v>60</v>
      </c>
      <c r="B28" s="12">
        <v>2253086</v>
      </c>
      <c r="C28">
        <v>16.87</v>
      </c>
      <c r="D28" s="7">
        <f>C28*(1+$D$25)</f>
        <v>25.894338525637075</v>
      </c>
      <c r="E28" s="12">
        <f t="shared" si="7"/>
        <v>1349146.5753686933</v>
      </c>
      <c r="F28" s="12">
        <f t="shared" si="7"/>
        <v>1288883.9470599394</v>
      </c>
      <c r="G28" s="12">
        <f t="shared" si="7"/>
        <v>1228621.3187511857</v>
      </c>
      <c r="H28" s="12">
        <f t="shared" si="7"/>
        <v>1409409.203677447</v>
      </c>
      <c r="I28" s="12">
        <f t="shared" si="7"/>
        <v>1469671.8319862005</v>
      </c>
      <c r="J28" s="12">
        <f t="shared" si="7"/>
        <v>1529934.4602949547</v>
      </c>
    </row>
    <row r="29" spans="1:10" x14ac:dyDescent="0.2">
      <c r="B29" s="12"/>
      <c r="D29" s="7"/>
      <c r="E29" s="12"/>
      <c r="F29" s="12"/>
      <c r="G29" s="12"/>
      <c r="H29" s="12"/>
      <c r="I29" s="12"/>
      <c r="J29" s="12"/>
    </row>
    <row r="30" spans="1:10" s="27" customFormat="1" x14ac:dyDescent="0.2">
      <c r="A30" s="27" t="s">
        <v>34</v>
      </c>
      <c r="B30" s="30"/>
      <c r="D30" s="48">
        <f>DiscRate5</f>
        <v>6.2E-2</v>
      </c>
    </row>
    <row r="31" spans="1:10" s="27" customFormat="1" x14ac:dyDescent="0.2">
      <c r="B31" s="30"/>
      <c r="C31" s="27" t="s">
        <v>58</v>
      </c>
      <c r="D31" s="27" t="s">
        <v>35</v>
      </c>
      <c r="E31" s="74" t="s">
        <v>34</v>
      </c>
      <c r="F31" s="74"/>
      <c r="G31" s="74"/>
      <c r="H31" s="74"/>
      <c r="I31" s="74"/>
      <c r="J31" s="74"/>
    </row>
    <row r="32" spans="1:10" s="27" customFormat="1" x14ac:dyDescent="0.2">
      <c r="A32" s="27" t="s">
        <v>22</v>
      </c>
      <c r="B32" s="27" t="s">
        <v>21</v>
      </c>
      <c r="C32" s="27" t="s">
        <v>59</v>
      </c>
      <c r="D32" s="72">
        <f>facts!G33</f>
        <v>0.58609293917010963</v>
      </c>
      <c r="E32" s="27">
        <v>0.75</v>
      </c>
      <c r="F32" s="27">
        <v>0.8</v>
      </c>
      <c r="G32" s="27">
        <v>0.85</v>
      </c>
      <c r="H32" s="27">
        <v>0.7</v>
      </c>
      <c r="I32" s="27">
        <v>0.65</v>
      </c>
      <c r="J32" s="27">
        <v>0.6</v>
      </c>
    </row>
    <row r="33" spans="1:11" x14ac:dyDescent="0.2">
      <c r="A33">
        <v>1999</v>
      </c>
      <c r="B33" s="12">
        <v>2703704</v>
      </c>
      <c r="C33">
        <v>15.64</v>
      </c>
      <c r="D33" s="7">
        <f>C33*($D$32+1)</f>
        <v>24.806493568620514</v>
      </c>
      <c r="E33" s="12">
        <f t="shared" ref="E33:J35" si="8">(1-E$18*$D$32)*$B33</f>
        <v>1515237.6319955133</v>
      </c>
      <c r="F33" s="12">
        <f t="shared" si="8"/>
        <v>1436006.540795214</v>
      </c>
      <c r="G33" s="12">
        <f t="shared" si="8"/>
        <v>1356775.4495949151</v>
      </c>
      <c r="H33" s="12">
        <f t="shared" si="8"/>
        <v>1594468.7231958127</v>
      </c>
      <c r="I33" s="12">
        <f t="shared" si="8"/>
        <v>1673699.8143961115</v>
      </c>
      <c r="J33" s="12">
        <f t="shared" si="8"/>
        <v>1752930.9055964106</v>
      </c>
    </row>
    <row r="34" spans="1:11" x14ac:dyDescent="0.2">
      <c r="A34">
        <v>2000</v>
      </c>
      <c r="B34" s="12">
        <v>2478395</v>
      </c>
      <c r="C34">
        <v>16.23</v>
      </c>
      <c r="D34" s="7">
        <f>C34*($D$32+1)</f>
        <v>25.742288402730878</v>
      </c>
      <c r="E34" s="12">
        <f t="shared" si="8"/>
        <v>1388967.642519122</v>
      </c>
      <c r="F34" s="12">
        <f t="shared" si="8"/>
        <v>1316339.1520203967</v>
      </c>
      <c r="G34" s="12">
        <f t="shared" si="8"/>
        <v>1243710.6615216716</v>
      </c>
      <c r="H34" s="12">
        <f t="shared" si="8"/>
        <v>1461596.1330178473</v>
      </c>
      <c r="I34" s="12">
        <f t="shared" si="8"/>
        <v>1534224.6235165724</v>
      </c>
      <c r="J34" s="12">
        <f t="shared" si="8"/>
        <v>1606853.1140152975</v>
      </c>
    </row>
    <row r="35" spans="1:11" x14ac:dyDescent="0.2">
      <c r="A35" s="3" t="s">
        <v>60</v>
      </c>
      <c r="B35" s="12">
        <v>2253086</v>
      </c>
      <c r="C35">
        <v>16.87</v>
      </c>
      <c r="D35" s="7">
        <f>C35*($D$32+1)</f>
        <v>26.757387883799748</v>
      </c>
      <c r="E35" s="12">
        <f t="shared" si="8"/>
        <v>1262697.6530427306</v>
      </c>
      <c r="F35" s="12">
        <f t="shared" si="8"/>
        <v>1196671.7632455793</v>
      </c>
      <c r="G35" s="12">
        <f t="shared" si="8"/>
        <v>1130645.8734484282</v>
      </c>
      <c r="H35" s="12">
        <f t="shared" si="8"/>
        <v>1328723.5428398822</v>
      </c>
      <c r="I35" s="12">
        <f t="shared" si="8"/>
        <v>1394749.4326370333</v>
      </c>
      <c r="J35" s="12">
        <f t="shared" si="8"/>
        <v>1460775.3224341844</v>
      </c>
    </row>
    <row r="36" spans="1:11" x14ac:dyDescent="0.2">
      <c r="B36" s="12"/>
      <c r="D36" s="7"/>
      <c r="E36" s="7"/>
      <c r="F36" s="12"/>
      <c r="G36" s="12"/>
      <c r="H36" s="12"/>
      <c r="I36" s="12"/>
      <c r="J36" s="12"/>
      <c r="K36" s="12"/>
    </row>
    <row r="37" spans="1:11" x14ac:dyDescent="0.2">
      <c r="B37" s="12"/>
      <c r="D37" s="7"/>
      <c r="E37" s="7"/>
      <c r="F37" s="12"/>
      <c r="G37" s="12"/>
      <c r="H37" s="12"/>
      <c r="I37" s="12"/>
      <c r="J37" s="12"/>
      <c r="K37" s="12"/>
    </row>
    <row r="38" spans="1:11" x14ac:dyDescent="0.2">
      <c r="B38" s="12"/>
      <c r="D38" s="7"/>
      <c r="E38" s="7"/>
      <c r="F38" s="12"/>
      <c r="G38" s="12"/>
      <c r="H38" s="12"/>
      <c r="I38" s="12"/>
      <c r="J38" s="12"/>
      <c r="K38" s="12"/>
    </row>
    <row r="39" spans="1:11" x14ac:dyDescent="0.2">
      <c r="E39" s="7"/>
    </row>
    <row r="40" spans="1:11" x14ac:dyDescent="0.2">
      <c r="E40" s="7"/>
    </row>
  </sheetData>
  <mergeCells count="3">
    <mergeCell ref="E17:J17"/>
    <mergeCell ref="E24:J24"/>
    <mergeCell ref="E31:J31"/>
  </mergeCells>
  <phoneticPr fontId="0" type="noConversion"/>
  <pageMargins left="0.18" right="0.17" top="1" bottom="0.87" header="0.5" footer="0.5"/>
  <pageSetup orientation="landscape" r:id="rId1"/>
  <headerFooter alignWithMargins="0">
    <oddFooter>&amp;C&amp;A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I10" sqref="I10"/>
    </sheetView>
  </sheetViews>
  <sheetFormatPr defaultRowHeight="12.75" x14ac:dyDescent="0.2"/>
  <cols>
    <col min="2" max="2" width="5" bestFit="1" customWidth="1"/>
    <col min="3" max="3" width="12" bestFit="1" customWidth="1"/>
    <col min="4" max="4" width="10" bestFit="1" customWidth="1"/>
    <col min="5" max="5" width="10.140625" bestFit="1" customWidth="1"/>
    <col min="6" max="6" width="10.28515625" bestFit="1" customWidth="1"/>
  </cols>
  <sheetData>
    <row r="1" spans="2:10" ht="16.5" customHeight="1" x14ac:dyDescent="0.2"/>
    <row r="3" spans="2:10" x14ac:dyDescent="0.2">
      <c r="B3" t="str">
        <f>elasticity!B3</f>
        <v>Year</v>
      </c>
      <c r="C3" s="19" t="s">
        <v>56</v>
      </c>
      <c r="D3" t="str">
        <f>elasticity!I3</f>
        <v>%changeP</v>
      </c>
      <c r="E3" t="str">
        <f>elasticity!H3</f>
        <v>%changeQ</v>
      </c>
    </row>
    <row r="4" spans="2:10" x14ac:dyDescent="0.2">
      <c r="B4">
        <f>elasticity!B4</f>
        <v>1989</v>
      </c>
      <c r="C4" s="44"/>
      <c r="D4" s="44"/>
      <c r="E4" s="44"/>
    </row>
    <row r="5" spans="2:10" x14ac:dyDescent="0.2">
      <c r="B5">
        <f>elasticity!B5</f>
        <v>1990</v>
      </c>
      <c r="C5" s="46">
        <f>elasticity!C5</f>
        <v>0.47499999999999998</v>
      </c>
      <c r="D5" s="46">
        <f>elasticity!I5</f>
        <v>1.6561964591661926E-2</v>
      </c>
      <c r="E5" s="46">
        <f>elasticity!H5</f>
        <v>0.16275733000623838</v>
      </c>
    </row>
    <row r="6" spans="2:10" x14ac:dyDescent="0.2">
      <c r="B6">
        <f>elasticity!B6</f>
        <v>1991</v>
      </c>
      <c r="C6" s="46">
        <f>elasticity!C6</f>
        <v>0.51200000000000001</v>
      </c>
      <c r="D6" s="46">
        <f>elasticity!I6</f>
        <v>-0.13139522199192755</v>
      </c>
      <c r="E6" s="46">
        <f>elasticity!H6</f>
        <v>0.40186601023453594</v>
      </c>
    </row>
    <row r="7" spans="2:10" x14ac:dyDescent="0.2">
      <c r="B7">
        <f>elasticity!B7</f>
        <v>1992</v>
      </c>
      <c r="C7" s="46">
        <f>elasticity!C7</f>
        <v>0.39500000000000002</v>
      </c>
      <c r="D7" s="46">
        <f>elasticity!I7</f>
        <v>0.35343158921522333</v>
      </c>
      <c r="E7" s="46">
        <f>elasticity!H7</f>
        <v>-0.21974309421155203</v>
      </c>
    </row>
    <row r="8" spans="2:10" x14ac:dyDescent="0.2">
      <c r="B8">
        <f>elasticity!B8</f>
        <v>1993</v>
      </c>
      <c r="C8" s="46">
        <f>elasticity!C8</f>
        <v>0.50600000000000001</v>
      </c>
      <c r="D8" s="46">
        <f>elasticity!I8</f>
        <v>-2.5846234584098737E-2</v>
      </c>
      <c r="E8" s="46">
        <f>elasticity!H8</f>
        <v>0.24249454098890766</v>
      </c>
    </row>
    <row r="9" spans="2:10" x14ac:dyDescent="0.2">
      <c r="B9">
        <f>elasticity!B9</f>
        <v>1994</v>
      </c>
      <c r="C9" s="46">
        <f>elasticity!C9</f>
        <v>0.438</v>
      </c>
      <c r="D9" s="46">
        <f>elasticity!I9</f>
        <v>0.29231909167184233</v>
      </c>
      <c r="E9" s="46">
        <f>elasticity!H9</f>
        <v>-9.3135326945936736E-3</v>
      </c>
      <c r="F9" s="18"/>
    </row>
    <row r="10" spans="2:10" x14ac:dyDescent="0.2">
      <c r="B10">
        <f>elasticity!B10</f>
        <v>1995</v>
      </c>
      <c r="C10" s="46">
        <f>elasticity!C10</f>
        <v>0.54500000000000004</v>
      </c>
      <c r="D10" s="46">
        <f>elasticity!I10</f>
        <v>-0.10935018582491507</v>
      </c>
      <c r="E10" s="46">
        <f>elasticity!H10</f>
        <v>-0.10304450685600686</v>
      </c>
      <c r="F10" s="18"/>
    </row>
    <row r="11" spans="2:10" x14ac:dyDescent="0.2">
      <c r="B11">
        <f>elasticity!B11</f>
        <v>1996</v>
      </c>
      <c r="C11" s="46">
        <f>elasticity!C11</f>
        <v>0.52800000000000002</v>
      </c>
      <c r="D11" s="46">
        <f>elasticity!I11</f>
        <v>0.10115648201027971</v>
      </c>
      <c r="E11" s="46">
        <f>elasticity!H11</f>
        <v>0.49392852441753332</v>
      </c>
      <c r="F11" s="18"/>
    </row>
    <row r="12" spans="2:10" x14ac:dyDescent="0.2">
      <c r="C12" s="46"/>
      <c r="D12" s="46"/>
      <c r="E12" s="46"/>
    </row>
    <row r="13" spans="2:10" s="19" customFormat="1" x14ac:dyDescent="0.2">
      <c r="B13" s="45"/>
    </row>
    <row r="14" spans="2:10" s="19" customFormat="1" x14ac:dyDescent="0.2"/>
    <row r="15" spans="2:10" x14ac:dyDescent="0.2">
      <c r="B15" s="19"/>
      <c r="C15" s="31"/>
      <c r="D15" s="15"/>
      <c r="E15" s="12"/>
      <c r="F15" s="12"/>
      <c r="G15" s="15"/>
      <c r="H15" s="15"/>
      <c r="I15" s="15"/>
      <c r="J15" s="15"/>
    </row>
    <row r="16" spans="2:10" x14ac:dyDescent="0.2">
      <c r="B16" s="19"/>
      <c r="C16" s="31"/>
      <c r="D16" s="15"/>
      <c r="E16" s="12"/>
      <c r="F16" s="12"/>
      <c r="G16" s="15"/>
      <c r="H16" s="17"/>
      <c r="I16" s="17"/>
      <c r="J16" s="4"/>
    </row>
    <row r="17" spans="2:10" x14ac:dyDescent="0.2">
      <c r="B17" s="19"/>
      <c r="C17" s="31"/>
      <c r="D17" s="15"/>
      <c r="E17" s="12"/>
      <c r="F17" s="47"/>
      <c r="G17" s="15"/>
      <c r="H17" s="17"/>
      <c r="I17" s="17"/>
      <c r="J17" s="4"/>
    </row>
    <row r="18" spans="2:10" x14ac:dyDescent="0.2">
      <c r="B18" s="19"/>
      <c r="C18" s="31"/>
      <c r="D18" s="15"/>
      <c r="E18" s="12"/>
      <c r="F18" s="12"/>
      <c r="G18" s="15"/>
      <c r="H18" s="17"/>
      <c r="I18" s="17"/>
      <c r="J18" s="4"/>
    </row>
    <row r="19" spans="2:10" x14ac:dyDescent="0.2">
      <c r="B19" s="19"/>
      <c r="C19" s="31"/>
      <c r="D19" s="15"/>
      <c r="E19" s="12"/>
      <c r="F19" s="12"/>
      <c r="G19" s="15"/>
      <c r="H19" s="17"/>
      <c r="I19" s="17"/>
      <c r="J19" s="4"/>
    </row>
    <row r="20" spans="2:10" x14ac:dyDescent="0.2">
      <c r="B20" s="19"/>
      <c r="C20" s="31"/>
      <c r="D20" s="15"/>
      <c r="E20" s="12"/>
      <c r="F20" s="47"/>
      <c r="G20" s="15"/>
      <c r="H20" s="17"/>
      <c r="I20" s="17"/>
      <c r="J20" s="4"/>
    </row>
    <row r="21" spans="2:10" x14ac:dyDescent="0.2">
      <c r="B21" s="19"/>
      <c r="C21" s="31"/>
      <c r="D21" s="15"/>
      <c r="E21" s="12"/>
      <c r="F21" s="47"/>
      <c r="G21" s="15"/>
      <c r="H21" s="17"/>
      <c r="I21" s="17"/>
      <c r="J21" s="4"/>
    </row>
    <row r="22" spans="2:10" x14ac:dyDescent="0.2">
      <c r="B22" s="19"/>
      <c r="C22" s="31"/>
      <c r="D22" s="15"/>
      <c r="E22" s="12"/>
      <c r="F22" s="12"/>
      <c r="G22" s="15"/>
      <c r="H22" s="17"/>
      <c r="I22" s="17"/>
      <c r="J22" s="4"/>
    </row>
    <row r="24" spans="2:10" x14ac:dyDescent="0.2">
      <c r="C24" s="16"/>
      <c r="D24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facts</vt:lpstr>
      <vt:lpstr>facts premium</vt:lpstr>
      <vt:lpstr>tax rev</vt:lpstr>
      <vt:lpstr>cashflow 4.88</vt:lpstr>
      <vt:lpstr>cashflow 5.63</vt:lpstr>
      <vt:lpstr>attendance</vt:lpstr>
      <vt:lpstr>elasticity</vt:lpstr>
      <vt:lpstr>chart data</vt:lpstr>
      <vt:lpstr>Chart3</vt:lpstr>
      <vt:lpstr>'facts premium'!DiscRate</vt:lpstr>
      <vt:lpstr>DiscRate</vt:lpstr>
      <vt:lpstr>'facts premium'!discrate2</vt:lpstr>
      <vt:lpstr>discrate2</vt:lpstr>
      <vt:lpstr>'facts premium'!DiscRate3</vt:lpstr>
      <vt:lpstr>DiscRate3</vt:lpstr>
      <vt:lpstr>'facts premium'!DiscRate4</vt:lpstr>
      <vt:lpstr>DiscRate4</vt:lpstr>
      <vt:lpstr>'facts premium'!DiscRate5</vt:lpstr>
      <vt:lpstr>DiscRate5</vt:lpstr>
      <vt:lpstr>'facts premium'!DiscRate6</vt:lpstr>
      <vt:lpstr>DiscRate6</vt:lpstr>
      <vt:lpstr>inflation</vt:lpstr>
      <vt:lpstr>attendance!Print_Area</vt:lpstr>
      <vt:lpstr>'cashflow 4.88'!Print_Area</vt:lpstr>
      <vt:lpstr>'cashflow 5.63'!Print_Area</vt:lpstr>
      <vt:lpstr>tixdr0</vt:lpstr>
      <vt:lpstr>tixdr2</vt:lpstr>
      <vt:lpstr>tixdr3</vt:lpstr>
      <vt:lpstr>tixdr4</vt:lpstr>
      <vt:lpstr>tixdr5</vt:lpstr>
      <vt:lpstr>tixdr6</vt:lpstr>
    </vt:vector>
  </TitlesOfParts>
  <Company>Fair, Isaac and Company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Jan Havlíček</cp:lastModifiedBy>
  <cp:lastPrinted>2000-12-03T23:22:17Z</cp:lastPrinted>
  <dcterms:created xsi:type="dcterms:W3CDTF">2000-11-08T00:18:13Z</dcterms:created>
  <dcterms:modified xsi:type="dcterms:W3CDTF">2023-09-15T16:05:44Z</dcterms:modified>
</cp:coreProperties>
</file>