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E93282A-5DAE-4E1A-9ACB-FE74F3ACC066}" xr6:coauthVersionLast="47" xr6:coauthVersionMax="47" xr10:uidLastSave="{00000000-0000-0000-0000-000000000000}"/>
  <bookViews>
    <workbookView xWindow="-120" yWindow="-120" windowWidth="38640" windowHeight="15720"/>
  </bookViews>
  <sheets>
    <sheet name="Summary" sheetId="17" r:id="rId1"/>
    <sheet name="CALC" sheetId="16" r:id="rId2"/>
    <sheet name="CURVES" sheetId="18" r:id="rId3"/>
    <sheet name="_udcgen1999" sheetId="11" r:id="rId4"/>
    <sheet name="Treasury Input" sheetId="19" r:id="rId5"/>
  </sheets>
  <definedNames>
    <definedName name="_xlnm.Print_Area" localSheetId="1">CALC!$K$1:$AB$14</definedName>
    <definedName name="printrange">#REF!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U8" i="16"/>
  <c r="Y8" i="16"/>
  <c r="Y8" i="16" a="1"/>
  <c r="Z8" i="16"/>
  <c r="Z8" i="16" a="1"/>
  <c r="AA8" i="16"/>
  <c r="AA8" i="16" a="1"/>
  <c r="AB8" i="16"/>
  <c r="AB8" i="16" a="1"/>
  <c r="AJ8" i="16"/>
  <c r="AK8" i="16"/>
  <c r="AR8" i="16"/>
  <c r="AV8" i="16"/>
  <c r="AV8" i="16" a="1"/>
  <c r="AW8" i="16"/>
  <c r="AW8" i="16" a="1"/>
  <c r="AX8" i="16"/>
  <c r="AX8" i="16" a="1"/>
  <c r="AY8" i="16"/>
  <c r="AY8" i="16" a="1"/>
  <c r="P10" i="16"/>
  <c r="R10" i="16"/>
  <c r="U10" i="16"/>
  <c r="N11" i="16"/>
  <c r="P11" i="16"/>
  <c r="R11" i="16"/>
  <c r="U11" i="16"/>
  <c r="AM11" i="16"/>
  <c r="AO11" i="16"/>
  <c r="AR11" i="16"/>
  <c r="U12" i="16"/>
  <c r="AR12" i="16"/>
  <c r="AS12" i="16"/>
  <c r="M13" i="16"/>
  <c r="N13" i="16"/>
  <c r="E17" i="16"/>
  <c r="I17"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B14" i="17"/>
  <c r="C14" i="17"/>
  <c r="D14" i="17"/>
  <c r="E14" i="17"/>
  <c r="F14" i="17"/>
  <c r="G14" i="17"/>
  <c r="H14" i="17"/>
  <c r="I14" i="17"/>
  <c r="K14" i="17"/>
  <c r="B15" i="17"/>
  <c r="C15" i="17"/>
  <c r="D15" i="17"/>
  <c r="E15" i="17"/>
  <c r="F15" i="17"/>
  <c r="G15" i="17"/>
  <c r="I15" i="17"/>
  <c r="K15" i="17"/>
  <c r="B16" i="17"/>
  <c r="C16" i="17"/>
  <c r="D16" i="17"/>
  <c r="E16" i="17"/>
  <c r="F16" i="17"/>
  <c r="G16" i="17"/>
  <c r="I16" i="17"/>
  <c r="K16" i="17"/>
  <c r="B17" i="17"/>
  <c r="C17" i="17"/>
  <c r="D17" i="17"/>
  <c r="E17" i="17"/>
  <c r="F17" i="17"/>
  <c r="G17" i="17"/>
  <c r="I17" i="17"/>
  <c r="K17"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<sst xmlns="http://schemas.openxmlformats.org/spreadsheetml/2006/main" count="200" uniqueCount="102">
  <si>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</si>
  <si>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</si>
  <si>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</si>
  <si>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</si>
  <si>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</si>
  <si>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</si>
  <si>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</si>
  <si>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</si>
  <si>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</si>
  <si>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</si>
  <si>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</si>
  <si>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</si>
  <si>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</si>
  <si>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</si>
  <si>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</si>
  <si>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</si>
  <si>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</si>
  <si>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</si>
  <si>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</si>
  <si>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</si>
  <si>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</si>
  <si>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</si>
  <si>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</si>
  <si>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</si>
  <si>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</si>
  <si>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</si>
  <si>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</si>
  <si>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</si>
  <si>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</si>
  <si>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</si>
  <si>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</si>
  <si>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</si>
  <si>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</si>
  <si>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</si>
  <si>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</si>
  <si>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</si>
  <si>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</si>
  <si>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</si>
  <si>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</si>
  <si>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</si>
  <si>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HR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</si>
  <si>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</si>
  <si>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</si>
  <si>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</si>
  <si>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</si>
  <si>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</si>
  <si>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</si>
  <si>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</si>
  <si>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</si>
  <si>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</si>
  <si>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</si>
  <si>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</si>
  <si>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</si>
  <si>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</si>
  <si>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</si>
  <si>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</si>
  <si>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</si>
  <si>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</si>
  <si>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</si>
  <si>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</si>
  <si>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</si>
  <si>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</si>
  <si>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</si>
  <si>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</si>
  <si>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</si>
  <si>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</si>
  <si>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</si>
  <si>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</si>
  <si>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</si>
  <si>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</si>
  <si>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1=Mid,2=Offer</t>
  </si>
  <si>
    <t>2001-2005</t>
  </si>
  <si>
    <t>2001-2007</t>
  </si>
  <si>
    <t>Load (MWa)</t>
  </si>
  <si>
    <t>SoCal</t>
  </si>
  <si>
    <t>W.A.</t>
  </si>
  <si>
    <t>Transport</t>
  </si>
  <si>
    <t>MWH sold</t>
  </si>
  <si>
    <t>gas</t>
  </si>
  <si>
    <t>paymts</t>
  </si>
  <si>
    <t>energy</t>
  </si>
  <si>
    <t>hr x gas</t>
  </si>
  <si>
    <t>W.A. Gen</t>
  </si>
  <si>
    <t>W.A. Res</t>
  </si>
  <si>
    <t>cap'y</t>
  </si>
  <si>
    <t>cap $/mwh</t>
  </si>
  <si>
    <t>QF Capacity Calc</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</si>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</sst>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24">
    <font>
      <sz val="10"/>
      <name val="Arial"/>
    </font>
    <font>
      <sz val="10"/>
      <name val="Arial"/>
    </font>
    <font>
      <sz val="10"/>
      <name val="Arial"/>
    </font>
    <font>
      <b/>
      <sz val="10"/>
      <name val="Arial"/>
      <family val="2"/>
    </font>
    <font>
      <sz val="10"/>
      <name val="Arial"/>
      <family val="2"/>
    </font>
    <font>
      <b/>
      <sz val="10"/>
      <color indexed="22"/>
      <name val="Arial"/>
      <family val="2"/>
    </font>
    <font>
      <sz val="12"/>
      <name val="???"/>
      <family val="1"/>
      <charset val="129"/>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8"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7" fillId="0" borderId="0">
      <protection locked="0"/>
    </xf>
    <xf numFmtId="0" fontId="1" fillId="0" borderId="0">
      <protection locked="0"/>
    </xf>
    <xf numFmtId="38" fontId="9" fillId="3" borderId="0" applyNumberFormat="0" applyBorder="0" applyAlignment="0" applyProtection="0"/>
    <xf numFmtId="0" fontId="10" fillId="0" borderId="0" applyNumberFormat="0" applyFill="0" applyBorder="0" applyAlignment="0" applyProtection="0"/>
    <xf numFmtId="0" fontId="1" fillId="0" borderId="0">
      <protection locked="0"/>
    </xf>
    <xf numFmtId="0" fontId="1" fillId="0" borderId="0">
      <protection locked="0"/>
    </xf>
    <xf numFmtId="0" fontId="11" fillId="0" borderId="2" applyNumberFormat="0" applyFill="0" applyAlignment="0" applyProtection="0"/>
    <xf numFmtId="10" fontId="9" fillId="4" borderId="3" applyNumberFormat="0" applyBorder="0" applyAlignment="0" applyProtection="0"/>
    <xf numFmtId="37" fontId="12" fillId="0" borderId="0"/>
    <xf numFmtId="0" fontId="13"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9" fillId="5" borderId="0" applyNumberFormat="0" applyBorder="0" applyAlignment="0" applyProtection="0"/>
    <xf numFmtId="37" fontId="14" fillId="0" borderId="0"/>
    <xf numFmtId="3" fontId="15" fillId="0" borderId="2" applyProtection="0"/>
  </cellStyleXfs>
  <cellXfs count="131">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20" fillId="7" borderId="0" xfId="0" applyFont="1" applyFill="1"/>
    <xf numFmtId="0" fontId="19"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3"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9"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9" fillId="10" borderId="0" xfId="0" applyFont="1" applyFill="1"/>
    <xf numFmtId="185" fontId="19" fillId="10" borderId="0" xfId="0" applyNumberFormat="1" applyFont="1" applyFill="1" applyBorder="1"/>
    <xf numFmtId="186" fontId="19" fillId="10" borderId="0" xfId="14" applyNumberFormat="1" applyFont="1" applyFill="1" applyBorder="1"/>
    <xf numFmtId="0" fontId="0" fillId="0" borderId="26" xfId="0" applyBorder="1" applyAlignment="1">
      <alignment horizontal="center"/>
    </xf>
    <xf numFmtId="0" fontId="19" fillId="11" borderId="0" xfId="0" applyFont="1" applyFill="1"/>
    <xf numFmtId="0" fontId="20" fillId="11" borderId="0" xfId="0" applyFont="1" applyFill="1"/>
    <xf numFmtId="0" fontId="20" fillId="10" borderId="0" xfId="0" applyFont="1" applyFill="1"/>
    <xf numFmtId="8" fontId="3" fillId="0" borderId="0" xfId="0" applyNumberFormat="1" applyFont="1"/>
    <xf numFmtId="0" fontId="5" fillId="0" borderId="0" xfId="0" applyFont="1"/>
    <xf numFmtId="0" fontId="17" fillId="0" borderId="0" xfId="0" applyFont="1"/>
    <xf numFmtId="185" fontId="17" fillId="0" borderId="0" xfId="0" applyNumberFormat="1" applyFont="1" applyBorder="1"/>
    <xf numFmtId="191" fontId="17" fillId="0" borderId="0" xfId="0" applyNumberFormat="1" applyFont="1" applyBorder="1"/>
    <xf numFmtId="185" fontId="17" fillId="0" borderId="0" xfId="0" applyNumberFormat="1" applyFont="1"/>
    <xf numFmtId="191" fontId="17" fillId="0" borderId="0" xfId="0" applyNumberFormat="1" applyFont="1"/>
    <xf numFmtId="0" fontId="17" fillId="0" borderId="11" xfId="0" applyFont="1" applyBorder="1" applyAlignment="1">
      <alignment horizontal="center"/>
    </xf>
    <xf numFmtId="0" fontId="18" fillId="9" borderId="0" xfId="0" applyFont="1" applyFill="1"/>
    <xf numFmtId="0" fontId="16"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91"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SCE's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8536585365853656"/>
          <c:y val="3.6764705882352942E-2"/>
        </c:manualLayout>
      </c:layout>
      <c:overlay val="0"/>
      <c:spPr>
        <a:noFill/>
        <a:ln w="25400">
          <a:noFill/>
        </a:ln>
      </c:spPr>
    </c:title>
    <c:autoTitleDeleted val="0"/>
    <c:plotArea>
      <c:layout>
        <c:manualLayout>
          <c:layoutTarget val="inner"/>
          <c:xMode val="edge"/>
          <c:yMode val="edge"/>
          <c:x val="0.15121951219512195"/>
          <c:y val="0.18014705882352941"/>
          <c:w val="0.78292682926829271"/>
          <c:h val="0.65808823529411764"/>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A328-4781-8840-D2DC96D73BCD}"/>
            </c:ext>
          </c:extLst>
        </c:ser>
        <c:dLbls>
          <c:showLegendKey val="0"/>
          <c:showVal val="0"/>
          <c:showCatName val="0"/>
          <c:showSerName val="0"/>
          <c:showPercent val="0"/>
          <c:showBubbleSize val="0"/>
        </c:dLbls>
        <c:gapWidth val="50"/>
        <c:axId val="486084384"/>
        <c:axId val="1"/>
      </c:barChart>
      <c:dateAx>
        <c:axId val="486084384"/>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4860843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PG&amp;E's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7493982602414563"/>
          <c:y val="3.6630167661714681E-2"/>
        </c:manualLayout>
      </c:layout>
      <c:overlay val="0"/>
      <c:spPr>
        <a:noFill/>
        <a:ln w="25400">
          <a:noFill/>
        </a:ln>
      </c:spPr>
    </c:title>
    <c:autoTitleDeleted val="0"/>
    <c:plotArea>
      <c:layout>
        <c:manualLayout>
          <c:layoutTarget val="inner"/>
          <c:xMode val="edge"/>
          <c:yMode val="edge"/>
          <c:x val="0.15085193994245158"/>
          <c:y val="0.17948782154240192"/>
          <c:w val="0.78345684937853888"/>
          <c:h val="0.6593430179108642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B800-4CAE-995F-ED0405195405}"/>
            </c:ext>
          </c:extLst>
        </c:ser>
        <c:dLbls>
          <c:showLegendKey val="0"/>
          <c:showVal val="0"/>
          <c:showCatName val="0"/>
          <c:showSerName val="0"/>
          <c:showPercent val="0"/>
          <c:showBubbleSize val="0"/>
        </c:dLbls>
        <c:gapWidth val="50"/>
        <c:axId val="487945232"/>
        <c:axId val="1"/>
      </c:barChart>
      <c:dateAx>
        <c:axId val="487945232"/>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48794523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142875</xdr:colOff>
      <xdr:row>20</xdr:row>
      <xdr:rowOff>9525</xdr:rowOff>
    </xdr:from>
    <xdr:to>
      <xdr:col>4</xdr:col>
      <xdr:colOff>600075</xdr:colOff>
      <xdr:row>36</xdr:row>
      <xdr:rowOff>9525</xdr:rowOff>
    </xdr:to>
    <xdr:graphicFrame macro="">
      <xdr:nvGraphicFramePr>
        <xdr:cNvPr id="8193" name="Chart 1">
          <a:extLst>
            <a:ext uri="{FF2B5EF4-FFF2-40B4-BE49-F238E27FC236}">
              <a16:creationId xmlns:a16="http://schemas.microsoft.com/office/drawing/2014/main" id="{84A0DE1D-7D52-280B-FE97-88FE7B2064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9525</xdr:rowOff>
    </xdr:from>
    <xdr:to>
      <xdr:col>9</xdr:col>
      <xdr:colOff>571500</xdr:colOff>
      <xdr:row>36</xdr:row>
      <xdr:rowOff>19050</xdr:rowOff>
    </xdr:to>
    <xdr:graphicFrame macro="">
      <xdr:nvGraphicFramePr>
        <xdr:cNvPr id="8194" name="Chart 2">
          <a:extLst>
            <a:ext uri="{FF2B5EF4-FFF2-40B4-BE49-F238E27FC236}">
              <a16:creationId xmlns:a16="http://schemas.microsoft.com/office/drawing/2014/main" id="{771D6CBB-D20E-6DDF-9FAF-8F6F71086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13</xdr:row>
      <xdr:rowOff>142875</xdr:rowOff>
    </xdr:from>
    <xdr:to>
      <xdr:col>12</xdr:col>
      <xdr:colOff>466725</xdr:colOff>
      <xdr:row>28</xdr:row>
      <xdr:rowOff>0</xdr:rowOff>
    </xdr:to>
    <xdr:sp macro="" textlink="">
      <xdr:nvSpPr>
        <xdr:cNvPr id="6158" name="Text Box 14">
          <a:extLst>
            <a:ext uri="{FF2B5EF4-FFF2-40B4-BE49-F238E27FC236}">
              <a16:creationId xmlns:a16="http://schemas.microsoft.com/office/drawing/2014/main" id="{DB8A6031-0FFB-FD89-418D-53846879C553}"/>
            </a:ext>
          </a:extLst>
        </xdr:cNvPr>
        <xdr:cNvSpPr txBox="1">
          <a:spLocks noChangeArrowheads="1"/>
        </xdr:cNvSpPr>
      </xdr:nvSpPr>
      <xdr:spPr bwMode="auto">
        <a:xfrm>
          <a:off x="3228975" y="2257425"/>
          <a:ext cx="6648450" cy="22955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44"/>
  <sheetViews>
    <sheetView tabSelected="1" workbookViewId="0">
      <selection activeCell="G10" sqref="G10"/>
    </sheetView>
  </sheetViews>
  <sheetFormatPr defaultRowHeight="12.75"/>
  <cols>
    <col min="1" max="1" width="18" customWidth="1"/>
    <col min="2" max="2" width="10.7109375" customWidth="1"/>
    <col min="3" max="3" width="11.7109375" customWidth="1"/>
    <col min="4" max="4" width="11.28515625" customWidth="1"/>
    <col min="5" max="5" width="13" customWidth="1"/>
    <col min="6" max="8" width="12.28515625" customWidth="1"/>
    <col min="9" max="9" width="13.28515625" customWidth="1"/>
    <col min="10" max="13" width="12.28515625" customWidth="1"/>
  </cols>
  <sheetData>
    <row r="2" spans="1:11">
      <c r="A2" s="1" t="s">
        <v>98</v>
      </c>
      <c r="B2" s="91"/>
    </row>
    <row r="3" spans="1:11">
      <c r="B3" s="91" t="s">
        <v>94</v>
      </c>
    </row>
    <row r="4" spans="1:11">
      <c r="B4" s="118">
        <v>0.03</v>
      </c>
    </row>
    <row r="5" spans="1:11" ht="77.25" thickBot="1">
      <c r="B5" s="89" t="s">
        <v>73</v>
      </c>
      <c r="C5" s="89" t="s">
        <v>93</v>
      </c>
      <c r="D5" s="89" t="s">
        <v>56</v>
      </c>
      <c r="E5" s="89" t="s">
        <v>100</v>
      </c>
      <c r="F5" s="89" t="s">
        <v>101</v>
      </c>
      <c r="G5" s="89" t="s">
        <v>96</v>
      </c>
      <c r="H5" s="89" t="s">
        <v>66</v>
      </c>
      <c r="I5" s="90" t="s">
        <v>67</v>
      </c>
      <c r="J5" s="128" t="s">
        <v>99</v>
      </c>
      <c r="K5" s="90" t="s">
        <v>97</v>
      </c>
    </row>
    <row r="6" spans="1:11">
      <c r="A6" s="1" t="s">
        <v>29</v>
      </c>
    </row>
    <row r="7" spans="1:11">
      <c r="A7" s="45">
        <v>2001</v>
      </c>
      <c r="B7" s="10">
        <f>AVERAGE(CALC!$H$45:$H55)</f>
        <v>11706.222607703343</v>
      </c>
      <c r="C7" s="10">
        <f>AVERAGE(CALC!$O$45:$O55)</f>
        <v>4062.0740611762799</v>
      </c>
      <c r="D7" s="10">
        <f>AVERAGE(CALC!$P$45:$P55)</f>
        <v>3098.0270207194408</v>
      </c>
      <c r="E7" s="65">
        <f ca="1">CALC!Z5</f>
        <v>72.847026781505903</v>
      </c>
      <c r="F7" s="10">
        <f>AVERAGE(CALC!$R$45:$R55)</f>
        <v>4546.1215258076227</v>
      </c>
      <c r="G7" s="65">
        <f ca="1">CALC!AA5</f>
        <v>126.85092873772237</v>
      </c>
      <c r="H7" s="65">
        <v>1.5840000000000001</v>
      </c>
      <c r="I7" s="108">
        <f ca="1">CALC!AB5+H7</f>
        <v>95.393393065268995</v>
      </c>
      <c r="J7" s="108">
        <v>75.650000000000006</v>
      </c>
      <c r="K7" s="108">
        <f ca="1">J7-I7</f>
        <v>-19.74339306526899</v>
      </c>
    </row>
    <row r="8" spans="1:11">
      <c r="A8" s="45" t="s">
        <v>62</v>
      </c>
      <c r="B8" s="10">
        <f>AVERAGE(CALC!$H$45:$H103)</f>
        <v>12383.432275394922</v>
      </c>
      <c r="C8" s="10">
        <f>AVERAGE(CALC!$O$45:$O103)</f>
        <v>4031.7143836188584</v>
      </c>
      <c r="D8" s="10">
        <f>AVERAGE(CALC!$P$45:$P103)</f>
        <v>3077.324548449506</v>
      </c>
      <c r="E8" s="65">
        <f ca="1">CALC!Z6</f>
        <v>60.277205942180039</v>
      </c>
      <c r="F8" s="10">
        <f>AVERAGE(CALC!$R$45:$R103)</f>
        <v>5274.3933433265565</v>
      </c>
      <c r="G8" s="65">
        <f ca="1">CALC!AA6</f>
        <v>71.327663073722007</v>
      </c>
      <c r="H8" s="65">
        <v>0.85599999999999998</v>
      </c>
      <c r="I8" s="108">
        <f ca="1">CALC!AB6+H8</f>
        <v>65.817414254760436</v>
      </c>
      <c r="J8" s="108">
        <v>75.650000000000006</v>
      </c>
      <c r="K8" s="108">
        <f ca="1">J8-I8</f>
        <v>9.8325857452395695</v>
      </c>
    </row>
    <row r="9" spans="1:11">
      <c r="A9" s="45" t="s">
        <v>64</v>
      </c>
      <c r="B9" s="10">
        <f>AVERAGE(CALC!$H$45:$H127)</f>
        <v>12762.77097838494</v>
      </c>
      <c r="C9" s="10">
        <f>AVERAGE(CALC!$O$45:$O127)</f>
        <v>4029.7025977566191</v>
      </c>
      <c r="D9" s="10">
        <f>AVERAGE(CALC!$P$45:$P127)</f>
        <v>3075.9526978774006</v>
      </c>
      <c r="E9" s="65">
        <f ca="1">CALC!Z7</f>
        <v>58.917151699743123</v>
      </c>
      <c r="F9" s="10">
        <f>AVERAGE(CALC!$R$45:$R127)</f>
        <v>5657.1156827509203</v>
      </c>
      <c r="G9" s="65">
        <f ca="1">CALC!AA7</f>
        <v>63.572633670171825</v>
      </c>
      <c r="H9" s="65">
        <v>0.79</v>
      </c>
      <c r="I9" s="108">
        <f ca="1">CALC!AB7+H9</f>
        <v>61.752576875464662</v>
      </c>
      <c r="J9" s="108">
        <v>75.650000000000006</v>
      </c>
      <c r="K9" s="108">
        <f ca="1">J9-I9</f>
        <v>13.897423124535344</v>
      </c>
    </row>
    <row r="10" spans="1:11">
      <c r="A10" s="45" t="s">
        <v>65</v>
      </c>
      <c r="B10" s="10">
        <f>AVERAGE(CALC!$H$45:$H163)</f>
        <v>13363.456517488996</v>
      </c>
      <c r="C10" s="10">
        <f>AVERAGE(CALC!$O$45:$O163)</f>
        <v>4028.2064376826006</v>
      </c>
      <c r="D10" s="10">
        <f>AVERAGE(CALC!$P$45:$P163)</f>
        <v>3074.9324560653745</v>
      </c>
      <c r="E10" s="65">
        <f ca="1">CALC!Z8</f>
        <v>58.053355803177169</v>
      </c>
      <c r="F10" s="10">
        <f>AVERAGE(CALC!$R$45:$R163)</f>
        <v>6260.317623741018</v>
      </c>
      <c r="G10" s="65">
        <f ca="1">CALC!AA8</f>
        <v>58.059184147376044</v>
      </c>
      <c r="H10" s="65">
        <v>0.76600000000000001</v>
      </c>
      <c r="I10" s="108">
        <f ca="1">CALC!AB8+H10</f>
        <v>58.822040736981322</v>
      </c>
      <c r="J10" s="108">
        <v>75.650000000000006</v>
      </c>
      <c r="K10" s="108">
        <f ca="1">J10-I10</f>
        <v>16.827959263018684</v>
      </c>
    </row>
    <row r="11" spans="1:11">
      <c r="H11" s="65"/>
      <c r="I11" s="1"/>
      <c r="J11" s="1"/>
    </row>
    <row r="12" spans="1:11">
      <c r="H12" s="65"/>
      <c r="I12" s="1"/>
      <c r="J12" s="1"/>
    </row>
    <row r="13" spans="1:11">
      <c r="A13" s="1" t="s">
        <v>23</v>
      </c>
      <c r="H13" s="65"/>
      <c r="I13" s="1"/>
      <c r="J13" s="1"/>
    </row>
    <row r="14" spans="1:11">
      <c r="A14" s="45">
        <v>2001</v>
      </c>
      <c r="B14" s="10">
        <f>AVERAGE(CALC!$I$45:$I62)</f>
        <v>10826.82619676244</v>
      </c>
      <c r="C14" s="10">
        <f>AVERAGE(CALC!$AL$45:$AL62)</f>
        <v>4058.8897563734727</v>
      </c>
      <c r="D14" s="10">
        <f>AVERAGE(CALC!$AM$45:$AM62)</f>
        <v>2307.4001483573893</v>
      </c>
      <c r="E14" s="65">
        <f ca="1">CALC!AW5</f>
        <v>63.973825791199388</v>
      </c>
      <c r="F14" s="10">
        <f>AVERAGE(CALC!$AO$45:$AO62)</f>
        <v>4460.5362920315811</v>
      </c>
      <c r="G14" s="65">
        <f ca="1">CALC!AX5</f>
        <v>137.7518356538155</v>
      </c>
      <c r="H14" s="65">
        <f>1.86</f>
        <v>1.86</v>
      </c>
      <c r="I14" s="108">
        <f ca="1">CALC!AY5+H14</f>
        <v>96.270295707516837</v>
      </c>
      <c r="J14" s="108">
        <v>62.8</v>
      </c>
      <c r="K14" s="108">
        <f ca="1">J14-I14</f>
        <v>-33.47029570751684</v>
      </c>
    </row>
    <row r="15" spans="1:11">
      <c r="A15" s="45" t="s">
        <v>62</v>
      </c>
      <c r="B15" s="10">
        <f>AVERAGE(CALC!$I$45:$I110)</f>
        <v>11447.485758053341</v>
      </c>
      <c r="C15" s="10">
        <f>AVERAGE(CALC!$AL$45:$AL110)</f>
        <v>4000.3415744405647</v>
      </c>
      <c r="D15" s="10">
        <f>AVERAGE(CALC!$AM$45:$AM110)</f>
        <v>2304.8556805237722</v>
      </c>
      <c r="E15" s="65">
        <f ca="1">CALC!AW6</f>
        <v>56.022140354824238</v>
      </c>
      <c r="F15" s="10">
        <f>AVERAGE(CALC!$AO$45:$AO110)</f>
        <v>5142.2885030890066</v>
      </c>
      <c r="G15" s="65">
        <f ca="1">CALC!AX6</f>
        <v>76.043270186348622</v>
      </c>
      <c r="H15" s="65">
        <v>0.97299999999999998</v>
      </c>
      <c r="I15" s="108">
        <f ca="1">CALC!AY6+H15</f>
        <v>65.909951300438962</v>
      </c>
      <c r="J15" s="108">
        <v>62.8</v>
      </c>
      <c r="K15" s="108">
        <f ca="1">J15-I15</f>
        <v>-3.1099513004389649</v>
      </c>
    </row>
    <row r="16" spans="1:11">
      <c r="A16" s="45" t="s">
        <v>64</v>
      </c>
      <c r="B16" s="10">
        <f>AVERAGE(CALC!$I$45:$I134)</f>
        <v>11796.884836189132</v>
      </c>
      <c r="C16" s="10">
        <f>AVERAGE(CALC!$AL$45:$AL134)</f>
        <v>3994.4867562472764</v>
      </c>
      <c r="D16" s="10">
        <f>AVERAGE(CALC!$AM$45:$AM134)</f>
        <v>2304.6012337404104</v>
      </c>
      <c r="E16" s="65">
        <f ca="1">CALC!AW7</f>
        <v>54.750157971086537</v>
      </c>
      <c r="F16" s="10">
        <f>AVERAGE(CALC!$AO$45:$AO134)</f>
        <v>5497.7968462014551</v>
      </c>
      <c r="G16" s="65">
        <f ca="1">CALC!AX7</f>
        <v>67.648162644788272</v>
      </c>
      <c r="H16" s="65">
        <v>0.91800000000000004</v>
      </c>
      <c r="I16" s="108">
        <f ca="1">CALC!AY7+H16</f>
        <v>61.613959020649411</v>
      </c>
      <c r="J16" s="108">
        <v>62.8</v>
      </c>
      <c r="K16" s="108">
        <f ca="1">J16-I16</f>
        <v>1.1860409793505866</v>
      </c>
    </row>
    <row r="17" spans="1:11">
      <c r="A17" s="45" t="s">
        <v>65</v>
      </c>
      <c r="B17" s="10">
        <f>AVERAGE(CALC!$I$45:$I170)</f>
        <v>12351.68873171924</v>
      </c>
      <c r="C17" s="10">
        <f>AVERAGE(CALC!$AL$45:$AL170)</f>
        <v>3989.8865419525496</v>
      </c>
      <c r="D17" s="10">
        <f>AVERAGE(CALC!$AM$45:$AM170)</f>
        <v>2304.4013112677699</v>
      </c>
      <c r="E17" s="65">
        <f ca="1">CALC!AW8</f>
        <v>53.676574665087749</v>
      </c>
      <c r="F17" s="10">
        <f>AVERAGE(CALC!$AO$45:$AO170)</f>
        <v>6057.4008784989273</v>
      </c>
      <c r="G17" s="65">
        <f ca="1">CALC!AX8</f>
        <v>61.621489788906572</v>
      </c>
      <c r="H17" s="65">
        <v>0.91900000000000004</v>
      </c>
      <c r="I17" s="108">
        <f ca="1">CALC!AY8+H17</f>
        <v>58.434176559929995</v>
      </c>
      <c r="J17" s="108">
        <v>62.8</v>
      </c>
      <c r="K17" s="108">
        <f ca="1">J17-I17</f>
        <v>4.3658234400700024</v>
      </c>
    </row>
    <row r="18" spans="1:11">
      <c r="A18" s="45"/>
      <c r="B18" s="10"/>
      <c r="C18" s="10"/>
      <c r="D18" s="10"/>
      <c r="E18" s="65"/>
      <c r="F18" s="10"/>
      <c r="G18" s="65"/>
      <c r="H18" s="65"/>
      <c r="I18" s="108"/>
      <c r="J18" s="108"/>
      <c r="K18" s="108"/>
    </row>
    <row r="44" spans="1:11" s="129" customFormat="1" ht="45.75" customHeight="1">
      <c r="A44"/>
      <c r="B44"/>
      <c r="C44"/>
      <c r="D44"/>
      <c r="E44"/>
      <c r="F44"/>
      <c r="G44"/>
      <c r="H44"/>
      <c r="I44"/>
      <c r="J44"/>
      <c r="K44"/>
    </row>
  </sheetData>
  <phoneticPr fontId="14" type="noConversion"/>
  <printOptions horizontalCentered="1"/>
  <pageMargins left="0.75" right="0.75" top="1" bottom="1" header="0.5" footer="0.5"/>
  <pageSetup scale="86" fitToHeight="2" orientation="landscape" r:id="rId1"/>
  <headerFooter alignWithMargins="0">
    <oddHeader>&amp;CGROSS MARGIN CALCULATION</oddHeader>
  </headerFooter>
  <rowBreaks count="1" manualBreakCount="1">
    <brk id="37"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Y65536"/>
  <sheetViews>
    <sheetView zoomScale="75" workbookViewId="0">
      <pane xSplit="1" ySplit="19" topLeftCell="AK20" activePane="bottomRight" state="frozen"/>
      <selection pane="topRight" activeCell="B1" sqref="B1"/>
      <selection pane="bottomLeft" activeCell="A20" sqref="A20"/>
      <selection pane="bottomRight" activeCell="AY8" sqref="AY8"/>
    </sheetView>
  </sheetViews>
  <sheetFormatPr defaultRowHeight="12.75" outlineLevelRow="1"/>
  <cols>
    <col min="1" max="1" width="9.28515625" style="38" customWidth="1"/>
    <col min="21" max="21" width="11.85546875" customWidth="1"/>
    <col min="26" max="26" width="10" customWidth="1"/>
    <col min="29" max="33" width="3" customWidth="1"/>
    <col min="37" max="37" width="9.7109375" bestFit="1" customWidth="1"/>
    <col min="43" max="43" width="10.28515625" customWidth="1"/>
    <col min="44" max="44" width="11.85546875" customWidth="1"/>
    <col min="49" max="49" width="10.28515625" customWidth="1"/>
  </cols>
  <sheetData>
    <row r="1" spans="7:51" ht="15.75">
      <c r="K1" s="117" t="s">
        <v>29</v>
      </c>
      <c r="L1" s="99"/>
      <c r="M1" s="99"/>
      <c r="N1" s="99"/>
      <c r="O1" s="99"/>
      <c r="P1" s="99"/>
      <c r="Q1" s="99"/>
      <c r="R1" s="99"/>
      <c r="S1" s="99"/>
      <c r="T1" s="99"/>
      <c r="U1" s="99"/>
      <c r="V1" s="99"/>
      <c r="W1" s="99"/>
      <c r="X1" s="99"/>
      <c r="Y1" s="99"/>
      <c r="Z1" s="99"/>
      <c r="AA1" s="99"/>
      <c r="AB1" s="99"/>
      <c r="AH1" s="116"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50</v>
      </c>
      <c r="M3" s="59" t="s">
        <v>61</v>
      </c>
      <c r="N3" s="60" t="s">
        <v>53</v>
      </c>
      <c r="O3" s="60"/>
      <c r="P3" s="59" t="s">
        <v>52</v>
      </c>
      <c r="Q3" s="59"/>
      <c r="R3" s="7" t="s">
        <v>59</v>
      </c>
      <c r="T3" s="109" t="s">
        <v>86</v>
      </c>
      <c r="U3" s="110"/>
      <c r="X3" s="35" t="s">
        <v>87</v>
      </c>
      <c r="Y3" s="36"/>
      <c r="Z3" s="36"/>
      <c r="AA3" s="36"/>
      <c r="AB3" s="37"/>
      <c r="AH3" s="1" t="s">
        <v>50</v>
      </c>
      <c r="AJ3" s="59" t="s">
        <v>61</v>
      </c>
      <c r="AK3" s="60" t="s">
        <v>53</v>
      </c>
      <c r="AL3" s="60"/>
      <c r="AM3" s="59" t="s">
        <v>52</v>
      </c>
      <c r="AN3" s="59"/>
      <c r="AO3" s="7" t="s">
        <v>59</v>
      </c>
      <c r="AQ3" s="1" t="s">
        <v>86</v>
      </c>
      <c r="AR3" s="119"/>
      <c r="AU3" s="35" t="s">
        <v>87</v>
      </c>
      <c r="AV3" s="36"/>
      <c r="AW3" s="36"/>
      <c r="AX3" s="36"/>
      <c r="AY3" s="37"/>
    </row>
    <row r="4" spans="7:51">
      <c r="K4" s="45" t="s">
        <v>17</v>
      </c>
      <c r="M4" s="55">
        <v>2204</v>
      </c>
      <c r="N4" s="55">
        <v>17300</v>
      </c>
      <c r="O4" s="55"/>
      <c r="P4" s="52">
        <f>(N4*1000)/(M4*8760)</f>
        <v>0.89604620905120624</v>
      </c>
      <c r="Q4" s="52"/>
      <c r="R4" s="55">
        <f>P4*M4</f>
        <v>1974.8858447488585</v>
      </c>
      <c r="S4" s="57"/>
      <c r="T4" s="110" t="s">
        <v>77</v>
      </c>
      <c r="U4" s="111">
        <v>26990000</v>
      </c>
      <c r="X4" s="93"/>
      <c r="Y4" t="s">
        <v>90</v>
      </c>
      <c r="Z4" s="2" t="s">
        <v>1</v>
      </c>
      <c r="AA4" s="2" t="s">
        <v>35</v>
      </c>
      <c r="AB4" s="104" t="s">
        <v>32</v>
      </c>
      <c r="AH4" s="45" t="s">
        <v>17</v>
      </c>
      <c r="AJ4" s="55">
        <v>2160</v>
      </c>
      <c r="AK4" s="55">
        <v>16641</v>
      </c>
      <c r="AL4" s="55"/>
      <c r="AM4" s="52">
        <f>(AK4*1000)/(AJ4*8760)</f>
        <v>0.8794710806697108</v>
      </c>
      <c r="AN4" s="52"/>
      <c r="AO4" s="55">
        <f>AM4*AJ4</f>
        <v>1899.6575342465753</v>
      </c>
      <c r="AP4" s="57"/>
      <c r="AQ4" s="119" t="s">
        <v>77</v>
      </c>
      <c r="AR4" s="120">
        <v>20796000</v>
      </c>
      <c r="AS4" s="124">
        <v>20464000</v>
      </c>
      <c r="AU4" s="93"/>
      <c r="AV4" s="2" t="s">
        <v>90</v>
      </c>
      <c r="AW4" s="2" t="s">
        <v>1</v>
      </c>
      <c r="AX4" s="2" t="s">
        <v>35</v>
      </c>
      <c r="AY4" s="104" t="s">
        <v>32</v>
      </c>
    </row>
    <row r="5" spans="7:51">
      <c r="K5" s="45" t="s">
        <v>24</v>
      </c>
      <c r="M5" s="55">
        <v>1573</v>
      </c>
      <c r="N5" s="55">
        <v>10671</v>
      </c>
      <c r="O5" s="55"/>
      <c r="P5" s="52">
        <f>(N5*1000)/(M5*8760)</f>
        <v>0.77441238711475324</v>
      </c>
      <c r="Q5" s="52"/>
      <c r="R5" s="55">
        <f>P5*M5</f>
        <v>1218.1506849315069</v>
      </c>
      <c r="S5" s="57"/>
      <c r="T5" s="110" t="s">
        <v>40</v>
      </c>
      <c r="U5" s="112">
        <v>10.5</v>
      </c>
      <c r="X5" s="93">
        <v>2001</v>
      </c>
      <c r="Y5" s="94">
        <f t="array" aca="1" ref="Y5" ca="1">SUM(O$45:O$55*$E$45:$E$55*X$45:X$55)/SUM(O$45:O$55*$E$45:$E$55)</f>
        <v>38.668232812135514</v>
      </c>
      <c r="Z5" s="94">
        <f t="array" aca="1" ref="Z5" ca="1">SUM(Q$45:Q$55*$E$45:$E$55*Z$45:Z$55)/SUM(Q$45:Q$55*$E$45:$E$55)</f>
        <v>72.847026781505903</v>
      </c>
      <c r="AA5" s="94">
        <f t="array" aca="1" ref="AA5" ca="1">SUM(R$45:R$55*$E$45:$E$55*AA$45:AA$55)/SUM(R$45:R$55*$E$45:$E$55)</f>
        <v>126.85092873772237</v>
      </c>
      <c r="AB5" s="95">
        <f t="array" aca="1" ref="AB5" ca="1">SUM($H$45:$H$55*$E$45:$E$55*AB$45:AB$55)/SUM($H$45:$H$55*$E$45:$E$55)</f>
        <v>93.809393065268992</v>
      </c>
      <c r="AH5" s="45" t="s">
        <v>24</v>
      </c>
      <c r="AJ5" s="55">
        <v>0</v>
      </c>
      <c r="AK5" s="55">
        <v>0</v>
      </c>
      <c r="AL5" s="55"/>
      <c r="AM5" s="52"/>
      <c r="AN5" s="52"/>
      <c r="AO5" s="55"/>
      <c r="AP5" s="57"/>
      <c r="AQ5" s="119" t="s">
        <v>40</v>
      </c>
      <c r="AR5" s="121">
        <v>10.5</v>
      </c>
      <c r="AU5" s="93">
        <v>2001</v>
      </c>
      <c r="AV5" s="94">
        <f t="array" aca="1" ref="AV5" ca="1">SUM(AL$45:AL$55*$E$45:$E$55*AU$45:AU$55)/SUM(AL$45:AL$55*$E$45:$E$55)</f>
        <v>37.344594839960429</v>
      </c>
      <c r="AW5" s="94">
        <f t="array" aca="1" ref="AW5" ca="1">SUM(AN$45:AN$55*$E$45:$E$55*AW$45:AW$55)/SUM(AN$45:AN$55*$E$45:$E$55)</f>
        <v>63.973825791199388</v>
      </c>
      <c r="AX5" s="94">
        <f t="array" aca="1" ref="AX5" ca="1">SUM(AO$45:AO$55*$E$45:$E$55*AX$45:AX$55)/SUM(AO$45:AO$55*$E$45:$E$55)</f>
        <v>137.7518356538155</v>
      </c>
      <c r="AY5" s="95">
        <f t="array" aca="1" ref="AY5" ca="1">SUM($H$45:$H$55*$E$45:$E$55*AY$45:AY$55)/SUM($H$45:$H$55*$E$45:$E$55)</f>
        <v>94.410295707516838</v>
      </c>
    </row>
    <row r="6" spans="7:51">
      <c r="K6" s="45" t="s">
        <v>51</v>
      </c>
      <c r="M6" s="55">
        <v>9</v>
      </c>
      <c r="N6" s="55">
        <v>29</v>
      </c>
      <c r="O6" s="55"/>
      <c r="P6" s="52">
        <f>(N6*1000)/(M6*8760)</f>
        <v>0.36783358701166918</v>
      </c>
      <c r="Q6" s="52"/>
      <c r="R6" s="55">
        <f>P6*M6</f>
        <v>3.3105022831050226</v>
      </c>
      <c r="S6" s="57"/>
      <c r="T6" s="110" t="s">
        <v>78</v>
      </c>
      <c r="U6" s="112">
        <v>3.5</v>
      </c>
      <c r="X6" s="93" t="s">
        <v>71</v>
      </c>
      <c r="Y6" s="94">
        <f t="array" aca="1" ref="Y6" ca="1">SUM(O$45:O$103*$E$45:$E$103*X$45:X$103)/SUM(O$45:O$103*$E$45:$E$103)</f>
        <v>38.688459547669268</v>
      </c>
      <c r="Z6" s="94">
        <f t="array" aca="1" ref="Z6" ca="1">SUM(Q$45:Q$103*$E$45:$E$103*Z$45:Z$103)/SUM(Q$45:Q$103*$E$45:$E$103)</f>
        <v>60.277205942180039</v>
      </c>
      <c r="AA6" s="94">
        <f t="array" aca="1" ref="AA6" ca="1">SUM(R$45:R$103*$E$45:$E$103*AA$45:AA$103)/SUM(R$45:R$103*$E$45:$E$103)</f>
        <v>71.327663073722007</v>
      </c>
      <c r="AB6" s="95">
        <f t="array" aca="1" ref="AB6" ca="1">SUM($H$45:$H$103*$E$45:$E$103*AB$45:AB$103)/SUM($H$45:$H$103*$E$45:$E$103)</f>
        <v>64.961414254760442</v>
      </c>
      <c r="AH6" s="45" t="s">
        <v>51</v>
      </c>
      <c r="AJ6" s="55">
        <f>482+97</f>
        <v>579</v>
      </c>
      <c r="AK6" s="55">
        <f>(_udcgen1999!D4+_udcgen1999!H4)/1000</f>
        <v>4932.4219999999996</v>
      </c>
      <c r="AL6" s="55"/>
      <c r="AM6" s="52">
        <f>(AK6*1000)/(AJ6*8760)</f>
        <v>0.97247300888794252</v>
      </c>
      <c r="AN6" s="52"/>
      <c r="AO6" s="55">
        <f>AM6*AJ6</f>
        <v>563.06187214611873</v>
      </c>
      <c r="AP6" s="57"/>
      <c r="AQ6" s="119" t="s">
        <v>78</v>
      </c>
      <c r="AR6" s="121">
        <v>3.5</v>
      </c>
      <c r="AU6" s="93" t="s">
        <v>71</v>
      </c>
      <c r="AV6" s="94">
        <f t="array" aca="1" ref="AV6" ca="1">SUM(AL$45:AL$103*$E$45:$E$103*AU$45:AU$103)/SUM(AL$45:AL$103*$E$45:$E$103)</f>
        <v>37.307845702615332</v>
      </c>
      <c r="AW6" s="94">
        <f t="array" aca="1" ref="AW6" ca="1">SUM(AN$45:AN$103*$E$45:$E$103*AW$45:AW$103)/SUM(AN$45:AN$103*$E$45:$E$103)</f>
        <v>56.022140354824238</v>
      </c>
      <c r="AX6" s="94">
        <f t="array" aca="1" ref="AX6" ca="1">SUM(AO$45:AO$103*$E$45:$E$103*AX$45:AX$103)/SUM(AO$45:AO$103*$E$45:$E$103)</f>
        <v>76.043270186348622</v>
      </c>
      <c r="AY6" s="95">
        <f t="array" aca="1" ref="AY6" ca="1">SUM($H$45:$H$103*$E$45:$E$103*AY$45:AY$103)/SUM($H$45:$H$103*$E$45:$E$103)</f>
        <v>64.936951300438963</v>
      </c>
    </row>
    <row r="7" spans="7:51">
      <c r="K7" s="45" t="s">
        <v>8</v>
      </c>
      <c r="M7" s="56">
        <v>1156</v>
      </c>
      <c r="N7" s="56">
        <v>4383</v>
      </c>
      <c r="O7" s="56"/>
      <c r="P7" s="53">
        <f>(N7*1000)/(M7*8760)</f>
        <v>0.43282220220884488</v>
      </c>
      <c r="Q7" s="53"/>
      <c r="R7" s="56">
        <f>P7*M7</f>
        <v>500.34246575342468</v>
      </c>
      <c r="S7" s="57"/>
      <c r="T7" s="110" t="s">
        <v>79</v>
      </c>
      <c r="U7" s="111">
        <v>2141000000</v>
      </c>
      <c r="X7" s="93" t="s">
        <v>72</v>
      </c>
      <c r="Y7" s="94">
        <f t="array" aca="1" ref="Y7" ca="1">SUM(O$45:O$127*$E$45:$E$127*X$45:X$127)/SUM(O$45:O$127*$E$45:$E$127)</f>
        <v>38.689785460700939</v>
      </c>
      <c r="Z7" s="94">
        <f t="array" aca="1" ref="Z7" ca="1">SUM(Q$45:Q$127*$E$45:$E$127*Z$45:Z$127)/SUM(Q$45:Q$127*$E$45:$E$127)</f>
        <v>58.917151699743123</v>
      </c>
      <c r="AA7" s="94">
        <f t="array" aca="1" ref="AA7" ca="1">SUM(R$45:R$127*$E$45:$E$127*AA$45:AA$127)/SUM(R$45:R$127*$E$45:$E$127)</f>
        <v>63.572633670171825</v>
      </c>
      <c r="AB7" s="95">
        <f t="array" aca="1" ref="AB7" ca="1">SUM($H$45:$H$127*$E$45:$E$127*AB$45:AB$127)/SUM($H$45:$H$127*$E$45:$E$127)</f>
        <v>60.962576875464663</v>
      </c>
      <c r="AH7" s="45" t="s">
        <v>8</v>
      </c>
      <c r="AJ7" s="56">
        <v>3896</v>
      </c>
      <c r="AK7" s="56">
        <f>_udcgen1999!I29/1000</f>
        <v>13391.819</v>
      </c>
      <c r="AL7" s="56"/>
      <c r="AM7" s="53">
        <f>(AK7*1000)/(AJ7*8760)</f>
        <v>0.39238872207064029</v>
      </c>
      <c r="AN7" s="53"/>
      <c r="AO7" s="56">
        <f>AM7*AJ7</f>
        <v>1528.7464611872147</v>
      </c>
      <c r="AP7" s="57"/>
      <c r="AQ7" s="119" t="s">
        <v>79</v>
      </c>
      <c r="AR7" s="120">
        <v>1376000000</v>
      </c>
      <c r="AU7" s="93" t="s">
        <v>72</v>
      </c>
      <c r="AV7" s="94">
        <f t="array" aca="1" ref="AV7" ca="1">SUM(AL$45:AL$127*$E$45:$E$127*AU$45:AU$127)/SUM(AL$45:AL$127*$E$45:$E$127)</f>
        <v>37.305286848980693</v>
      </c>
      <c r="AW7" s="94">
        <f t="array" aca="1" ref="AW7" ca="1">SUM(AN$45:AN$127*$E$45:$E$127*AW$45:AW$127)/SUM(AN$45:AN$127*$E$45:$E$127)</f>
        <v>54.750157971086537</v>
      </c>
      <c r="AX7" s="94">
        <f t="array" aca="1" ref="AX7" ca="1">SUM(AO$45:AO$127*$E$45:$E$127*AX$45:AX$127)/SUM(AO$45:AO$127*$E$45:$E$127)</f>
        <v>67.648162644788272</v>
      </c>
      <c r="AY7" s="95">
        <f t="array" aca="1" ref="AY7" ca="1">SUM($H$45:$H$127*$E$45:$E$127*AY$45:AY$127)/SUM($H$45:$H$127*$E$45:$E$127)</f>
        <v>60.695959020649411</v>
      </c>
    </row>
    <row r="8" spans="7:51">
      <c r="M8" s="55">
        <f>SUM(M4:M7)</f>
        <v>4942</v>
      </c>
      <c r="N8" s="55">
        <f>SUM(N4:N7)</f>
        <v>32383</v>
      </c>
      <c r="O8" s="55"/>
      <c r="P8" s="52"/>
      <c r="Q8" s="52"/>
      <c r="R8" s="55"/>
      <c r="S8" s="57"/>
      <c r="T8" s="110" t="s">
        <v>81</v>
      </c>
      <c r="U8" s="112">
        <f>U5*U6</f>
        <v>36.75</v>
      </c>
      <c r="X8" s="96" t="s">
        <v>63</v>
      </c>
      <c r="Y8" s="97">
        <f t="array" aca="1" ref="Y8" ca="1">SUM(O$45:O$163*$E$45:$E$163*X$45:X$163)/SUM(O$45:O$163*$E$45:$E$163)</f>
        <v>38.690751549612493</v>
      </c>
      <c r="Z8" s="97">
        <f t="array" aca="1" ref="Z8" ca="1">SUM(Q$45:Q$163*$E$45:$E$163*Z$45:Z$163)/SUM(Q$45:Q$163*$E$45:$E$163)</f>
        <v>58.053355803177169</v>
      </c>
      <c r="AA8" s="97">
        <f t="array" aca="1" ref="AA8" ca="1">SUM(R$45:R$163*$E$45:$E$163*AA$45:AA$163)/SUM(R$45:R$163*$E$45:$E$163)</f>
        <v>58.059184147376044</v>
      </c>
      <c r="AB8" s="98">
        <f t="array" aca="1" ref="AB8" ca="1">SUM($H$45:$H$163*$E$45:$E$163*AB$45:AB$163)/SUM($H$45:$H$163*$E$45:$E$163)</f>
        <v>58.056040736981323</v>
      </c>
      <c r="AJ8" s="55">
        <f>SUM(AJ4:AJ7)</f>
        <v>6635</v>
      </c>
      <c r="AK8" s="55">
        <f>SUM(AK4:AK7)</f>
        <v>34965.240999999995</v>
      </c>
      <c r="AL8" s="55"/>
      <c r="AM8" s="52"/>
      <c r="AN8" s="52"/>
      <c r="AO8" s="55"/>
      <c r="AP8" s="57"/>
      <c r="AQ8" s="119" t="s">
        <v>81</v>
      </c>
      <c r="AR8" s="121">
        <f>AR10/AR4</f>
        <v>40.248124639353719</v>
      </c>
      <c r="AU8" s="96" t="s">
        <v>63</v>
      </c>
      <c r="AV8" s="97">
        <f t="array" aca="1" ref="AV8" ca="1">SUM(AL$45:AL$163*$E$45:$E$163*AU$45:AU$163)/SUM(AL$45:AL$163*$E$45:$E$163)</f>
        <v>37.30327858136792</v>
      </c>
      <c r="AW8" s="97">
        <f t="array" aca="1" ref="AW8" ca="1">SUM(AN$45:AN$163*$E$45:$E$163*AW$45:AW$163)/SUM(AN$45:AN$163*$E$45:$E$163)</f>
        <v>53.676574665087749</v>
      </c>
      <c r="AX8" s="97">
        <f t="array" aca="1" ref="AX8" ca="1">SUM(AO$45:AO$163*$E$45:$E$163*AX$45:AX$163)/SUM(AO$45:AO$163*$E$45:$E$163)</f>
        <v>61.621489788906572</v>
      </c>
      <c r="AY8" s="98">
        <f t="array" aca="1" ref="AY8" ca="1">SUM($H$45:$H$163*$E$45:$E$163*AY$45:AY$163)/SUM($H$45:$H$163*$E$45:$E$163)</f>
        <v>57.515176559929998</v>
      </c>
    </row>
    <row r="9" spans="7:51">
      <c r="K9" s="1" t="s">
        <v>54</v>
      </c>
      <c r="M9" s="55"/>
      <c r="N9" s="55"/>
      <c r="O9" s="55"/>
      <c r="S9" s="57"/>
      <c r="T9" s="110"/>
      <c r="U9" s="110"/>
      <c r="Y9" s="3" t="s">
        <v>92</v>
      </c>
      <c r="AA9" s="65"/>
      <c r="AH9" s="1" t="s">
        <v>54</v>
      </c>
      <c r="AJ9" s="55"/>
      <c r="AK9" s="55"/>
      <c r="AL9" s="55"/>
      <c r="AP9" s="57"/>
      <c r="AQ9" s="119"/>
      <c r="AR9" s="119"/>
      <c r="AV9" s="3" t="s">
        <v>92</v>
      </c>
      <c r="AX9" s="65"/>
    </row>
    <row r="10" spans="7:51">
      <c r="K10" s="45" t="s">
        <v>55</v>
      </c>
      <c r="M10" s="55">
        <v>1987</v>
      </c>
      <c r="N10" s="55">
        <v>2805</v>
      </c>
      <c r="O10" s="55"/>
      <c r="P10" s="52">
        <f>(N10*1000)/(M10*8760)</f>
        <v>0.1611502161308781</v>
      </c>
      <c r="Q10" s="52"/>
      <c r="R10" s="55">
        <f>P10*M10</f>
        <v>320.20547945205476</v>
      </c>
      <c r="S10" s="57"/>
      <c r="T10" s="110" t="s">
        <v>80</v>
      </c>
      <c r="U10" s="111">
        <f>U8*U4</f>
        <v>991882500</v>
      </c>
      <c r="X10">
        <v>2001</v>
      </c>
      <c r="Y10" s="65">
        <v>31.897971293995479</v>
      </c>
      <c r="AH10" s="45" t="s">
        <v>55</v>
      </c>
      <c r="AJ10" s="55"/>
      <c r="AK10" s="55"/>
      <c r="AL10" s="55"/>
      <c r="AM10" s="52"/>
      <c r="AN10" s="52"/>
      <c r="AO10" s="55"/>
      <c r="AP10" s="57"/>
      <c r="AQ10" s="119" t="s">
        <v>80</v>
      </c>
      <c r="AR10" s="120">
        <v>837000000</v>
      </c>
      <c r="AU10">
        <v>2001</v>
      </c>
      <c r="AV10" s="65">
        <v>25.628518373729477</v>
      </c>
    </row>
    <row r="11" spans="7:51">
      <c r="K11" s="45" t="s">
        <v>56</v>
      </c>
      <c r="M11" s="55">
        <v>3502</v>
      </c>
      <c r="N11" s="55">
        <f>15338+1935+203+2354+6323+835</f>
        <v>26988</v>
      </c>
      <c r="O11" s="55"/>
      <c r="P11" s="54">
        <f>(N11*1000)/(M11*8760)</f>
        <v>0.87973212958544234</v>
      </c>
      <c r="Q11" s="54"/>
      <c r="R11" s="55">
        <f>P11*M11</f>
        <v>3080.821917808219</v>
      </c>
      <c r="S11" s="57"/>
      <c r="T11" s="110" t="s">
        <v>84</v>
      </c>
      <c r="U11" s="113">
        <f>U7-U10</f>
        <v>1149117500</v>
      </c>
      <c r="X11">
        <v>2002</v>
      </c>
      <c r="Y11" s="65">
        <v>21.680710603419502</v>
      </c>
      <c r="AH11" s="45" t="s">
        <v>56</v>
      </c>
      <c r="AJ11" s="55">
        <v>4500</v>
      </c>
      <c r="AK11" s="55">
        <v>20796</v>
      </c>
      <c r="AL11" s="55"/>
      <c r="AM11" s="54">
        <f>(AK11*1000)/(AJ11*8760)</f>
        <v>0.52754946727549468</v>
      </c>
      <c r="AN11" s="54"/>
      <c r="AO11" s="55">
        <f>AM11*AJ11</f>
        <v>2373.972602739726</v>
      </c>
      <c r="AP11" s="57"/>
      <c r="AQ11" s="119" t="s">
        <v>84</v>
      </c>
      <c r="AR11" s="122">
        <f>AR7-AR10</f>
        <v>539000000</v>
      </c>
      <c r="AS11" s="125">
        <v>524462</v>
      </c>
      <c r="AU11">
        <v>2002</v>
      </c>
      <c r="AV11" s="65">
        <v>25.726557084859888</v>
      </c>
    </row>
    <row r="12" spans="7:51">
      <c r="K12" s="45" t="s">
        <v>57</v>
      </c>
      <c r="M12" s="56">
        <v>0</v>
      </c>
      <c r="N12" s="56">
        <v>16576</v>
      </c>
      <c r="O12" s="56"/>
      <c r="P12" s="56">
        <v>0</v>
      </c>
      <c r="Q12" s="56"/>
      <c r="R12" s="7"/>
      <c r="S12" s="57"/>
      <c r="T12" s="113" t="s">
        <v>85</v>
      </c>
      <c r="U12" s="114">
        <f>U11/U4</f>
        <v>42.575676176361618</v>
      </c>
      <c r="X12">
        <v>2003</v>
      </c>
      <c r="Y12" s="65">
        <v>22.234871248716292</v>
      </c>
      <c r="AH12" s="45" t="s">
        <v>57</v>
      </c>
      <c r="AJ12" s="56">
        <v>0</v>
      </c>
      <c r="AK12" s="56">
        <v>0</v>
      </c>
      <c r="AL12" s="56"/>
      <c r="AM12" s="56">
        <v>0</v>
      </c>
      <c r="AN12" s="56"/>
      <c r="AO12" s="7"/>
      <c r="AP12" s="57"/>
      <c r="AQ12" s="122" t="s">
        <v>85</v>
      </c>
      <c r="AR12" s="123">
        <f>AR11/AR4</f>
        <v>25.918445854972109</v>
      </c>
      <c r="AS12" s="123">
        <f>AS11/AS4*1000</f>
        <v>25.628518373729477</v>
      </c>
      <c r="AU12">
        <v>2003</v>
      </c>
      <c r="AV12" s="65">
        <v>25.782898028620036</v>
      </c>
    </row>
    <row r="13" spans="7:51">
      <c r="M13" s="55">
        <f>SUM(M10:M12)</f>
        <v>5489</v>
      </c>
      <c r="N13" s="55">
        <f>SUM(N10:N12)</f>
        <v>46369</v>
      </c>
      <c r="O13" s="55"/>
      <c r="P13" s="54"/>
      <c r="Q13" s="54"/>
      <c r="S13" s="57"/>
      <c r="U13" s="46"/>
      <c r="X13">
        <v>2004</v>
      </c>
      <c r="Y13" s="65">
        <v>22.998651168326258</v>
      </c>
      <c r="AJ13" s="55"/>
      <c r="AK13" s="55"/>
      <c r="AL13" s="55"/>
      <c r="AM13" s="54"/>
      <c r="AN13" s="54"/>
      <c r="AP13" s="57"/>
      <c r="AR13" s="46"/>
      <c r="AU13">
        <v>2004</v>
      </c>
      <c r="AV13" s="65">
        <v>25.808403791954905</v>
      </c>
    </row>
    <row r="14" spans="7:51">
      <c r="S14" s="57"/>
      <c r="X14">
        <v>2005</v>
      </c>
      <c r="Y14" s="65">
        <v>23.105132728494624</v>
      </c>
      <c r="AP14" s="57"/>
      <c r="AU14">
        <v>2005</v>
      </c>
      <c r="AV14" s="65">
        <v>26.022119288019155</v>
      </c>
    </row>
    <row r="15" spans="7:51">
      <c r="K15" s="107" t="s">
        <v>89</v>
      </c>
      <c r="L15" s="101"/>
      <c r="M15" s="102"/>
      <c r="N15" s="102"/>
      <c r="O15" s="102"/>
      <c r="P15" s="103"/>
      <c r="Q15" s="103"/>
      <c r="R15" s="101"/>
      <c r="S15" s="57"/>
      <c r="T15" s="106" t="s">
        <v>2</v>
      </c>
      <c r="U15" s="105"/>
      <c r="V15" s="105"/>
      <c r="W15" s="105"/>
      <c r="X15" s="105"/>
      <c r="Y15" s="105"/>
      <c r="Z15" s="105"/>
      <c r="AA15" s="105"/>
      <c r="AB15" s="105"/>
      <c r="AH15" s="107" t="s">
        <v>89</v>
      </c>
      <c r="AI15" s="101"/>
      <c r="AJ15" s="102"/>
      <c r="AK15" s="102"/>
      <c r="AL15" s="102"/>
      <c r="AM15" s="103"/>
      <c r="AN15" s="103"/>
      <c r="AO15" s="101"/>
      <c r="AP15" s="57"/>
      <c r="AQ15" s="106" t="s">
        <v>2</v>
      </c>
      <c r="AR15" s="105"/>
      <c r="AS15" s="105"/>
      <c r="AT15" s="105"/>
      <c r="AU15" s="105"/>
      <c r="AV15" s="105"/>
      <c r="AW15" s="105"/>
      <c r="AX15" s="105"/>
      <c r="AY15" s="105"/>
    </row>
    <row r="16" spans="7:51">
      <c r="G16" s="50" t="s">
        <v>49</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36902</v>
      </c>
      <c r="F17" s="4"/>
      <c r="G17" t="s">
        <v>91</v>
      </c>
      <c r="I17" s="48">
        <f>Summary!B4</f>
        <v>0.03</v>
      </c>
      <c r="Y17" t="s">
        <v>69</v>
      </c>
      <c r="AA17" t="s">
        <v>70</v>
      </c>
      <c r="AV17" t="s">
        <v>69</v>
      </c>
      <c r="AX17" t="s">
        <v>70</v>
      </c>
    </row>
    <row r="18" spans="1:51">
      <c r="D18" s="2" t="s">
        <v>42</v>
      </c>
      <c r="E18" t="s">
        <v>3</v>
      </c>
      <c r="Q18" s="38" t="s">
        <v>18</v>
      </c>
      <c r="T18" s="83">
        <v>48.72</v>
      </c>
      <c r="U18" s="83">
        <v>23</v>
      </c>
      <c r="V18" s="83">
        <v>34</v>
      </c>
      <c r="W18" s="83">
        <v>38</v>
      </c>
      <c r="Y18" s="84">
        <v>10500</v>
      </c>
      <c r="AA18" s="85">
        <v>1</v>
      </c>
      <c r="AB18" s="9" t="s">
        <v>32</v>
      </c>
      <c r="AN18" s="38" t="s">
        <v>18</v>
      </c>
      <c r="AQ18" s="83">
        <v>43</v>
      </c>
      <c r="AR18" s="83"/>
      <c r="AS18" s="83">
        <v>30</v>
      </c>
      <c r="AT18" s="83">
        <v>38</v>
      </c>
      <c r="AV18" s="84">
        <v>10500</v>
      </c>
      <c r="AX18" s="85">
        <v>1</v>
      </c>
      <c r="AY18" s="9" t="s">
        <v>32</v>
      </c>
    </row>
    <row r="19" spans="1:51" ht="13.5" thickBot="1">
      <c r="A19" s="41"/>
      <c r="B19" s="39" t="s">
        <v>6</v>
      </c>
      <c r="C19" s="39" t="s">
        <v>0</v>
      </c>
      <c r="D19" s="40" t="s">
        <v>43</v>
      </c>
      <c r="E19" s="40" t="s">
        <v>4</v>
      </c>
      <c r="F19" s="40"/>
      <c r="G19" s="62" t="s">
        <v>48</v>
      </c>
      <c r="H19" s="62" t="s">
        <v>29</v>
      </c>
      <c r="I19" s="62" t="s">
        <v>23</v>
      </c>
      <c r="J19" s="42"/>
      <c r="K19" s="41" t="s">
        <v>17</v>
      </c>
      <c r="L19" s="41" t="s">
        <v>24</v>
      </c>
      <c r="M19" s="41" t="s">
        <v>8</v>
      </c>
      <c r="N19" s="41" t="s">
        <v>10</v>
      </c>
      <c r="O19" s="41" t="s">
        <v>68</v>
      </c>
      <c r="P19" s="41" t="s">
        <v>58</v>
      </c>
      <c r="Q19" s="41" t="s">
        <v>1</v>
      </c>
      <c r="R19" s="63" t="s">
        <v>60</v>
      </c>
      <c r="S19" s="42"/>
      <c r="T19" s="41" t="s">
        <v>17</v>
      </c>
      <c r="U19" s="41" t="s">
        <v>24</v>
      </c>
      <c r="V19" s="41" t="s">
        <v>8</v>
      </c>
      <c r="W19" s="41" t="s">
        <v>10</v>
      </c>
      <c r="X19" s="41" t="s">
        <v>82</v>
      </c>
      <c r="Y19" s="41" t="s">
        <v>58</v>
      </c>
      <c r="Z19" s="41" t="s">
        <v>83</v>
      </c>
      <c r="AA19" s="63" t="s">
        <v>60</v>
      </c>
      <c r="AB19" s="62" t="s">
        <v>75</v>
      </c>
      <c r="AH19" s="41" t="s">
        <v>17</v>
      </c>
      <c r="AI19" s="41" t="s">
        <v>24</v>
      </c>
      <c r="AJ19" s="41" t="s">
        <v>8</v>
      </c>
      <c r="AK19" s="41" t="s">
        <v>10</v>
      </c>
      <c r="AL19" s="41" t="s">
        <v>68</v>
      </c>
      <c r="AM19" s="41" t="s">
        <v>58</v>
      </c>
      <c r="AN19" s="41" t="s">
        <v>1</v>
      </c>
      <c r="AO19" s="63" t="s">
        <v>60</v>
      </c>
      <c r="AP19" s="42"/>
      <c r="AQ19" s="41" t="s">
        <v>17</v>
      </c>
      <c r="AR19" s="115" t="s">
        <v>24</v>
      </c>
      <c r="AS19" s="41" t="s">
        <v>8</v>
      </c>
      <c r="AT19" s="41" t="s">
        <v>10</v>
      </c>
      <c r="AU19" s="41" t="s">
        <v>82</v>
      </c>
      <c r="AV19" s="41" t="s">
        <v>58</v>
      </c>
      <c r="AW19" s="41" t="s">
        <v>83</v>
      </c>
      <c r="AX19" s="63" t="s">
        <v>60</v>
      </c>
      <c r="AY19" s="62" t="s">
        <v>75</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H20/SUM($H$20:$H$31)*$N$11/_udcgen1999!B47*1000</f>
        <v>2792.6655547379</v>
      </c>
      <c r="Q20" s="71"/>
      <c r="T20" s="72"/>
      <c r="U20" s="72"/>
      <c r="V20" s="72"/>
      <c r="W20" s="72"/>
      <c r="X20" s="72"/>
      <c r="Y20" s="72"/>
      <c r="Z20" s="72"/>
      <c r="AA20" s="72"/>
      <c r="AD20" s="72"/>
      <c r="AH20" s="71"/>
      <c r="AI20" s="71"/>
      <c r="AJ20" s="71"/>
      <c r="AK20" s="71"/>
      <c r="AL20" s="71"/>
      <c r="AM20" s="58">
        <f>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H21/SUM($H$20:$H$31)*$N$11/_udcgen1999!B48*1000</f>
        <v>3011.7717013676738</v>
      </c>
      <c r="Q21" s="71"/>
      <c r="T21" s="72"/>
      <c r="U21" s="72"/>
      <c r="V21" s="72"/>
      <c r="W21" s="72"/>
      <c r="X21" s="72"/>
      <c r="Y21" s="72"/>
      <c r="Z21" s="72"/>
      <c r="AA21" s="72"/>
      <c r="AD21" s="72"/>
      <c r="AH21" s="71"/>
      <c r="AI21" s="71"/>
      <c r="AJ21" s="71"/>
      <c r="AK21" s="71"/>
      <c r="AL21" s="71"/>
      <c r="AM21" s="58">
        <f>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H22/SUM($H$20:$H$31)*$N$11/_udcgen1999!B49*1000</f>
        <v>2834.3973290285558</v>
      </c>
      <c r="Q22" s="71"/>
      <c r="T22" s="72"/>
      <c r="U22" s="72"/>
      <c r="V22" s="72"/>
      <c r="W22" s="72"/>
      <c r="X22" s="72"/>
      <c r="Y22" s="72"/>
      <c r="Z22" s="72"/>
      <c r="AA22" s="72"/>
      <c r="AD22" s="72"/>
      <c r="AH22" s="71"/>
      <c r="AI22" s="71"/>
      <c r="AJ22" s="71"/>
      <c r="AK22" s="71"/>
      <c r="AL22" s="71"/>
      <c r="AM22" s="58">
        <f>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H23/SUM($H$20:$H$31)*$N$11/_udcgen1999!B50*1000</f>
        <v>2923.3945906815438</v>
      </c>
      <c r="Q23" s="71"/>
      <c r="T23" s="72"/>
      <c r="U23" s="72"/>
      <c r="V23" s="72"/>
      <c r="W23" s="72"/>
      <c r="X23" s="72"/>
      <c r="Y23" s="72"/>
      <c r="Z23" s="72"/>
      <c r="AA23" s="72"/>
      <c r="AD23" s="72"/>
      <c r="AH23" s="71"/>
      <c r="AI23" s="71"/>
      <c r="AJ23" s="71"/>
      <c r="AK23" s="71"/>
      <c r="AL23" s="71"/>
      <c r="AM23" s="58">
        <f>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H24/SUM($H$20:$H$31)*$N$11/_udcgen1999!B51*1000</f>
        <v>2831.510502104928</v>
      </c>
      <c r="Q24" s="71"/>
      <c r="T24" s="72"/>
      <c r="U24" s="72"/>
      <c r="V24" s="72"/>
      <c r="W24" s="72"/>
      <c r="X24" s="72"/>
      <c r="Y24" s="72"/>
      <c r="Z24" s="72"/>
      <c r="AA24" s="72"/>
      <c r="AD24" s="72"/>
      <c r="AH24" s="71"/>
      <c r="AI24" s="71"/>
      <c r="AJ24" s="71"/>
      <c r="AK24" s="71"/>
      <c r="AL24" s="71"/>
      <c r="AM24" s="58">
        <f>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H25/SUM($H$20:$H$31)*$N$11/_udcgen1999!B52*1000</f>
        <v>3175.7411781346573</v>
      </c>
      <c r="Q25" s="71"/>
      <c r="T25" s="72"/>
      <c r="U25" s="72"/>
      <c r="V25" s="72"/>
      <c r="W25" s="72"/>
      <c r="X25" s="72"/>
      <c r="Y25" s="72"/>
      <c r="Z25" s="72"/>
      <c r="AA25" s="72"/>
      <c r="AD25" s="72"/>
      <c r="AH25" s="71"/>
      <c r="AI25" s="71"/>
      <c r="AJ25" s="71"/>
      <c r="AK25" s="71"/>
      <c r="AL25" s="71"/>
      <c r="AM25" s="58">
        <f>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H26/SUM($H$20:$H$31)*$N$11/_udcgen1999!B53*1000</f>
        <v>3349.3895623880758</v>
      </c>
      <c r="Q26" s="71"/>
      <c r="T26" s="72"/>
      <c r="U26" s="72"/>
      <c r="V26" s="72"/>
      <c r="W26" s="72"/>
      <c r="X26" s="72"/>
      <c r="Y26" s="72"/>
      <c r="Z26" s="72"/>
      <c r="AA26" s="72"/>
      <c r="AD26" s="72"/>
      <c r="AH26" s="71"/>
      <c r="AI26" s="71"/>
      <c r="AJ26" s="71"/>
      <c r="AK26" s="71"/>
      <c r="AL26" s="71"/>
      <c r="AM26" s="58">
        <f>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H27/SUM($H$20:$H$31)*$N$11/_udcgen1999!B54*1000</f>
        <v>3426.252928840011</v>
      </c>
      <c r="Q27" s="71"/>
      <c r="T27" s="72"/>
      <c r="U27" s="72"/>
      <c r="V27" s="72"/>
      <c r="W27" s="72"/>
      <c r="X27" s="72"/>
      <c r="Y27" s="72"/>
      <c r="Z27" s="72"/>
      <c r="AA27" s="72"/>
      <c r="AD27" s="72"/>
      <c r="AH27" s="71"/>
      <c r="AI27" s="71"/>
      <c r="AJ27" s="71"/>
      <c r="AK27" s="71"/>
      <c r="AL27" s="71"/>
      <c r="AM27" s="58">
        <f>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_udcgen1999!F55/_udcgen1999!B55</f>
        <v>2263.6333333333332</v>
      </c>
      <c r="L28" s="58">
        <f>_udcgen1999!E55/_udcgen1999!B55</f>
        <v>1380.7361111111111</v>
      </c>
      <c r="M28" s="58">
        <f>_udcgen1999!G55/_udcgen1999!B55</f>
        <v>542.60277777777776</v>
      </c>
      <c r="N28" s="58">
        <f>_udcgen1999!H55/_udcgen1999!B55</f>
        <v>3.4194444444444443</v>
      </c>
      <c r="O28" s="71">
        <f>SUM(K28:N28)</f>
        <v>4190.3916666666673</v>
      </c>
      <c r="P28" s="58">
        <f>H28/SUM($H$20:$H$31)*$N$11/_udcgen1999!B55*1000</f>
        <v>3348.1339323547272</v>
      </c>
      <c r="Q28" s="71"/>
      <c r="T28" s="72"/>
      <c r="U28" s="72"/>
      <c r="V28" s="72"/>
      <c r="W28" s="72"/>
      <c r="X28" s="72"/>
      <c r="Y28" s="72"/>
      <c r="Z28" s="72"/>
      <c r="AA28" s="72"/>
      <c r="AD28" s="72"/>
      <c r="AH28" s="58">
        <f>K28/SUM($K$28:$K$39)*$AK$4*1000/_udcgen1999!P30</f>
        <v>1890.9773416389726</v>
      </c>
      <c r="AI28" s="58">
        <v>0</v>
      </c>
      <c r="AJ28" s="58">
        <f>_udcgen1999!J30</f>
        <v>765.82060543821262</v>
      </c>
      <c r="AK28" s="58">
        <f>I28/SUM($I$28:$I$39)*$AK$6*1000/_udcgen1999!P30</f>
        <v>570.92254509204622</v>
      </c>
      <c r="AL28" s="71">
        <f>SUM(AH28:AK28)</f>
        <v>3227.7204921692314</v>
      </c>
      <c r="AM28" s="58">
        <f>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_udcgen1999!F56/_udcgen1999!B56</f>
        <v>2069.2916666666665</v>
      </c>
      <c r="L29" s="58">
        <f>_udcgen1999!E56/_udcgen1999!B56</f>
        <v>1227.5241935483871</v>
      </c>
      <c r="M29" s="58">
        <f>_udcgen1999!G56/_udcgen1999!B56</f>
        <v>369.34005376344084</v>
      </c>
      <c r="N29" s="58">
        <f>_udcgen1999!H56/_udcgen1999!B56</f>
        <v>3.278225806451613</v>
      </c>
      <c r="O29" s="71">
        <f t="shared" ref="O29:O92" si="2">SUM(K29:N29)</f>
        <v>3669.4341397849457</v>
      </c>
      <c r="P29" s="58">
        <f>H29/SUM($H$20:$H$31)*$N$11/_udcgen1999!B56*1000</f>
        <v>3171.075494984625</v>
      </c>
      <c r="Q29" s="71"/>
      <c r="T29" s="72"/>
      <c r="U29" s="72"/>
      <c r="V29" s="72"/>
      <c r="W29" s="72"/>
      <c r="X29" s="72"/>
      <c r="Y29" s="72"/>
      <c r="Z29" s="72"/>
      <c r="AA29" s="72"/>
      <c r="AD29" s="72"/>
      <c r="AH29" s="58">
        <f>K29/SUM($K$28:$K$39)*$AK$4*1000/_udcgen1999!P31</f>
        <v>1913.8399491890309</v>
      </c>
      <c r="AI29" s="58">
        <v>0</v>
      </c>
      <c r="AJ29" s="58">
        <f>_udcgen1999!J31</f>
        <v>1075.3801160883429</v>
      </c>
      <c r="AK29" s="58">
        <f>I29/SUM($I$28:$I$39)*$AK$6*1000/_udcgen1999!P31</f>
        <v>576.38556050292607</v>
      </c>
      <c r="AL29" s="71">
        <f t="shared" ref="AL29:AL92" si="3">SUM(AH29:AK29)</f>
        <v>3565.6056257802998</v>
      </c>
      <c r="AM29" s="58">
        <f>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_udcgen1999!F57/_udcgen1999!B57</f>
        <v>2201.1583333333333</v>
      </c>
      <c r="L30" s="58">
        <f>_udcgen1999!E57/_udcgen1999!B57</f>
        <v>1270.0277777777778</v>
      </c>
      <c r="M30" s="58">
        <f>_udcgen1999!G57/_udcgen1999!B57</f>
        <v>241.3111111111111</v>
      </c>
      <c r="N30" s="58">
        <f>_udcgen1999!H57/_udcgen1999!B57</f>
        <v>3.1194444444444445</v>
      </c>
      <c r="O30" s="71">
        <f t="shared" si="2"/>
        <v>3715.6166666666668</v>
      </c>
      <c r="P30" s="58">
        <f>H30/SUM($H$20:$H$31)*$N$11/_udcgen1999!B57*1000</f>
        <v>3029.0331582980816</v>
      </c>
      <c r="Q30" s="71"/>
      <c r="T30" s="72"/>
      <c r="U30" s="72"/>
      <c r="V30" s="72"/>
      <c r="W30" s="72"/>
      <c r="X30" s="72"/>
      <c r="Y30" s="72"/>
      <c r="Z30" s="72"/>
      <c r="AA30" s="72"/>
      <c r="AD30" s="72"/>
      <c r="AH30" s="58">
        <f>K30/SUM($K$28:$K$39)*$AK$4*1000/_udcgen1999!P32</f>
        <v>1838.7874362867092</v>
      </c>
      <c r="AI30" s="58">
        <v>0</v>
      </c>
      <c r="AJ30" s="58">
        <f>_udcgen1999!J32</f>
        <v>1347.8791847211178</v>
      </c>
      <c r="AK30" s="58">
        <f>I30/SUM($I$28:$I$39)*$AK$6*1000/_udcgen1999!P32</f>
        <v>499.43911251442188</v>
      </c>
      <c r="AL30" s="71">
        <f t="shared" si="3"/>
        <v>3686.105733522249</v>
      </c>
      <c r="AM30" s="58">
        <f>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_udcgen1999!F58/_udcgen1999!B58</f>
        <v>2256.4126344086021</v>
      </c>
      <c r="L31" s="58">
        <f>_udcgen1999!E58/_udcgen1999!B58</f>
        <v>1157.2150537634409</v>
      </c>
      <c r="M31" s="58">
        <f>_udcgen1999!G58/_udcgen1999!B58</f>
        <v>239.86021505376345</v>
      </c>
      <c r="N31" s="58">
        <f>_udcgen1999!H58/_udcgen1999!B58</f>
        <v>2.9690860215053765</v>
      </c>
      <c r="O31" s="71">
        <f t="shared" si="2"/>
        <v>3656.4569892473123</v>
      </c>
      <c r="P31" s="58">
        <f>H31/SUM($H$20:$H$31)*$N$11/_udcgen1999!B58*1000</f>
        <v>2977.5968497309718</v>
      </c>
      <c r="Q31" s="71"/>
      <c r="T31" s="72"/>
      <c r="U31" s="72"/>
      <c r="V31" s="72"/>
      <c r="W31" s="72"/>
      <c r="X31" s="72"/>
      <c r="Y31" s="72"/>
      <c r="Z31" s="72"/>
      <c r="AA31" s="72"/>
      <c r="AD31" s="72"/>
      <c r="AH31" s="58">
        <f>K31/SUM($K$28:$K$39)*$AK$4*1000/_udcgen1999!P33</f>
        <v>1921.095004536046</v>
      </c>
      <c r="AI31" s="58">
        <v>0</v>
      </c>
      <c r="AJ31" s="58">
        <f>_udcgen1999!J33</f>
        <v>1326.4786927345147</v>
      </c>
      <c r="AK31" s="58">
        <f>I31/SUM($I$28:$I$39)*$AK$6*1000/_udcgen1999!P33</f>
        <v>519.61972313456249</v>
      </c>
      <c r="AL31" s="71">
        <f t="shared" si="3"/>
        <v>3767.1934204051231</v>
      </c>
      <c r="AM31" s="58">
        <f>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_udcgen1999!F47/_udcgen1999!B47</f>
        <v>2185.9180107526881</v>
      </c>
      <c r="L32" s="58">
        <f>_udcgen1999!E47/_udcgen1999!B47</f>
        <v>1282.3306451612902</v>
      </c>
      <c r="M32" s="58">
        <f>_udcgen1999!G47/_udcgen1999!B47</f>
        <v>142.8521505376344</v>
      </c>
      <c r="N32" s="58">
        <f>_udcgen1999!H47/_udcgen1999!B47</f>
        <v>3.168010752688172</v>
      </c>
      <c r="O32" s="71">
        <f t="shared" si="2"/>
        <v>3614.2688172043008</v>
      </c>
      <c r="P32" s="71">
        <f>P20</f>
        <v>2792.6655547379</v>
      </c>
      <c r="Q32" s="71"/>
      <c r="S32" s="73"/>
      <c r="T32" s="72"/>
      <c r="U32" s="72"/>
      <c r="V32" s="72"/>
      <c r="W32" s="72"/>
      <c r="X32" s="72"/>
      <c r="Y32" s="72"/>
      <c r="Z32" s="72"/>
      <c r="AA32" s="72"/>
      <c r="AD32" s="72"/>
      <c r="AH32" s="58">
        <f>K32/SUM($K$28:$K$39)*$AK$4*1000/_udcgen1999!P34</f>
        <v>1826.0560878589888</v>
      </c>
      <c r="AI32" s="58">
        <v>0</v>
      </c>
      <c r="AJ32" s="58">
        <f>_udcgen1999!J34</f>
        <v>1744.0893186443859</v>
      </c>
      <c r="AK32" s="58">
        <f>I32/SUM($I$28:$I$39)*$AK$6*1000/_udcgen1999!P34</f>
        <v>538.87289280137145</v>
      </c>
      <c r="AL32" s="71">
        <f t="shared" si="3"/>
        <v>4109.0182993047465</v>
      </c>
      <c r="AM32" s="71">
        <f>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_udcgen1999!F48/_udcgen1999!B48</f>
        <v>2261.8764367816093</v>
      </c>
      <c r="L33" s="58">
        <f>_udcgen1999!E48/_udcgen1999!B48</f>
        <v>1335.9798850574712</v>
      </c>
      <c r="M33" s="58">
        <f>_udcgen1999!G48/_udcgen1999!B48</f>
        <v>236.0028735632184</v>
      </c>
      <c r="N33" s="58">
        <f>_udcgen1999!H48/_udcgen1999!B48</f>
        <v>3.8491379310344827</v>
      </c>
      <c r="O33" s="71">
        <f t="shared" si="2"/>
        <v>3837.7083333333335</v>
      </c>
      <c r="P33" s="71">
        <f t="shared" ref="P33:P96" si="5">P21</f>
        <v>3011.7717013676738</v>
      </c>
      <c r="Q33" s="71"/>
      <c r="T33" s="72"/>
      <c r="U33" s="72"/>
      <c r="V33" s="72"/>
      <c r="W33" s="72"/>
      <c r="X33" s="72"/>
      <c r="Y33" s="72"/>
      <c r="Z33" s="72"/>
      <c r="AA33" s="72"/>
      <c r="AD33" s="72"/>
      <c r="AH33" s="58">
        <f>K33/SUM($K$28:$K$39)*$AK$4*1000/_udcgen1999!P35</f>
        <v>1925.7468502510062</v>
      </c>
      <c r="AI33" s="58">
        <v>0</v>
      </c>
      <c r="AJ33" s="58">
        <f>_udcgen1999!J35</f>
        <v>2201.9273871825426</v>
      </c>
      <c r="AK33" s="58">
        <f>I33/SUM($I$28:$I$39)*$AK$6*1000/_udcgen1999!P35</f>
        <v>548.47547775416388</v>
      </c>
      <c r="AL33" s="71">
        <f t="shared" si="3"/>
        <v>4676.1497151877129</v>
      </c>
      <c r="AM33" s="71">
        <f t="shared" ref="AM33:AM96"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_udcgen1999!F49/_udcgen1999!B49</f>
        <v>2263.9462365591398</v>
      </c>
      <c r="L34" s="58">
        <f>_udcgen1999!E49/_udcgen1999!B49</f>
        <v>1258.630376344086</v>
      </c>
      <c r="M34" s="58">
        <f>_udcgen1999!G49/_udcgen1999!B49</f>
        <v>620.64650537634407</v>
      </c>
      <c r="N34" s="58">
        <f>_udcgen1999!H49/_udcgen1999!B49</f>
        <v>2.581989247311828</v>
      </c>
      <c r="O34" s="71">
        <f t="shared" si="2"/>
        <v>4145.8051075268813</v>
      </c>
      <c r="P34" s="71">
        <f t="shared" si="5"/>
        <v>2834.3973290285558</v>
      </c>
      <c r="Q34" s="71"/>
      <c r="T34" s="72"/>
      <c r="U34" s="72"/>
      <c r="V34" s="72"/>
      <c r="W34" s="72"/>
      <c r="X34" s="72"/>
      <c r="Y34" s="72"/>
      <c r="Z34" s="72"/>
      <c r="AA34" s="72"/>
      <c r="AD34" s="72"/>
      <c r="AH34" s="58">
        <f>K34/SUM($K$28:$K$39)*$AK$4*1000/_udcgen1999!P36</f>
        <v>1891.2387324311178</v>
      </c>
      <c r="AI34" s="58">
        <v>0</v>
      </c>
      <c r="AJ34" s="58">
        <f>_udcgen1999!J36</f>
        <v>1966.5504926356311</v>
      </c>
      <c r="AK34" s="58">
        <f>I34/SUM($I$28:$I$39)*$AK$6*1000/_udcgen1999!P36</f>
        <v>526.07330501492243</v>
      </c>
      <c r="AL34" s="71">
        <f t="shared" si="3"/>
        <v>4383.8625300816711</v>
      </c>
      <c r="AM34" s="71">
        <f t="shared"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_udcgen1999!F50/_udcgen1999!B50</f>
        <v>2319.8402777777778</v>
      </c>
      <c r="L35" s="58">
        <f>_udcgen1999!E50/_udcgen1999!B50</f>
        <v>1179.1659722222223</v>
      </c>
      <c r="M35" s="58">
        <f>_udcgen1999!G50/_udcgen1999!B50</f>
        <v>811.58611111111111</v>
      </c>
      <c r="N35" s="58">
        <f>_udcgen1999!H50/_udcgen1999!B50</f>
        <v>3.0416666666666665</v>
      </c>
      <c r="O35" s="71">
        <f t="shared" si="2"/>
        <v>4313.6340277777781</v>
      </c>
      <c r="P35" s="71">
        <f t="shared" si="5"/>
        <v>2923.3945906815438</v>
      </c>
      <c r="Q35" s="71"/>
      <c r="T35" s="72"/>
      <c r="U35" s="72"/>
      <c r="V35" s="72"/>
      <c r="W35" s="72"/>
      <c r="X35" s="72"/>
      <c r="Y35" s="72"/>
      <c r="Z35" s="72"/>
      <c r="AA35" s="72"/>
      <c r="AD35" s="72"/>
      <c r="AH35" s="58">
        <f>K35/SUM($K$28:$K$39)*$AK$4*1000/_udcgen1999!P37</f>
        <v>1937.9310849074075</v>
      </c>
      <c r="AI35" s="58">
        <v>0</v>
      </c>
      <c r="AJ35" s="58">
        <f>_udcgen1999!J37</f>
        <v>2070.9500209392572</v>
      </c>
      <c r="AK35" s="58">
        <f>I35/SUM($I$28:$I$39)*$AK$6*1000/_udcgen1999!P37</f>
        <v>513.91932921853174</v>
      </c>
      <c r="AL35" s="71">
        <f t="shared" si="3"/>
        <v>4522.8004350651963</v>
      </c>
      <c r="AM35" s="71">
        <f t="shared"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_udcgen1999!F51/_udcgen1999!B51</f>
        <v>2226.0672043010754</v>
      </c>
      <c r="L36" s="58">
        <f>_udcgen1999!E51/_udcgen1999!B51</f>
        <v>1023.6263440860215</v>
      </c>
      <c r="M36" s="58">
        <f>_udcgen1999!G51/_udcgen1999!B51</f>
        <v>950.16532258064512</v>
      </c>
      <c r="N36" s="58">
        <f>_udcgen1999!H51/_udcgen1999!B51</f>
        <v>3.3051075268817205</v>
      </c>
      <c r="O36" s="71">
        <f t="shared" si="2"/>
        <v>4203.1639784946237</v>
      </c>
      <c r="P36" s="71">
        <f t="shared" si="5"/>
        <v>2831.510502104928</v>
      </c>
      <c r="Q36" s="71"/>
      <c r="T36" s="72"/>
      <c r="U36" s="72"/>
      <c r="V36" s="72"/>
      <c r="W36" s="72"/>
      <c r="X36" s="72"/>
      <c r="Y36" s="72"/>
      <c r="Z36" s="72"/>
      <c r="AA36" s="72"/>
      <c r="AD36" s="72"/>
      <c r="AH36" s="58">
        <f>K36/SUM($K$28:$K$39)*$AK$4*1000/_udcgen1999!P38</f>
        <v>1895.2591032026239</v>
      </c>
      <c r="AI36" s="58">
        <v>0</v>
      </c>
      <c r="AJ36" s="58">
        <f>_udcgen1999!J38</f>
        <v>1877.6303324734643</v>
      </c>
      <c r="AK36" s="58">
        <f>I36/SUM($I$28:$I$39)*$AK$6*1000/_udcgen1999!P38</f>
        <v>570.53181663934993</v>
      </c>
      <c r="AL36" s="71">
        <f t="shared" si="3"/>
        <v>4343.4212523154383</v>
      </c>
      <c r="AM36" s="71">
        <f t="shared"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_udcgen1999!F52/_udcgen1999!B52</f>
        <v>2252.1333333333332</v>
      </c>
      <c r="L37" s="58">
        <f>_udcgen1999!E52/_udcgen1999!B52</f>
        <v>1398.3916666666667</v>
      </c>
      <c r="M37" s="58">
        <f>_udcgen1999!G52/_udcgen1999!B52</f>
        <v>957.04027777777776</v>
      </c>
      <c r="N37" s="58">
        <f>_udcgen1999!H52/_udcgen1999!B52</f>
        <v>3.526388888888889</v>
      </c>
      <c r="O37" s="71">
        <f t="shared" si="2"/>
        <v>4611.0916666666662</v>
      </c>
      <c r="P37" s="71">
        <f t="shared" si="5"/>
        <v>3175.7411781346573</v>
      </c>
      <c r="Q37" s="71"/>
      <c r="T37" s="72"/>
      <c r="U37" s="72"/>
      <c r="V37" s="72"/>
      <c r="W37" s="72"/>
      <c r="X37" s="72"/>
      <c r="Y37" s="72"/>
      <c r="Z37" s="72"/>
      <c r="AA37" s="72"/>
      <c r="AD37" s="72"/>
      <c r="AH37" s="58">
        <f>K37/SUM($K$28:$K$39)*$AK$4*1000/_udcgen1999!P39</f>
        <v>1881.3705563400365</v>
      </c>
      <c r="AI37" s="58">
        <v>0</v>
      </c>
      <c r="AJ37" s="58">
        <f>_udcgen1999!J39</f>
        <v>1162.1616861734683</v>
      </c>
      <c r="AK37" s="58">
        <f>I37/SUM($I$28:$I$39)*$AK$6*1000/_udcgen1999!P39</f>
        <v>631.24071210358352</v>
      </c>
      <c r="AL37" s="71">
        <f t="shared" si="3"/>
        <v>3674.7729546170881</v>
      </c>
      <c r="AM37" s="71">
        <f t="shared"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_udcgen1999!F53/_udcgen1999!B53</f>
        <v>2248.4569892473119</v>
      </c>
      <c r="L38" s="58">
        <f>_udcgen1999!E53/_udcgen1999!B53</f>
        <v>1358.3225806451612</v>
      </c>
      <c r="M38" s="58">
        <f>_udcgen1999!G53/_udcgen1999!B53</f>
        <v>653.55107526881716</v>
      </c>
      <c r="N38" s="58">
        <f>_udcgen1999!H53/_udcgen1999!B53</f>
        <v>3.8373655913978495</v>
      </c>
      <c r="O38" s="71">
        <f t="shared" si="2"/>
        <v>4264.1680107526872</v>
      </c>
      <c r="P38" s="71">
        <f t="shared" si="5"/>
        <v>3349.3895623880758</v>
      </c>
      <c r="Q38" s="71"/>
      <c r="T38" s="72"/>
      <c r="U38" s="72"/>
      <c r="V38" s="72"/>
      <c r="W38" s="72"/>
      <c r="X38" s="72"/>
      <c r="Y38" s="72"/>
      <c r="Z38" s="72"/>
      <c r="AA38" s="72"/>
      <c r="AD38" s="72"/>
      <c r="AH38" s="58">
        <f>K38/SUM($K$28:$K$39)*$AK$4*1000/_udcgen1999!P40</f>
        <v>1914.3216201186069</v>
      </c>
      <c r="AI38" s="58">
        <v>0</v>
      </c>
      <c r="AJ38" s="58">
        <f>_udcgen1999!J40</f>
        <v>1193.3319743059751</v>
      </c>
      <c r="AK38" s="58">
        <f>I38/SUM($I$28:$I$39)*$AK$6*1000/_udcgen1999!P40</f>
        <v>610.72305844211053</v>
      </c>
      <c r="AL38" s="71">
        <f t="shared" si="3"/>
        <v>3718.3766528666924</v>
      </c>
      <c r="AM38" s="71">
        <f t="shared"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_udcgen1999!F54/_udcgen1999!B54</f>
        <v>2226.0658602150538</v>
      </c>
      <c r="L39" s="58">
        <f>_udcgen1999!E54/_udcgen1999!B54</f>
        <v>1361.989247311828</v>
      </c>
      <c r="M39" s="58">
        <f>_udcgen1999!G54/_udcgen1999!B54</f>
        <v>483.36424731182797</v>
      </c>
      <c r="N39" s="58">
        <f>_udcgen1999!H54/_udcgen1999!B54</f>
        <v>3.924731182795699</v>
      </c>
      <c r="O39" s="71">
        <f t="shared" si="2"/>
        <v>4075.3440860215055</v>
      </c>
      <c r="P39" s="71">
        <f t="shared" si="5"/>
        <v>3426.252928840011</v>
      </c>
      <c r="Q39" s="71"/>
      <c r="T39" s="72"/>
      <c r="U39" s="72"/>
      <c r="V39" s="72"/>
      <c r="W39" s="72"/>
      <c r="X39" s="72"/>
      <c r="Y39" s="72"/>
      <c r="Z39" s="72"/>
      <c r="AA39" s="72"/>
      <c r="AD39" s="72"/>
      <c r="AH39" s="58">
        <f>K39/SUM($K$28:$K$39)*$AK$4*1000/_udcgen1999!P41</f>
        <v>1859.5945026415061</v>
      </c>
      <c r="AI39" s="58">
        <v>0</v>
      </c>
      <c r="AJ39" s="58">
        <f>_udcgen1999!J41</f>
        <v>1584.5088037693729</v>
      </c>
      <c r="AK39" s="58">
        <f>I39/SUM($I$28:$I$39)*$AK$6*1000/_udcgen1999!P41</f>
        <v>621.50165686237608</v>
      </c>
      <c r="AL39" s="71">
        <f t="shared" si="3"/>
        <v>4065.6049632732547</v>
      </c>
      <c r="AM39" s="71">
        <f t="shared"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si="7">K28</f>
        <v>2263.6333333333332</v>
      </c>
      <c r="L40" s="71">
        <f t="shared" si="7"/>
        <v>1380.7361111111111</v>
      </c>
      <c r="M40" s="71">
        <f t="shared" si="7"/>
        <v>542.60277777777776</v>
      </c>
      <c r="N40" s="71">
        <f t="shared" si="7"/>
        <v>3.4194444444444443</v>
      </c>
      <c r="O40" s="71">
        <f t="shared" si="2"/>
        <v>4190.3916666666673</v>
      </c>
      <c r="P40" s="71">
        <f t="shared" si="5"/>
        <v>3348.1339323547272</v>
      </c>
      <c r="Q40" s="71"/>
      <c r="T40" s="72"/>
      <c r="U40" s="72"/>
      <c r="V40" s="72"/>
      <c r="W40" s="72"/>
      <c r="X40" s="72"/>
      <c r="Y40" s="72"/>
      <c r="Z40" s="72"/>
      <c r="AA40" s="72"/>
      <c r="AD40" s="72"/>
      <c r="AH40" s="71">
        <f t="shared" ref="AH40:AK59" si="8">AH28</f>
        <v>1890.9773416389726</v>
      </c>
      <c r="AI40" s="71">
        <f t="shared" si="8"/>
        <v>0</v>
      </c>
      <c r="AJ40" s="71">
        <f t="shared" si="8"/>
        <v>765.82060543821262</v>
      </c>
      <c r="AK40" s="71">
        <f t="shared" si="8"/>
        <v>570.92254509204622</v>
      </c>
      <c r="AL40" s="71">
        <f t="shared" si="3"/>
        <v>3227.7204921692314</v>
      </c>
      <c r="AM40" s="71">
        <f t="shared"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si="7"/>
        <v>2069.2916666666665</v>
      </c>
      <c r="L41" s="71">
        <f t="shared" si="7"/>
        <v>1227.5241935483871</v>
      </c>
      <c r="M41" s="71">
        <f t="shared" si="7"/>
        <v>369.34005376344084</v>
      </c>
      <c r="N41" s="71">
        <f t="shared" si="7"/>
        <v>3.278225806451613</v>
      </c>
      <c r="O41" s="71">
        <f t="shared" si="2"/>
        <v>3669.4341397849457</v>
      </c>
      <c r="P41" s="71">
        <f t="shared" si="5"/>
        <v>3171.075494984625</v>
      </c>
      <c r="Q41" s="71"/>
      <c r="T41" s="72"/>
      <c r="U41" s="72"/>
      <c r="V41" s="72"/>
      <c r="W41" s="72"/>
      <c r="X41" s="72"/>
      <c r="Y41" s="72"/>
      <c r="Z41" s="72"/>
      <c r="AA41" s="72"/>
      <c r="AD41" s="72"/>
      <c r="AH41" s="71">
        <f t="shared" si="8"/>
        <v>1913.8399491890309</v>
      </c>
      <c r="AI41" s="71">
        <f t="shared" si="8"/>
        <v>0</v>
      </c>
      <c r="AJ41" s="71">
        <f t="shared" si="8"/>
        <v>1075.3801160883429</v>
      </c>
      <c r="AK41" s="71">
        <f t="shared" si="8"/>
        <v>576.38556050292607</v>
      </c>
      <c r="AL41" s="71">
        <f t="shared" si="3"/>
        <v>3565.6056257802998</v>
      </c>
      <c r="AM41" s="71">
        <f t="shared"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si="7"/>
        <v>2201.1583333333333</v>
      </c>
      <c r="L42" s="71">
        <f t="shared" si="7"/>
        <v>1270.0277777777778</v>
      </c>
      <c r="M42" s="71">
        <f t="shared" si="7"/>
        <v>241.3111111111111</v>
      </c>
      <c r="N42" s="71">
        <f t="shared" si="7"/>
        <v>3.1194444444444445</v>
      </c>
      <c r="O42" s="71">
        <f t="shared" si="2"/>
        <v>3715.6166666666668</v>
      </c>
      <c r="P42" s="71">
        <f t="shared" si="5"/>
        <v>3029.0331582980816</v>
      </c>
      <c r="Q42" s="71"/>
      <c r="T42" s="72"/>
      <c r="U42" s="72"/>
      <c r="V42" s="72"/>
      <c r="W42" s="72"/>
      <c r="X42" s="72"/>
      <c r="Y42" s="72"/>
      <c r="Z42" s="72"/>
      <c r="AA42" s="72"/>
      <c r="AD42" s="72"/>
      <c r="AH42" s="71">
        <f t="shared" si="8"/>
        <v>1838.7874362867092</v>
      </c>
      <c r="AI42" s="71">
        <f t="shared" si="8"/>
        <v>0</v>
      </c>
      <c r="AJ42" s="71">
        <f t="shared" si="8"/>
        <v>1347.8791847211178</v>
      </c>
      <c r="AK42" s="71">
        <f t="shared" si="8"/>
        <v>499.43911251442188</v>
      </c>
      <c r="AL42" s="71">
        <f t="shared" si="3"/>
        <v>3686.105733522249</v>
      </c>
      <c r="AM42" s="71">
        <f t="shared"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si="7"/>
        <v>2256.4126344086021</v>
      </c>
      <c r="L43" s="71">
        <f t="shared" si="7"/>
        <v>1157.2150537634409</v>
      </c>
      <c r="M43" s="71">
        <f t="shared" si="7"/>
        <v>239.86021505376345</v>
      </c>
      <c r="N43" s="71">
        <f t="shared" si="7"/>
        <v>2.9690860215053765</v>
      </c>
      <c r="O43" s="71">
        <f t="shared" si="2"/>
        <v>3656.4569892473123</v>
      </c>
      <c r="P43" s="71">
        <f t="shared" si="5"/>
        <v>2977.5968497309718</v>
      </c>
      <c r="Q43" s="71"/>
      <c r="T43" s="72"/>
      <c r="U43" s="72"/>
      <c r="V43" s="72"/>
      <c r="W43" s="72"/>
      <c r="X43" s="72"/>
      <c r="Y43" s="72"/>
      <c r="Z43" s="72"/>
      <c r="AA43" s="72"/>
      <c r="AD43" s="72"/>
      <c r="AH43" s="71">
        <f t="shared" si="8"/>
        <v>1921.095004536046</v>
      </c>
      <c r="AI43" s="71">
        <f t="shared" si="8"/>
        <v>0</v>
      </c>
      <c r="AJ43" s="71">
        <f t="shared" si="8"/>
        <v>1326.4786927345147</v>
      </c>
      <c r="AK43" s="71">
        <f t="shared" si="8"/>
        <v>519.61972313456249</v>
      </c>
      <c r="AL43" s="71">
        <f t="shared" si="3"/>
        <v>3767.1934204051231</v>
      </c>
      <c r="AM43" s="71">
        <f t="shared"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si="9">(1+$I$17)*H32</f>
        <v>10900.868343255353</v>
      </c>
      <c r="I44" s="69">
        <f t="shared" si="9"/>
        <v>10362.634678818664</v>
      </c>
      <c r="K44" s="71">
        <f t="shared" si="7"/>
        <v>2185.9180107526881</v>
      </c>
      <c r="L44" s="71">
        <f t="shared" si="7"/>
        <v>1282.3306451612902</v>
      </c>
      <c r="M44" s="71">
        <f t="shared" si="7"/>
        <v>142.8521505376344</v>
      </c>
      <c r="N44" s="71">
        <f t="shared" si="7"/>
        <v>3.168010752688172</v>
      </c>
      <c r="O44" s="71">
        <f t="shared" si="2"/>
        <v>3614.2688172043008</v>
      </c>
      <c r="P44" s="71">
        <f t="shared" si="5"/>
        <v>2792.6655547379</v>
      </c>
      <c r="Q44" s="71"/>
      <c r="T44" s="72"/>
      <c r="U44" s="72"/>
      <c r="V44" s="72"/>
      <c r="W44" s="72"/>
      <c r="X44" s="72"/>
      <c r="Y44" s="72"/>
      <c r="Z44" s="72"/>
      <c r="AA44" s="72"/>
      <c r="AD44" s="72"/>
      <c r="AH44" s="71">
        <f t="shared" si="8"/>
        <v>1826.0560878589888</v>
      </c>
      <c r="AI44" s="71">
        <f t="shared" si="8"/>
        <v>0</v>
      </c>
      <c r="AJ44" s="71">
        <f t="shared" si="8"/>
        <v>1744.0893186443859</v>
      </c>
      <c r="AK44" s="71">
        <f t="shared" si="8"/>
        <v>538.87289280137145</v>
      </c>
      <c r="AL44" s="71">
        <f t="shared" si="3"/>
        <v>4109.0182993047465</v>
      </c>
      <c r="AM44" s="71">
        <f t="shared"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0.98883785477806685</v>
      </c>
      <c r="F45" s="44"/>
      <c r="G45" s="10"/>
      <c r="H45" s="10">
        <f t="shared" si="9"/>
        <v>10930.189520769973</v>
      </c>
      <c r="I45" s="10">
        <f t="shared" si="9"/>
        <v>10348.823736716995</v>
      </c>
      <c r="K45" s="46">
        <f t="shared" si="7"/>
        <v>2261.8764367816093</v>
      </c>
      <c r="L45" s="46">
        <f t="shared" si="7"/>
        <v>1335.9798850574712</v>
      </c>
      <c r="M45" s="46">
        <f t="shared" si="7"/>
        <v>236.0028735632184</v>
      </c>
      <c r="N45" s="46">
        <f t="shared" si="7"/>
        <v>3.8491379310344827</v>
      </c>
      <c r="O45" s="46">
        <f t="shared" si="2"/>
        <v>3837.7083333333335</v>
      </c>
      <c r="P45" s="46">
        <f t="shared" si="5"/>
        <v>3011.7717013676738</v>
      </c>
      <c r="Q45" s="46">
        <f>O45+P45</f>
        <v>6849.4800347010078</v>
      </c>
      <c r="R45" s="10">
        <f t="shared" ref="R45:R108" si="11">H45-O45-P45</f>
        <v>4080.7094860689649</v>
      </c>
      <c r="T45" s="65">
        <f t="shared" ref="T45:T108" si="12">$T$18</f>
        <v>48.72</v>
      </c>
      <c r="U45" s="65">
        <f t="shared" ref="U45:U65" si="13">U$18</f>
        <v>23</v>
      </c>
      <c r="V45" s="65">
        <f t="shared" ref="V45:W64" si="14">V$18</f>
        <v>34</v>
      </c>
      <c r="W45" s="65">
        <f t="shared" si="14"/>
        <v>38</v>
      </c>
      <c r="X45" s="65">
        <f>SUMPRODUCT(K45:N45,T45:W45)/O45</f>
        <v>38.850404811599958</v>
      </c>
      <c r="Y45" s="65">
        <f>$Y$18/1000*CURVES!K4+VLOOKUP($B45,$X$10:$Y$14,2,FALSE)</f>
        <v>139.08197129399548</v>
      </c>
      <c r="Z45" s="65">
        <f>(O45*X45+P45*Y45)/Q45</f>
        <v>82.923034264648479</v>
      </c>
      <c r="AA45" s="65">
        <f>CHOOSE(AA$18,CURVES!F4,CURVES!G4)</f>
        <v>135.19387755102039</v>
      </c>
      <c r="AB45" s="65">
        <f t="shared" ref="AB45:AB108" si="15">(Q45*Z45+R45*AA45)/H45</f>
        <v>102.43798646544947</v>
      </c>
      <c r="AD45" s="65"/>
      <c r="AH45" s="46">
        <f t="shared" si="8"/>
        <v>1925.7468502510062</v>
      </c>
      <c r="AI45" s="46">
        <f t="shared" si="8"/>
        <v>0</v>
      </c>
      <c r="AJ45" s="46">
        <f t="shared" si="8"/>
        <v>2201.9273871825426</v>
      </c>
      <c r="AK45" s="46">
        <f t="shared" si="8"/>
        <v>548.47547775416388</v>
      </c>
      <c r="AL45" s="46">
        <f t="shared" si="3"/>
        <v>4676.1497151877129</v>
      </c>
      <c r="AM45" s="46">
        <f t="shared" si="6"/>
        <v>2161.5456443452381</v>
      </c>
      <c r="AN45" s="46">
        <f>AL45+AM45</f>
        <v>6837.6953595329505</v>
      </c>
      <c r="AO45" s="10">
        <f t="shared" ref="AO45:AO108" si="16">I45-AL45-AM45</f>
        <v>3511.128377184044</v>
      </c>
      <c r="AQ45" s="65">
        <f t="shared" ref="AQ45:AQ108" si="17">$AQ$18</f>
        <v>43</v>
      </c>
      <c r="AR45" s="65"/>
      <c r="AS45" s="65">
        <f t="shared" ref="AS45:AT64" si="18">AS$18</f>
        <v>30</v>
      </c>
      <c r="AT45" s="65">
        <f t="shared" si="18"/>
        <v>38</v>
      </c>
      <c r="AU45" s="65">
        <f>SUMPRODUCT(AH45:AK45,AQ45:AT45)/AL45</f>
        <v>36.29203825098557</v>
      </c>
      <c r="AV45" s="65">
        <f>$Y$18/1000*CURVES!O4+VLOOKUP($B45,$AU$10:$AV$14,2,FALSE)</f>
        <v>132.81251837372946</v>
      </c>
      <c r="AW45" s="65">
        <f>(AL45*AU45+AM45*AV45)/AN45</f>
        <v>66.804281401531384</v>
      </c>
      <c r="AX45" s="65">
        <f>CHOOSE(AX$18,CURVES!B4,CURVES!C4)</f>
        <v>172.09183673469386</v>
      </c>
      <c r="AY45" s="65">
        <f>(AN45*AW45+AO45*AX45)/I45</f>
        <v>102.52603420161111</v>
      </c>
    </row>
    <row r="46" spans="1:51">
      <c r="A46" s="75">
        <v>36951</v>
      </c>
      <c r="B46" s="2">
        <f t="shared" si="0"/>
        <v>2001</v>
      </c>
      <c r="C46" s="2">
        <f t="shared" ref="C46:C109" si="19">MONTH(A46)</f>
        <v>3</v>
      </c>
      <c r="D46" s="43">
        <v>5.9682982997528999E-2</v>
      </c>
      <c r="E46" s="44">
        <f t="shared" ca="1" si="10"/>
        <v>0.98418614060999343</v>
      </c>
      <c r="F46" s="44"/>
      <c r="G46" s="10"/>
      <c r="H46" s="10">
        <f t="shared" si="9"/>
        <v>10866.912866989647</v>
      </c>
      <c r="I46" s="10">
        <f t="shared" si="9"/>
        <v>10116.496017842579</v>
      </c>
      <c r="K46" s="46">
        <f t="shared" si="7"/>
        <v>2263.9462365591398</v>
      </c>
      <c r="L46" s="46">
        <f t="shared" si="7"/>
        <v>1258.630376344086</v>
      </c>
      <c r="M46" s="46">
        <f t="shared" si="7"/>
        <v>620.64650537634407</v>
      </c>
      <c r="N46" s="46">
        <f t="shared" si="7"/>
        <v>2.581989247311828</v>
      </c>
      <c r="O46" s="46">
        <f t="shared" si="2"/>
        <v>4145.8051075268813</v>
      </c>
      <c r="P46" s="46">
        <f t="shared" si="5"/>
        <v>2834.3973290285558</v>
      </c>
      <c r="Q46" s="46">
        <f t="shared" ref="Q46:Q109" si="20">O46+P46</f>
        <v>6980.2024365554371</v>
      </c>
      <c r="R46" s="10">
        <f t="shared" si="11"/>
        <v>3886.7104304342101</v>
      </c>
      <c r="T46" s="65">
        <f t="shared" si="12"/>
        <v>48.72</v>
      </c>
      <c r="U46" s="65">
        <f t="shared" si="13"/>
        <v>23</v>
      </c>
      <c r="V46" s="65">
        <f t="shared" si="14"/>
        <v>34</v>
      </c>
      <c r="W46" s="65">
        <f t="shared" si="14"/>
        <v>38</v>
      </c>
      <c r="X46" s="65">
        <f t="shared" ref="X46:X109" si="21">SUMPRODUCT(K46:N46,T46:W46)/O46</f>
        <v>38.701302138870133</v>
      </c>
      <c r="Y46" s="65">
        <f>$Y$18/1000*CURVES!K5+VLOOKUP($B46,$X$10:$Y$14,2,FALSE)</f>
        <v>129.81047129399548</v>
      </c>
      <c r="Z46" s="65">
        <f t="shared" ref="Z46:Z109" si="22">(O46*X46+P46*Y46)/Q46</f>
        <v>75.697304482712354</v>
      </c>
      <c r="AA46" s="65">
        <f>CHOOSE(AA$18,CURVES!F5,CURVES!G5)</f>
        <v>125.95629552549428</v>
      </c>
      <c r="AB46" s="65">
        <f t="shared" si="15"/>
        <v>93.673168198567637</v>
      </c>
      <c r="AD46" s="65"/>
      <c r="AH46" s="46">
        <f t="shared" si="8"/>
        <v>1891.2387324311178</v>
      </c>
      <c r="AI46" s="46">
        <f t="shared" si="8"/>
        <v>0</v>
      </c>
      <c r="AJ46" s="46">
        <f t="shared" si="8"/>
        <v>1966.5504926356311</v>
      </c>
      <c r="AK46" s="46">
        <f t="shared" si="8"/>
        <v>526.07330501492243</v>
      </c>
      <c r="AL46" s="46">
        <f t="shared" si="3"/>
        <v>4383.8625300816711</v>
      </c>
      <c r="AM46" s="46">
        <f t="shared" si="6"/>
        <v>2044.2222728494623</v>
      </c>
      <c r="AN46" s="46">
        <f t="shared" ref="AN46:AN109" si="23">AL46+AM46</f>
        <v>6428.0848029311337</v>
      </c>
      <c r="AO46" s="10">
        <f t="shared" si="16"/>
        <v>3688.4112149114453</v>
      </c>
      <c r="AQ46" s="65">
        <f t="shared" si="17"/>
        <v>43</v>
      </c>
      <c r="AR46" s="65"/>
      <c r="AS46" s="65">
        <f t="shared" si="18"/>
        <v>30</v>
      </c>
      <c r="AT46" s="65">
        <f t="shared" si="18"/>
        <v>38</v>
      </c>
      <c r="AU46" s="65">
        <f t="shared" ref="AU46:AU109" si="24">SUMPRODUCT(AH46:AK46,AQ46:AT46)/AL46</f>
        <v>36.56833779894724</v>
      </c>
      <c r="AV46" s="65">
        <f>$Y$18/1000*CURVES!O5+VLOOKUP($B46,$AU$10:$AV$14,2,FALSE)</f>
        <v>123.54101837372949</v>
      </c>
      <c r="AW46" s="65">
        <f t="shared" ref="AW46:AW109" si="25">(AL46*AU46+AM46*AV46)/AN46</f>
        <v>64.22688559522409</v>
      </c>
      <c r="AX46" s="65">
        <f>CHOOSE(AX$18,CURVES!B5,CURVES!C5)</f>
        <v>156.41519250780436</v>
      </c>
      <c r="AY46" s="65">
        <f t="shared" ref="AY46:AY109" si="26">(AN46*AW46+AO46*AX46)/I46</f>
        <v>97.838166072214094</v>
      </c>
    </row>
    <row r="47" spans="1:51">
      <c r="A47" s="75">
        <v>36982</v>
      </c>
      <c r="B47" s="2">
        <f t="shared" si="0"/>
        <v>2001</v>
      </c>
      <c r="C47" s="2">
        <f t="shared" si="19"/>
        <v>4</v>
      </c>
      <c r="D47" s="43">
        <v>5.8415947446133001E-2</v>
      </c>
      <c r="E47" s="44">
        <f t="shared" ca="1" si="10"/>
        <v>0.97986943656674241</v>
      </c>
      <c r="F47" s="44"/>
      <c r="G47" s="10"/>
      <c r="H47" s="10">
        <f t="shared" si="9"/>
        <v>10915.132757849437</v>
      </c>
      <c r="I47" s="10">
        <f t="shared" si="9"/>
        <v>9882.7726059662527</v>
      </c>
      <c r="K47" s="46">
        <f t="shared" si="7"/>
        <v>2319.8402777777778</v>
      </c>
      <c r="L47" s="46">
        <f t="shared" si="7"/>
        <v>1179.1659722222223</v>
      </c>
      <c r="M47" s="46">
        <f t="shared" si="7"/>
        <v>811.58611111111111</v>
      </c>
      <c r="N47" s="46">
        <f t="shared" si="7"/>
        <v>3.0416666666666665</v>
      </c>
      <c r="O47" s="46">
        <f t="shared" si="2"/>
        <v>4313.6340277777781</v>
      </c>
      <c r="P47" s="46">
        <f t="shared" si="5"/>
        <v>2923.3945906815438</v>
      </c>
      <c r="Q47" s="46">
        <f t="shared" si="20"/>
        <v>7237.0286184593224</v>
      </c>
      <c r="R47" s="10">
        <f t="shared" si="11"/>
        <v>3678.1041393901146</v>
      </c>
      <c r="T47" s="65">
        <f t="shared" si="12"/>
        <v>48.72</v>
      </c>
      <c r="U47" s="65">
        <f t="shared" si="13"/>
        <v>23</v>
      </c>
      <c r="V47" s="65">
        <f t="shared" si="14"/>
        <v>34</v>
      </c>
      <c r="W47" s="65">
        <f t="shared" si="14"/>
        <v>38</v>
      </c>
      <c r="X47" s="65">
        <f t="shared" si="21"/>
        <v>38.912189982891782</v>
      </c>
      <c r="Y47" s="65">
        <f>$Y$18/1000*CURVES!K6+VLOOKUP($B47,$X$10:$Y$14,2,FALSE)</f>
        <v>110.59547129399549</v>
      </c>
      <c r="Z47" s="65">
        <f t="shared" si="22"/>
        <v>67.868620567215828</v>
      </c>
      <c r="AA47" s="65">
        <f>CHOOSE(AA$18,CURVES!F6,CURVES!G6)</f>
        <v>111.7037037037037</v>
      </c>
      <c r="AB47" s="65">
        <f t="shared" si="15"/>
        <v>82.639856457029438</v>
      </c>
      <c r="AD47" s="65"/>
      <c r="AH47" s="46">
        <f t="shared" si="8"/>
        <v>1937.9310849074075</v>
      </c>
      <c r="AI47" s="46">
        <f t="shared" si="8"/>
        <v>0</v>
      </c>
      <c r="AJ47" s="46">
        <f t="shared" si="8"/>
        <v>2070.9500209392572</v>
      </c>
      <c r="AK47" s="46">
        <f t="shared" si="8"/>
        <v>513.91932921853174</v>
      </c>
      <c r="AL47" s="46">
        <f t="shared" si="3"/>
        <v>4522.8004350651963</v>
      </c>
      <c r="AM47" s="46">
        <f t="shared" si="6"/>
        <v>2152.9968589041096</v>
      </c>
      <c r="AN47" s="46">
        <f t="shared" si="23"/>
        <v>6675.7972939693063</v>
      </c>
      <c r="AO47" s="10">
        <f t="shared" si="16"/>
        <v>3206.9753119969469</v>
      </c>
      <c r="AQ47" s="65">
        <f t="shared" si="17"/>
        <v>43</v>
      </c>
      <c r="AR47" s="65"/>
      <c r="AS47" s="65">
        <f t="shared" si="18"/>
        <v>30</v>
      </c>
      <c r="AT47" s="65">
        <f t="shared" si="18"/>
        <v>38</v>
      </c>
      <c r="AU47" s="65">
        <f t="shared" si="24"/>
        <v>36.479272998726103</v>
      </c>
      <c r="AV47" s="65">
        <f>$Y$18/1000*CURVES!O6+VLOOKUP($B47,$AU$10:$AV$14,2,FALSE)</f>
        <v>103.27601837372947</v>
      </c>
      <c r="AW47" s="65">
        <f t="shared" si="25"/>
        <v>58.021746001511232</v>
      </c>
      <c r="AX47" s="65">
        <f>CHOOSE(AX$18,CURVES!B6,CURVES!C6)</f>
        <v>119.55555555555556</v>
      </c>
      <c r="AY47" s="65">
        <f t="shared" si="26"/>
        <v>77.989564341660937</v>
      </c>
    </row>
    <row r="48" spans="1:51">
      <c r="A48" s="75">
        <v>37012</v>
      </c>
      <c r="B48" s="2">
        <f t="shared" si="0"/>
        <v>2001</v>
      </c>
      <c r="C48" s="2">
        <f t="shared" si="19"/>
        <v>5</v>
      </c>
      <c r="D48" s="43">
        <v>5.7620465192262001E-2</v>
      </c>
      <c r="E48" s="44">
        <f t="shared" ca="1" si="10"/>
        <v>0.97542282596246721</v>
      </c>
      <c r="F48" s="44"/>
      <c r="G48" s="10"/>
      <c r="H48" s="10">
        <f t="shared" si="9"/>
        <v>11534.007995085252</v>
      </c>
      <c r="I48" s="10">
        <f t="shared" si="9"/>
        <v>10764.990316004603</v>
      </c>
      <c r="K48" s="46">
        <f t="shared" si="7"/>
        <v>2226.0672043010754</v>
      </c>
      <c r="L48" s="46">
        <f t="shared" si="7"/>
        <v>1023.6263440860215</v>
      </c>
      <c r="M48" s="46">
        <f t="shared" si="7"/>
        <v>950.16532258064512</v>
      </c>
      <c r="N48" s="46">
        <f t="shared" si="7"/>
        <v>3.3051075268817205</v>
      </c>
      <c r="O48" s="46">
        <f t="shared" si="2"/>
        <v>4203.1639784946237</v>
      </c>
      <c r="P48" s="46">
        <f t="shared" si="5"/>
        <v>2831.510502104928</v>
      </c>
      <c r="Q48" s="46">
        <f t="shared" si="20"/>
        <v>7034.6744805995513</v>
      </c>
      <c r="R48" s="10">
        <f t="shared" si="11"/>
        <v>4499.333514485701</v>
      </c>
      <c r="T48" s="65">
        <f t="shared" si="12"/>
        <v>48.72</v>
      </c>
      <c r="U48" s="65">
        <f t="shared" si="13"/>
        <v>23</v>
      </c>
      <c r="V48" s="65">
        <f t="shared" si="14"/>
        <v>34</v>
      </c>
      <c r="W48" s="65">
        <f t="shared" si="14"/>
        <v>38</v>
      </c>
      <c r="X48" s="65">
        <f t="shared" si="21"/>
        <v>39.120199926194871</v>
      </c>
      <c r="Y48" s="65">
        <f>$Y$18/1000*CURVES!K7+VLOOKUP($B48,$X$10:$Y$14,2,FALSE)</f>
        <v>109.49297129399548</v>
      </c>
      <c r="Z48" s="65">
        <f t="shared" si="22"/>
        <v>67.445780838244957</v>
      </c>
      <c r="AA48" s="65">
        <f>CHOOSE(AA$18,CURVES!F7,CURVES!G7)</f>
        <v>113.61290322580645</v>
      </c>
      <c r="AB48" s="65">
        <f t="shared" si="15"/>
        <v>85.455243040302605</v>
      </c>
      <c r="AD48" s="65"/>
      <c r="AH48" s="46">
        <f t="shared" si="8"/>
        <v>1895.2591032026239</v>
      </c>
      <c r="AI48" s="46">
        <f t="shared" si="8"/>
        <v>0</v>
      </c>
      <c r="AJ48" s="46">
        <f t="shared" si="8"/>
        <v>1877.6303324734643</v>
      </c>
      <c r="AK48" s="46">
        <f t="shared" si="8"/>
        <v>570.53181663934993</v>
      </c>
      <c r="AL48" s="46">
        <f t="shared" si="3"/>
        <v>4343.4212523154383</v>
      </c>
      <c r="AM48" s="46">
        <f t="shared" si="6"/>
        <v>2186.8418319892476</v>
      </c>
      <c r="AN48" s="46">
        <f t="shared" si="23"/>
        <v>6530.2630843046863</v>
      </c>
      <c r="AO48" s="10">
        <f t="shared" si="16"/>
        <v>4234.727231699917</v>
      </c>
      <c r="AQ48" s="65">
        <f t="shared" si="17"/>
        <v>43</v>
      </c>
      <c r="AR48" s="65"/>
      <c r="AS48" s="65">
        <f t="shared" si="18"/>
        <v>30</v>
      </c>
      <c r="AT48" s="65">
        <f t="shared" si="18"/>
        <v>38</v>
      </c>
      <c r="AU48" s="65">
        <f t="shared" si="24"/>
        <v>36.723414833221909</v>
      </c>
      <c r="AV48" s="65">
        <f>$Y$18/1000*CURVES!O7+VLOOKUP($B48,$AU$10:$AV$14,2,FALSE)</f>
        <v>102.17351837372948</v>
      </c>
      <c r="AW48" s="65">
        <f t="shared" si="25"/>
        <v>58.64121852392104</v>
      </c>
      <c r="AX48" s="65">
        <f>CHOOSE(AX$18,CURVES!B7,CURVES!C7)</f>
        <v>122.75078043704472</v>
      </c>
      <c r="AY48" s="65">
        <f t="shared" si="26"/>
        <v>83.860610244341842</v>
      </c>
    </row>
    <row r="49" spans="1:51">
      <c r="A49" s="75">
        <v>37043</v>
      </c>
      <c r="B49" s="2">
        <f t="shared" si="0"/>
        <v>2001</v>
      </c>
      <c r="C49" s="2">
        <f t="shared" si="19"/>
        <v>6</v>
      </c>
      <c r="D49" s="43">
        <v>5.6951683570871998E-2</v>
      </c>
      <c r="E49" s="44">
        <f t="shared" ca="1" si="10"/>
        <v>0.97121071990667041</v>
      </c>
      <c r="F49" s="44"/>
      <c r="G49" s="10"/>
      <c r="H49" s="10">
        <f t="shared" si="9"/>
        <v>12746.485829720914</v>
      </c>
      <c r="I49" s="10">
        <f t="shared" si="9"/>
        <v>12138.886519084774</v>
      </c>
      <c r="K49" s="46">
        <f t="shared" si="7"/>
        <v>2252.1333333333332</v>
      </c>
      <c r="L49" s="46">
        <f t="shared" si="7"/>
        <v>1398.3916666666667</v>
      </c>
      <c r="M49" s="46">
        <f t="shared" si="7"/>
        <v>957.04027777777776</v>
      </c>
      <c r="N49" s="46">
        <f t="shared" si="7"/>
        <v>3.526388888888889</v>
      </c>
      <c r="O49" s="46">
        <f t="shared" si="2"/>
        <v>4611.0916666666662</v>
      </c>
      <c r="P49" s="46">
        <f t="shared" si="5"/>
        <v>3175.7411781346573</v>
      </c>
      <c r="Q49" s="46">
        <f t="shared" si="20"/>
        <v>7786.8328448013235</v>
      </c>
      <c r="R49" s="10">
        <f t="shared" si="11"/>
        <v>4959.6529849195904</v>
      </c>
      <c r="T49" s="65">
        <f t="shared" si="12"/>
        <v>48.72</v>
      </c>
      <c r="U49" s="65">
        <f t="shared" si="13"/>
        <v>23</v>
      </c>
      <c r="V49" s="65">
        <f t="shared" si="14"/>
        <v>34</v>
      </c>
      <c r="W49" s="65">
        <f t="shared" si="14"/>
        <v>38</v>
      </c>
      <c r="X49" s="65">
        <f t="shared" si="21"/>
        <v>37.856613829094464</v>
      </c>
      <c r="Y49" s="65">
        <f>$Y$18/1000*CURVES!K8+VLOOKUP($B49,$X$10:$Y$14,2,FALSE)</f>
        <v>113.16797129399548</v>
      </c>
      <c r="Z49" s="65">
        <f t="shared" si="22"/>
        <v>68.57120393901063</v>
      </c>
      <c r="AA49" s="65">
        <f>CHOOSE(AA$18,CURVES!F8,CURVES!G8)</f>
        <v>138.41333333333333</v>
      </c>
      <c r="AB49" s="65">
        <f t="shared" si="15"/>
        <v>95.746750999676621</v>
      </c>
      <c r="AD49" s="65"/>
      <c r="AH49" s="46">
        <f t="shared" si="8"/>
        <v>1881.3705563400365</v>
      </c>
      <c r="AI49" s="46">
        <f t="shared" si="8"/>
        <v>0</v>
      </c>
      <c r="AJ49" s="46">
        <f t="shared" si="8"/>
        <v>1162.1616861734683</v>
      </c>
      <c r="AK49" s="46">
        <f t="shared" si="8"/>
        <v>631.24071210358352</v>
      </c>
      <c r="AL49" s="46">
        <f t="shared" si="3"/>
        <v>3674.7729546170881</v>
      </c>
      <c r="AM49" s="46">
        <f t="shared" si="6"/>
        <v>2754.0461410958906</v>
      </c>
      <c r="AN49" s="46">
        <f t="shared" si="23"/>
        <v>6428.8190957129791</v>
      </c>
      <c r="AO49" s="10">
        <f t="shared" si="16"/>
        <v>5710.0674233717946</v>
      </c>
      <c r="AQ49" s="65">
        <f t="shared" si="17"/>
        <v>43</v>
      </c>
      <c r="AR49" s="65"/>
      <c r="AS49" s="65">
        <f t="shared" si="18"/>
        <v>30</v>
      </c>
      <c r="AT49" s="65">
        <f t="shared" si="18"/>
        <v>38</v>
      </c>
      <c r="AU49" s="65">
        <f t="shared" si="24"/>
        <v>38.029813894263803</v>
      </c>
      <c r="AV49" s="65">
        <f>$Y$18/1000*CURVES!O8+VLOOKUP($B49,$AU$10:$AV$14,2,FALSE)</f>
        <v>105.84851837372948</v>
      </c>
      <c r="AW49" s="65">
        <f t="shared" si="25"/>
        <v>67.08271437023852</v>
      </c>
      <c r="AX49" s="65">
        <f>CHOOSE(AX$18,CURVES!B8,CURVES!C8)</f>
        <v>132.4148148148148</v>
      </c>
      <c r="AY49" s="65">
        <f t="shared" si="26"/>
        <v>97.814585688297072</v>
      </c>
    </row>
    <row r="50" spans="1:51">
      <c r="A50" s="75">
        <v>37073</v>
      </c>
      <c r="B50" s="2">
        <f t="shared" si="0"/>
        <v>2001</v>
      </c>
      <c r="C50" s="2">
        <f t="shared" si="19"/>
        <v>7</v>
      </c>
      <c r="D50" s="43">
        <v>5.6350655408427999E-2</v>
      </c>
      <c r="E50" s="44">
        <f t="shared" ca="1" si="10"/>
        <v>0.96693469811330612</v>
      </c>
      <c r="F50" s="44"/>
      <c r="G50" s="10"/>
      <c r="H50" s="10">
        <f t="shared" si="9"/>
        <v>12580.687898314502</v>
      </c>
      <c r="I50" s="10">
        <f t="shared" si="9"/>
        <v>11523.332473578635</v>
      </c>
      <c r="K50" s="46">
        <f t="shared" si="7"/>
        <v>2248.4569892473119</v>
      </c>
      <c r="L50" s="46">
        <f t="shared" si="7"/>
        <v>1358.3225806451612</v>
      </c>
      <c r="M50" s="46">
        <f t="shared" si="7"/>
        <v>653.55107526881716</v>
      </c>
      <c r="N50" s="46">
        <f t="shared" si="7"/>
        <v>3.8373655913978495</v>
      </c>
      <c r="O50" s="46">
        <f t="shared" si="2"/>
        <v>4264.1680107526872</v>
      </c>
      <c r="P50" s="46">
        <f t="shared" si="5"/>
        <v>3349.3895623880758</v>
      </c>
      <c r="Q50" s="46">
        <f t="shared" si="20"/>
        <v>7613.5575731407625</v>
      </c>
      <c r="R50" s="10">
        <f t="shared" si="11"/>
        <v>4967.130325173739</v>
      </c>
      <c r="T50" s="65">
        <f t="shared" si="12"/>
        <v>48.72</v>
      </c>
      <c r="U50" s="65">
        <f t="shared" si="13"/>
        <v>23</v>
      </c>
      <c r="V50" s="65">
        <f t="shared" si="14"/>
        <v>34</v>
      </c>
      <c r="W50" s="65">
        <f t="shared" si="14"/>
        <v>38</v>
      </c>
      <c r="X50" s="65">
        <f t="shared" si="21"/>
        <v>38.261344278923424</v>
      </c>
      <c r="Y50" s="65">
        <f>$Y$18/1000*CURVES!K9+VLOOKUP($B50,$X$10:$Y$14,2,FALSE)</f>
        <v>118.62797129399549</v>
      </c>
      <c r="Z50" s="65">
        <f t="shared" si="22"/>
        <v>73.616582497418378</v>
      </c>
      <c r="AA50" s="65">
        <f>CHOOSE(AA$18,CURVES!F9,CURVES!G9)</f>
        <v>144.17308359347902</v>
      </c>
      <c r="AB50" s="65">
        <f t="shared" si="15"/>
        <v>101.47382997586112</v>
      </c>
      <c r="AD50" s="65"/>
      <c r="AH50" s="46">
        <f t="shared" si="8"/>
        <v>1914.3216201186069</v>
      </c>
      <c r="AI50" s="46">
        <f t="shared" si="8"/>
        <v>0</v>
      </c>
      <c r="AJ50" s="46">
        <f t="shared" si="8"/>
        <v>1193.3319743059751</v>
      </c>
      <c r="AK50" s="46">
        <f t="shared" si="8"/>
        <v>610.72305844211053</v>
      </c>
      <c r="AL50" s="46">
        <f t="shared" si="3"/>
        <v>3718.3766528666924</v>
      </c>
      <c r="AM50" s="46">
        <f t="shared" si="6"/>
        <v>2586.7318602150535</v>
      </c>
      <c r="AN50" s="46">
        <f t="shared" si="23"/>
        <v>6305.1085130817464</v>
      </c>
      <c r="AO50" s="10">
        <f t="shared" si="16"/>
        <v>5218.223960496889</v>
      </c>
      <c r="AQ50" s="65">
        <f t="shared" si="17"/>
        <v>43</v>
      </c>
      <c r="AR50" s="65"/>
      <c r="AS50" s="65">
        <f t="shared" si="18"/>
        <v>30</v>
      </c>
      <c r="AT50" s="65">
        <f t="shared" si="18"/>
        <v>38</v>
      </c>
      <c r="AU50" s="65">
        <f t="shared" si="24"/>
        <v>38.006710537547619</v>
      </c>
      <c r="AV50" s="65">
        <f>$Y$18/1000*CURVES!O9+VLOOKUP($B50,$AU$10:$AV$14,2,FALSE)</f>
        <v>109.20851837372948</v>
      </c>
      <c r="AW50" s="65">
        <f t="shared" si="25"/>
        <v>67.217942105192719</v>
      </c>
      <c r="AX50" s="65">
        <f>CHOOSE(AX$18,CURVES!B9,CURVES!C9)</f>
        <v>147.92819979188346</v>
      </c>
      <c r="AY50" s="65">
        <f t="shared" si="26"/>
        <v>103.76676177035793</v>
      </c>
    </row>
    <row r="51" spans="1:51">
      <c r="A51" s="75">
        <v>37104</v>
      </c>
      <c r="B51" s="2">
        <f t="shared" si="0"/>
        <v>2001</v>
      </c>
      <c r="C51" s="2">
        <f t="shared" si="19"/>
        <v>8</v>
      </c>
      <c r="D51" s="43">
        <v>5.5818790797591E-2</v>
      </c>
      <c r="E51" s="44">
        <f t="shared" ca="1" si="10"/>
        <v>0.9627284358996343</v>
      </c>
      <c r="F51" s="44"/>
      <c r="G51" s="10"/>
      <c r="H51" s="10">
        <f t="shared" si="9"/>
        <v>13491.175327898</v>
      </c>
      <c r="I51" s="10">
        <f t="shared" si="9"/>
        <v>11951.602517737416</v>
      </c>
      <c r="K51" s="46">
        <f t="shared" si="7"/>
        <v>2226.0658602150538</v>
      </c>
      <c r="L51" s="46">
        <f t="shared" si="7"/>
        <v>1361.989247311828</v>
      </c>
      <c r="M51" s="46">
        <f t="shared" si="7"/>
        <v>483.36424731182797</v>
      </c>
      <c r="N51" s="46">
        <f t="shared" si="7"/>
        <v>3.924731182795699</v>
      </c>
      <c r="O51" s="46">
        <f t="shared" si="2"/>
        <v>4075.3440860215055</v>
      </c>
      <c r="P51" s="46">
        <f t="shared" si="5"/>
        <v>3426.252928840011</v>
      </c>
      <c r="Q51" s="46">
        <f t="shared" si="20"/>
        <v>7501.5970148615161</v>
      </c>
      <c r="R51" s="10">
        <f t="shared" si="11"/>
        <v>5989.5783130364835</v>
      </c>
      <c r="T51" s="65">
        <f t="shared" si="12"/>
        <v>48.72</v>
      </c>
      <c r="U51" s="65">
        <f t="shared" si="13"/>
        <v>23</v>
      </c>
      <c r="V51" s="65">
        <f t="shared" si="14"/>
        <v>34</v>
      </c>
      <c r="W51" s="65">
        <f t="shared" si="14"/>
        <v>38</v>
      </c>
      <c r="X51" s="65">
        <f t="shared" si="21"/>
        <v>38.368099058856423</v>
      </c>
      <c r="Y51" s="65">
        <f>$Y$18/1000*CURVES!K10+VLOOKUP($B51,$X$10:$Y$14,2,FALSE)</f>
        <v>119.67797129399548</v>
      </c>
      <c r="Z51" s="65">
        <f t="shared" si="22"/>
        <v>75.505282959476176</v>
      </c>
      <c r="AA51" s="65">
        <f>CHOOSE(AA$18,CURVES!F10,CURVES!G10)</f>
        <v>181.62330905306973</v>
      </c>
      <c r="AB51" s="65">
        <f t="shared" si="15"/>
        <v>122.61772589082587</v>
      </c>
      <c r="AD51" s="65"/>
      <c r="AH51" s="46">
        <f t="shared" si="8"/>
        <v>1859.5945026415061</v>
      </c>
      <c r="AI51" s="46">
        <f t="shared" si="8"/>
        <v>0</v>
      </c>
      <c r="AJ51" s="46">
        <f t="shared" si="8"/>
        <v>1584.5088037693729</v>
      </c>
      <c r="AK51" s="46">
        <f t="shared" si="8"/>
        <v>621.50165686237608</v>
      </c>
      <c r="AL51" s="46">
        <f t="shared" si="3"/>
        <v>4065.6049632732547</v>
      </c>
      <c r="AM51" s="46">
        <f t="shared" si="6"/>
        <v>2208.289016129032</v>
      </c>
      <c r="AN51" s="46">
        <f t="shared" si="23"/>
        <v>6273.8939794022863</v>
      </c>
      <c r="AO51" s="10">
        <f t="shared" si="16"/>
        <v>5677.7085383351296</v>
      </c>
      <c r="AQ51" s="65">
        <f t="shared" si="17"/>
        <v>43</v>
      </c>
      <c r="AR51" s="65"/>
      <c r="AS51" s="65">
        <f t="shared" si="18"/>
        <v>30</v>
      </c>
      <c r="AT51" s="65">
        <f t="shared" si="18"/>
        <v>38</v>
      </c>
      <c r="AU51" s="65">
        <f t="shared" si="24"/>
        <v>37.169103258318607</v>
      </c>
      <c r="AV51" s="65">
        <f>$Y$18/1000*CURVES!O10+VLOOKUP($B51,$AU$10:$AV$14,2,FALSE)</f>
        <v>110.25851837372949</v>
      </c>
      <c r="AW51" s="65">
        <f t="shared" si="25"/>
        <v>62.895160014227308</v>
      </c>
      <c r="AX51" s="65">
        <f>CHOOSE(AX$18,CURVES!B10,CURVES!C10)</f>
        <v>181.07388137356924</v>
      </c>
      <c r="AY51" s="65">
        <f t="shared" si="26"/>
        <v>119.0369480560948</v>
      </c>
    </row>
    <row r="52" spans="1:51">
      <c r="A52" s="75">
        <v>37135</v>
      </c>
      <c r="B52" s="2">
        <f t="shared" si="0"/>
        <v>2001</v>
      </c>
      <c r="C52" s="2">
        <f t="shared" si="19"/>
        <v>9</v>
      </c>
      <c r="D52" s="43">
        <v>5.5286926280937003E-2</v>
      </c>
      <c r="E52" s="44">
        <f t="shared" ca="1" si="10"/>
        <v>0.95876789885628633</v>
      </c>
      <c r="F52" s="44"/>
      <c r="G52" s="10"/>
      <c r="H52" s="10">
        <f t="shared" si="9"/>
        <v>12220.463779825643</v>
      </c>
      <c r="I52" s="10">
        <f t="shared" si="9"/>
        <v>11257.642223424809</v>
      </c>
      <c r="K52" s="46">
        <f t="shared" si="7"/>
        <v>2263.6333333333332</v>
      </c>
      <c r="L52" s="46">
        <f t="shared" si="7"/>
        <v>1380.7361111111111</v>
      </c>
      <c r="M52" s="46">
        <f t="shared" si="7"/>
        <v>542.60277777777776</v>
      </c>
      <c r="N52" s="46">
        <f t="shared" si="7"/>
        <v>3.4194444444444443</v>
      </c>
      <c r="O52" s="46">
        <f t="shared" si="2"/>
        <v>4190.3916666666673</v>
      </c>
      <c r="P52" s="46">
        <f t="shared" si="5"/>
        <v>3348.1339323547272</v>
      </c>
      <c r="Q52" s="46">
        <f t="shared" si="20"/>
        <v>7538.5255990213946</v>
      </c>
      <c r="R52" s="10">
        <f t="shared" si="11"/>
        <v>4681.9381808042481</v>
      </c>
      <c r="T52" s="65">
        <f t="shared" si="12"/>
        <v>48.72</v>
      </c>
      <c r="U52" s="65">
        <f t="shared" si="13"/>
        <v>23</v>
      </c>
      <c r="V52" s="65">
        <f t="shared" si="14"/>
        <v>34</v>
      </c>
      <c r="W52" s="65">
        <f t="shared" si="14"/>
        <v>38</v>
      </c>
      <c r="X52" s="65">
        <f t="shared" si="21"/>
        <v>38.330445615995849</v>
      </c>
      <c r="Y52" s="65">
        <f>$Y$18/1000*CURVES!K11+VLOOKUP($B52,$X$10:$Y$14,2,FALSE)</f>
        <v>118.28147129399548</v>
      </c>
      <c r="Z52" s="65">
        <f t="shared" si="22"/>
        <v>73.839609640566394</v>
      </c>
      <c r="AA52" s="65">
        <f>CHOOSE(AA$18,CURVES!F11,CURVES!G11)</f>
        <v>134.18</v>
      </c>
      <c r="AB52" s="65">
        <f t="shared" si="15"/>
        <v>96.957388356530601</v>
      </c>
      <c r="AD52" s="65"/>
      <c r="AH52" s="46">
        <f t="shared" si="8"/>
        <v>1890.9773416389726</v>
      </c>
      <c r="AI52" s="46">
        <f t="shared" si="8"/>
        <v>0</v>
      </c>
      <c r="AJ52" s="46">
        <f t="shared" si="8"/>
        <v>765.82060543821262</v>
      </c>
      <c r="AK52" s="46">
        <f t="shared" si="8"/>
        <v>570.92254509204622</v>
      </c>
      <c r="AL52" s="46">
        <f t="shared" si="3"/>
        <v>3227.7204921692314</v>
      </c>
      <c r="AM52" s="46">
        <f t="shared" si="6"/>
        <v>2371.5769315068492</v>
      </c>
      <c r="AN52" s="46">
        <f t="shared" si="23"/>
        <v>5599.2974236760801</v>
      </c>
      <c r="AO52" s="10">
        <f t="shared" si="16"/>
        <v>5658.3447997487283</v>
      </c>
      <c r="AQ52" s="65">
        <f t="shared" si="17"/>
        <v>43</v>
      </c>
      <c r="AR52" s="65"/>
      <c r="AS52" s="65">
        <f t="shared" si="18"/>
        <v>30</v>
      </c>
      <c r="AT52" s="65">
        <f t="shared" si="18"/>
        <v>38</v>
      </c>
      <c r="AU52" s="65">
        <f t="shared" si="24"/>
        <v>39.031167931908605</v>
      </c>
      <c r="AV52" s="65">
        <f>$Y$18/1000*CURVES!O11+VLOOKUP($B52,$AU$10:$AV$14,2,FALSE)</f>
        <v>108.86201837372947</v>
      </c>
      <c r="AW52" s="65">
        <f t="shared" si="25"/>
        <v>68.607956140205033</v>
      </c>
      <c r="AX52" s="65">
        <f>CHOOSE(AX$18,CURVES!B11,CURVES!C11)</f>
        <v>143.98666666666668</v>
      </c>
      <c r="AY52" s="65">
        <f t="shared" si="26"/>
        <v>106.4949955623384</v>
      </c>
    </row>
    <row r="53" spans="1:51">
      <c r="A53" s="75">
        <v>37165</v>
      </c>
      <c r="B53" s="2">
        <f t="shared" si="0"/>
        <v>2001</v>
      </c>
      <c r="C53" s="2">
        <f t="shared" si="19"/>
        <v>10</v>
      </c>
      <c r="D53" s="43">
        <v>5.4847843829286001E-2</v>
      </c>
      <c r="E53" s="44">
        <f t="shared" ca="1" si="10"/>
        <v>0.9546898347889835</v>
      </c>
      <c r="F53" s="44"/>
      <c r="G53" s="10"/>
      <c r="H53" s="10">
        <f t="shared" si="9"/>
        <v>11352.798151288287</v>
      </c>
      <c r="I53" s="10">
        <f t="shared" si="9"/>
        <v>9744.3014073607774</v>
      </c>
      <c r="K53" s="46">
        <f t="shared" si="7"/>
        <v>2069.2916666666665</v>
      </c>
      <c r="L53" s="46">
        <f t="shared" si="7"/>
        <v>1227.5241935483871</v>
      </c>
      <c r="M53" s="46">
        <f t="shared" si="7"/>
        <v>369.34005376344084</v>
      </c>
      <c r="N53" s="46">
        <f t="shared" si="7"/>
        <v>3.278225806451613</v>
      </c>
      <c r="O53" s="46">
        <f t="shared" si="2"/>
        <v>3669.4341397849457</v>
      </c>
      <c r="P53" s="46">
        <f t="shared" si="5"/>
        <v>3171.075494984625</v>
      </c>
      <c r="Q53" s="46">
        <f t="shared" si="20"/>
        <v>6840.5096347695708</v>
      </c>
      <c r="R53" s="10">
        <f t="shared" si="11"/>
        <v>4512.2885165187163</v>
      </c>
      <c r="T53" s="65">
        <f t="shared" si="12"/>
        <v>48.72</v>
      </c>
      <c r="U53" s="65">
        <f t="shared" si="13"/>
        <v>23</v>
      </c>
      <c r="V53" s="65">
        <f t="shared" si="14"/>
        <v>34</v>
      </c>
      <c r="W53" s="65">
        <f t="shared" si="14"/>
        <v>38</v>
      </c>
      <c r="X53" s="65">
        <f t="shared" si="21"/>
        <v>38.624778497461044</v>
      </c>
      <c r="Y53" s="65">
        <f>$Y$18/1000*CURVES!K12+VLOOKUP($B53,$X$10:$Y$14,2,FALSE)</f>
        <v>109.1989712939955</v>
      </c>
      <c r="Z53" s="65">
        <f t="shared" si="22"/>
        <v>71.341067970672142</v>
      </c>
      <c r="AA53" s="65">
        <f>CHOOSE(AA$18,CURVES!F12,CURVES!G12)</f>
        <v>102.474505723205</v>
      </c>
      <c r="AB53" s="65">
        <f t="shared" si="15"/>
        <v>83.715378847903992</v>
      </c>
      <c r="AD53" s="65"/>
      <c r="AH53" s="46">
        <f t="shared" si="8"/>
        <v>1913.8399491890309</v>
      </c>
      <c r="AI53" s="46">
        <f t="shared" si="8"/>
        <v>0</v>
      </c>
      <c r="AJ53" s="46">
        <f t="shared" si="8"/>
        <v>1075.3801160883429</v>
      </c>
      <c r="AK53" s="46">
        <f t="shared" si="8"/>
        <v>576.38556050292607</v>
      </c>
      <c r="AL53" s="46">
        <f t="shared" si="3"/>
        <v>3565.6056257802998</v>
      </c>
      <c r="AM53" s="46">
        <f t="shared" si="6"/>
        <v>2259.7132500000002</v>
      </c>
      <c r="AN53" s="46">
        <f t="shared" si="23"/>
        <v>5825.3188757803</v>
      </c>
      <c r="AO53" s="10">
        <f t="shared" si="16"/>
        <v>3918.9825315804778</v>
      </c>
      <c r="AQ53" s="65">
        <f t="shared" si="17"/>
        <v>43</v>
      </c>
      <c r="AR53" s="65"/>
      <c r="AS53" s="65">
        <f t="shared" si="18"/>
        <v>30</v>
      </c>
      <c r="AT53" s="65">
        <f t="shared" si="18"/>
        <v>38</v>
      </c>
      <c r="AU53" s="65">
        <f t="shared" si="24"/>
        <v>38.270966258930272</v>
      </c>
      <c r="AV53" s="65">
        <f>$Y$18/1000*CURVES!O12+VLOOKUP($B53,$AU$10:$AV$14,2,FALSE)</f>
        <v>101.35451837372948</v>
      </c>
      <c r="AW53" s="65">
        <f t="shared" si="25"/>
        <v>62.741856455783683</v>
      </c>
      <c r="AX53" s="65">
        <f>CHOOSE(AX$18,CURVES!B12,CURVES!C12)</f>
        <v>111.9146722164412</v>
      </c>
      <c r="AY53" s="65">
        <f t="shared" si="26"/>
        <v>82.518277354368792</v>
      </c>
    </row>
    <row r="54" spans="1:51">
      <c r="A54" s="75">
        <v>37196</v>
      </c>
      <c r="B54" s="2">
        <f t="shared" si="0"/>
        <v>2001</v>
      </c>
      <c r="C54" s="2">
        <f t="shared" si="19"/>
        <v>11</v>
      </c>
      <c r="D54" s="43">
        <v>5.4516709290840001E-2</v>
      </c>
      <c r="E54" s="44">
        <f t="shared" ca="1" si="10"/>
        <v>0.95074406385828247</v>
      </c>
      <c r="F54" s="44"/>
      <c r="G54" s="10"/>
      <c r="H54" s="10">
        <f t="shared" si="9"/>
        <v>11105.279151801789</v>
      </c>
      <c r="I54" s="10">
        <f t="shared" si="9"/>
        <v>9892.2113333000307</v>
      </c>
      <c r="K54" s="46">
        <f t="shared" si="7"/>
        <v>2201.1583333333333</v>
      </c>
      <c r="L54" s="46">
        <f t="shared" si="7"/>
        <v>1270.0277777777778</v>
      </c>
      <c r="M54" s="46">
        <f t="shared" si="7"/>
        <v>241.3111111111111</v>
      </c>
      <c r="N54" s="46">
        <f t="shared" si="7"/>
        <v>3.1194444444444445</v>
      </c>
      <c r="O54" s="46">
        <f t="shared" si="2"/>
        <v>3715.6166666666668</v>
      </c>
      <c r="P54" s="46">
        <f t="shared" si="5"/>
        <v>3029.0331582980816</v>
      </c>
      <c r="Q54" s="46">
        <f t="shared" si="20"/>
        <v>6744.6498249647484</v>
      </c>
      <c r="R54" s="10">
        <f t="shared" si="11"/>
        <v>4360.6293268370409</v>
      </c>
      <c r="T54" s="65">
        <f t="shared" si="12"/>
        <v>48.72</v>
      </c>
      <c r="U54" s="65">
        <f t="shared" si="13"/>
        <v>23</v>
      </c>
      <c r="V54" s="65">
        <f t="shared" si="14"/>
        <v>34</v>
      </c>
      <c r="W54" s="65">
        <f t="shared" si="14"/>
        <v>38</v>
      </c>
      <c r="X54" s="65">
        <f t="shared" si="21"/>
        <v>38.963704424717896</v>
      </c>
      <c r="Y54" s="65">
        <f>$Y$18/1000*CURVES!K13+VLOOKUP($B54,$X$10:$Y$14,2,FALSE)</f>
        <v>112.43297129399548</v>
      </c>
      <c r="Z54" s="65">
        <f t="shared" si="22"/>
        <v>71.9588711477072</v>
      </c>
      <c r="AA54" s="65">
        <f>CHOOSE(AA$18,CURVES!F13,CURVES!G13)</f>
        <v>93.037037037037038</v>
      </c>
      <c r="AB54" s="65">
        <f t="shared" si="15"/>
        <v>80.235481494601103</v>
      </c>
      <c r="AD54" s="65"/>
      <c r="AH54" s="46">
        <f t="shared" si="8"/>
        <v>1838.7874362867092</v>
      </c>
      <c r="AI54" s="46">
        <f t="shared" si="8"/>
        <v>0</v>
      </c>
      <c r="AJ54" s="46">
        <f t="shared" si="8"/>
        <v>1347.8791847211178</v>
      </c>
      <c r="AK54" s="46">
        <f t="shared" si="8"/>
        <v>499.43911251442188</v>
      </c>
      <c r="AL54" s="46">
        <f t="shared" si="3"/>
        <v>3686.105733522249</v>
      </c>
      <c r="AM54" s="46">
        <f t="shared" si="6"/>
        <v>2451.2376410958905</v>
      </c>
      <c r="AN54" s="46">
        <f t="shared" si="23"/>
        <v>6137.3433746181399</v>
      </c>
      <c r="AO54" s="10">
        <f t="shared" si="16"/>
        <v>3754.8679586818917</v>
      </c>
      <c r="AQ54" s="65">
        <f t="shared" si="17"/>
        <v>43</v>
      </c>
      <c r="AR54" s="65"/>
      <c r="AS54" s="65">
        <f t="shared" si="18"/>
        <v>30</v>
      </c>
      <c r="AT54" s="65">
        <f t="shared" si="18"/>
        <v>38</v>
      </c>
      <c r="AU54" s="65">
        <f t="shared" si="24"/>
        <v>37.568895628282228</v>
      </c>
      <c r="AV54" s="65">
        <f>$Y$18/1000*CURVES!O13+VLOOKUP($B54,$AU$10:$AV$14,2,FALSE)</f>
        <v>107.52851837372947</v>
      </c>
      <c r="AW54" s="65">
        <f t="shared" si="25"/>
        <v>65.510571718904785</v>
      </c>
      <c r="AX54" s="65">
        <f>CHOOSE(AX$18,CURVES!B13,CURVES!C13)</f>
        <v>101.77777777777777</v>
      </c>
      <c r="AY54" s="65">
        <f t="shared" si="26"/>
        <v>79.276813198497905</v>
      </c>
    </row>
    <row r="55" spans="1:51">
      <c r="A55" s="75">
        <v>37226</v>
      </c>
      <c r="B55" s="2">
        <f t="shared" si="0"/>
        <v>2001</v>
      </c>
      <c r="C55" s="2">
        <f t="shared" si="19"/>
        <v>12</v>
      </c>
      <c r="D55" s="43">
        <v>5.4196256546479998E-2</v>
      </c>
      <c r="E55" s="44">
        <f t="shared" ca="1" si="10"/>
        <v>0.94671611284263324</v>
      </c>
      <c r="F55" s="44"/>
      <c r="G55" s="10"/>
      <c r="H55" s="10">
        <f t="shared" si="9"/>
        <v>11025.315405193316</v>
      </c>
      <c r="I55" s="10">
        <f t="shared" si="9"/>
        <v>9869.7379522542215</v>
      </c>
      <c r="K55" s="46">
        <f t="shared" si="7"/>
        <v>2256.4126344086021</v>
      </c>
      <c r="L55" s="46">
        <f t="shared" si="7"/>
        <v>1157.2150537634409</v>
      </c>
      <c r="M55" s="46">
        <f t="shared" si="7"/>
        <v>239.86021505376345</v>
      </c>
      <c r="N55" s="46">
        <f t="shared" si="7"/>
        <v>2.9690860215053765</v>
      </c>
      <c r="O55" s="46">
        <f t="shared" si="2"/>
        <v>3656.4569892473123</v>
      </c>
      <c r="P55" s="46">
        <f t="shared" si="5"/>
        <v>2977.5968497309718</v>
      </c>
      <c r="Q55" s="46">
        <f t="shared" si="20"/>
        <v>6634.0538389782841</v>
      </c>
      <c r="R55" s="10">
        <f t="shared" si="11"/>
        <v>4391.2615662150329</v>
      </c>
      <c r="T55" s="65">
        <f t="shared" si="12"/>
        <v>48.72</v>
      </c>
      <c r="U55" s="65">
        <f t="shared" si="13"/>
        <v>23</v>
      </c>
      <c r="V55" s="65">
        <f t="shared" si="14"/>
        <v>34</v>
      </c>
      <c r="W55" s="65">
        <f t="shared" si="14"/>
        <v>38</v>
      </c>
      <c r="X55" s="65">
        <f t="shared" si="21"/>
        <v>39.60567368670241</v>
      </c>
      <c r="Y55" s="65">
        <f>$Y$18/1000*CURVES!K14+VLOOKUP($B55,$X$10:$Y$14,2,FALSE)</f>
        <v>113.79797129399547</v>
      </c>
      <c r="Z55" s="65">
        <f t="shared" si="22"/>
        <v>72.905788065002639</v>
      </c>
      <c r="AA55" s="65">
        <f>CHOOSE(AA$18,CURVES!F14,CURVES!G14)</f>
        <v>88.368366285119663</v>
      </c>
      <c r="AB55" s="65">
        <f t="shared" si="15"/>
        <v>79.064362487337092</v>
      </c>
      <c r="AD55" s="65"/>
      <c r="AH55" s="46">
        <f t="shared" si="8"/>
        <v>1921.095004536046</v>
      </c>
      <c r="AI55" s="46">
        <f t="shared" si="8"/>
        <v>0</v>
      </c>
      <c r="AJ55" s="46">
        <f t="shared" si="8"/>
        <v>1326.4786927345147</v>
      </c>
      <c r="AK55" s="46">
        <f t="shared" si="8"/>
        <v>519.61972313456249</v>
      </c>
      <c r="AL55" s="46">
        <f t="shared" si="3"/>
        <v>3767.1934204051231</v>
      </c>
      <c r="AM55" s="46">
        <f t="shared" si="6"/>
        <v>2024.2479112903225</v>
      </c>
      <c r="AN55" s="46">
        <f t="shared" si="23"/>
        <v>5791.4413316954451</v>
      </c>
      <c r="AO55" s="10">
        <f t="shared" si="16"/>
        <v>4078.2966205587759</v>
      </c>
      <c r="AQ55" s="65">
        <f t="shared" si="17"/>
        <v>43</v>
      </c>
      <c r="AR55" s="65"/>
      <c r="AS55" s="65">
        <f t="shared" si="18"/>
        <v>30</v>
      </c>
      <c r="AT55" s="65">
        <f t="shared" si="18"/>
        <v>38</v>
      </c>
      <c r="AU55" s="65">
        <f t="shared" si="24"/>
        <v>37.732863591833393</v>
      </c>
      <c r="AV55" s="65">
        <f>$Y$18/1000*CURVES!O14+VLOOKUP($B55,$AU$10:$AV$14,2,FALSE)</f>
        <v>108.89351837372948</v>
      </c>
      <c r="AW55" s="65">
        <f t="shared" si="25"/>
        <v>62.605222398261141</v>
      </c>
      <c r="AX55" s="65">
        <f>CHOOSE(AX$18,CURVES!B14,CURVES!C14)</f>
        <v>102.75685050294831</v>
      </c>
      <c r="AY55" s="65">
        <f t="shared" si="26"/>
        <v>79.196366965769968</v>
      </c>
    </row>
    <row r="56" spans="1:51">
      <c r="A56" s="75">
        <v>37257</v>
      </c>
      <c r="B56" s="2">
        <f t="shared" si="0"/>
        <v>2002</v>
      </c>
      <c r="C56" s="2">
        <f t="shared" si="19"/>
        <v>1</v>
      </c>
      <c r="D56" s="43">
        <v>5.3977796992254003E-2</v>
      </c>
      <c r="E56" s="44">
        <f t="shared" ca="1" si="10"/>
        <v>0.94265138735347587</v>
      </c>
      <c r="F56" s="44"/>
      <c r="G56" s="10"/>
      <c r="H56" s="10">
        <f t="shared" si="9"/>
        <v>11227.894393553015</v>
      </c>
      <c r="I56" s="10">
        <f t="shared" si="9"/>
        <v>10673.513719183224</v>
      </c>
      <c r="K56" s="46">
        <f t="shared" si="7"/>
        <v>2185.9180107526881</v>
      </c>
      <c r="L56" s="46">
        <f t="shared" si="7"/>
        <v>1282.3306451612902</v>
      </c>
      <c r="M56" s="46">
        <f t="shared" si="7"/>
        <v>142.8521505376344</v>
      </c>
      <c r="N56" s="46">
        <f t="shared" si="7"/>
        <v>3.168010752688172</v>
      </c>
      <c r="O56" s="46">
        <f t="shared" si="2"/>
        <v>3614.2688172043008</v>
      </c>
      <c r="P56" s="46">
        <f t="shared" si="5"/>
        <v>2792.6655547379</v>
      </c>
      <c r="Q56" s="46">
        <f t="shared" si="20"/>
        <v>6406.9343719422013</v>
      </c>
      <c r="R56" s="10">
        <f t="shared" si="11"/>
        <v>4820.9600216108138</v>
      </c>
      <c r="T56" s="65">
        <f t="shared" si="12"/>
        <v>48.72</v>
      </c>
      <c r="U56" s="65">
        <f t="shared" si="13"/>
        <v>23</v>
      </c>
      <c r="V56" s="65">
        <f t="shared" si="14"/>
        <v>34</v>
      </c>
      <c r="W56" s="65">
        <f t="shared" si="14"/>
        <v>38</v>
      </c>
      <c r="X56" s="65">
        <f t="shared" si="21"/>
        <v>39.003431946853418</v>
      </c>
      <c r="Y56" s="65">
        <f>$Y$18/1000*CURVES!K15+VLOOKUP($B56,$X$10:$Y$14,2,FALSE)</f>
        <v>103.5544606034195</v>
      </c>
      <c r="Z56" s="65">
        <f t="shared" si="22"/>
        <v>67.140045151687019</v>
      </c>
      <c r="AA56" s="65">
        <f>CHOOSE(AA$18,CURVES!F15,CURVES!G15)</f>
        <v>77.587408949011433</v>
      </c>
      <c r="AB56" s="65">
        <f t="shared" si="15"/>
        <v>71.625866039621727</v>
      </c>
      <c r="AD56" s="65"/>
      <c r="AH56" s="46">
        <f t="shared" si="8"/>
        <v>1826.0560878589888</v>
      </c>
      <c r="AI56" s="46">
        <f t="shared" si="8"/>
        <v>0</v>
      </c>
      <c r="AJ56" s="46">
        <f t="shared" si="8"/>
        <v>1744.0893186443859</v>
      </c>
      <c r="AK56" s="46">
        <f t="shared" si="8"/>
        <v>538.87289280137145</v>
      </c>
      <c r="AL56" s="46">
        <f t="shared" si="3"/>
        <v>4109.0182993047465</v>
      </c>
      <c r="AM56" s="46">
        <f t="shared" si="6"/>
        <v>2445.3687016129034</v>
      </c>
      <c r="AN56" s="46">
        <f t="shared" si="23"/>
        <v>6554.3870009176499</v>
      </c>
      <c r="AO56" s="10">
        <f t="shared" si="16"/>
        <v>4119.1267182655738</v>
      </c>
      <c r="AQ56" s="65">
        <f t="shared" si="17"/>
        <v>43</v>
      </c>
      <c r="AR56" s="65"/>
      <c r="AS56" s="65">
        <f t="shared" si="18"/>
        <v>30</v>
      </c>
      <c r="AT56" s="65">
        <f t="shared" si="18"/>
        <v>38</v>
      </c>
      <c r="AU56" s="65">
        <f t="shared" si="24"/>
        <v>36.826378040059808</v>
      </c>
      <c r="AV56" s="65">
        <f>$Y$18/1000*CURVES!O15+VLOOKUP($B56,$AU$10:$AV$14,2,FALSE)</f>
        <v>108.97055708485989</v>
      </c>
      <c r="AW56" s="65">
        <f t="shared" si="25"/>
        <v>63.742566756870694</v>
      </c>
      <c r="AX56" s="65">
        <f>CHOOSE(AX$18,CURVES!B15,CURVES!C15)</f>
        <v>84.514394727714176</v>
      </c>
      <c r="AY56" s="65">
        <f t="shared" si="26"/>
        <v>71.758838982964306</v>
      </c>
    </row>
    <row r="57" spans="1:51">
      <c r="A57" s="75">
        <v>37288</v>
      </c>
      <c r="B57" s="2">
        <f t="shared" si="0"/>
        <v>2002</v>
      </c>
      <c r="C57" s="2">
        <f t="shared" si="19"/>
        <v>2</v>
      </c>
      <c r="D57" s="43">
        <v>5.3915348866635002E-2</v>
      </c>
      <c r="E57" s="44">
        <f t="shared" ca="1" si="10"/>
        <v>0.93887799758503299</v>
      </c>
      <c r="F57" s="44"/>
      <c r="G57" s="10"/>
      <c r="H57" s="10">
        <f t="shared" si="9"/>
        <v>11258.095206393073</v>
      </c>
      <c r="I57" s="10">
        <f t="shared" si="9"/>
        <v>10659.288448818505</v>
      </c>
      <c r="K57" s="46">
        <f t="shared" si="7"/>
        <v>2261.8764367816093</v>
      </c>
      <c r="L57" s="46">
        <f t="shared" si="7"/>
        <v>1335.9798850574712</v>
      </c>
      <c r="M57" s="46">
        <f t="shared" si="7"/>
        <v>236.0028735632184</v>
      </c>
      <c r="N57" s="46">
        <f t="shared" si="7"/>
        <v>3.8491379310344827</v>
      </c>
      <c r="O57" s="46">
        <f t="shared" si="2"/>
        <v>3837.7083333333335</v>
      </c>
      <c r="P57" s="46">
        <f t="shared" si="5"/>
        <v>3011.7717013676738</v>
      </c>
      <c r="Q57" s="46">
        <f t="shared" si="20"/>
        <v>6849.4800347010078</v>
      </c>
      <c r="R57" s="10">
        <f t="shared" si="11"/>
        <v>4408.6151716920649</v>
      </c>
      <c r="T57" s="65">
        <f t="shared" si="12"/>
        <v>48.72</v>
      </c>
      <c r="U57" s="65">
        <f t="shared" si="13"/>
        <v>23</v>
      </c>
      <c r="V57" s="65">
        <f t="shared" si="14"/>
        <v>34</v>
      </c>
      <c r="W57" s="65">
        <f t="shared" si="14"/>
        <v>38</v>
      </c>
      <c r="X57" s="65">
        <f t="shared" si="21"/>
        <v>38.850404811599958</v>
      </c>
      <c r="Y57" s="65">
        <f>$Y$18/1000*CURVES!K16+VLOOKUP($B57,$X$10:$Y$14,2,FALSE)</f>
        <v>100.8769606034195</v>
      </c>
      <c r="Z57" s="65">
        <f t="shared" si="22"/>
        <v>66.123982443870531</v>
      </c>
      <c r="AA57" s="65">
        <f>CHOOSE(AA$18,CURVES!F16,CURVES!G16)</f>
        <v>70.566326530612244</v>
      </c>
      <c r="AB57" s="65">
        <f t="shared" si="15"/>
        <v>67.863582720795236</v>
      </c>
      <c r="AD57" s="65"/>
      <c r="AH57" s="46">
        <f t="shared" si="8"/>
        <v>1925.7468502510062</v>
      </c>
      <c r="AI57" s="46">
        <f t="shared" si="8"/>
        <v>0</v>
      </c>
      <c r="AJ57" s="46">
        <f t="shared" si="8"/>
        <v>2201.9273871825426</v>
      </c>
      <c r="AK57" s="46">
        <f t="shared" si="8"/>
        <v>548.47547775416388</v>
      </c>
      <c r="AL57" s="46">
        <f t="shared" si="3"/>
        <v>4676.1497151877129</v>
      </c>
      <c r="AM57" s="46">
        <f t="shared" si="6"/>
        <v>2161.5456443452381</v>
      </c>
      <c r="AN57" s="46">
        <f t="shared" si="23"/>
        <v>6837.6953595329505</v>
      </c>
      <c r="AO57" s="10">
        <f t="shared" si="16"/>
        <v>3821.5930892855536</v>
      </c>
      <c r="AQ57" s="65">
        <f t="shared" si="17"/>
        <v>43</v>
      </c>
      <c r="AR57" s="65"/>
      <c r="AS57" s="65">
        <f t="shared" si="18"/>
        <v>30</v>
      </c>
      <c r="AT57" s="65">
        <f t="shared" si="18"/>
        <v>38</v>
      </c>
      <c r="AU57" s="65">
        <f t="shared" si="24"/>
        <v>36.29203825098557</v>
      </c>
      <c r="AV57" s="65">
        <f>$Y$18/1000*CURVES!O16+VLOOKUP($B57,$AU$10:$AV$14,2,FALSE)</f>
        <v>106.2930570848599</v>
      </c>
      <c r="AW57" s="65">
        <f t="shared" si="25"/>
        <v>58.420897377348481</v>
      </c>
      <c r="AX57" s="65">
        <f>CHOOSE(AX$18,CURVES!B16,CURVES!C16)</f>
        <v>77.061224489795904</v>
      </c>
      <c r="AY57" s="65">
        <f t="shared" si="26"/>
        <v>65.10387116279351</v>
      </c>
    </row>
    <row r="58" spans="1:51">
      <c r="A58" s="75">
        <v>37316</v>
      </c>
      <c r="B58" s="2">
        <f t="shared" si="0"/>
        <v>2002</v>
      </c>
      <c r="C58" s="2">
        <f t="shared" si="19"/>
        <v>3</v>
      </c>
      <c r="D58" s="43">
        <v>5.3858944109129003E-2</v>
      </c>
      <c r="E58" s="44">
        <f t="shared" ca="1" si="10"/>
        <v>0.93471337547415034</v>
      </c>
      <c r="F58" s="44"/>
      <c r="G58" s="10"/>
      <c r="H58" s="10">
        <f t="shared" si="9"/>
        <v>11192.920252999336</v>
      </c>
      <c r="I58" s="10">
        <f t="shared" si="9"/>
        <v>10419.990898377857</v>
      </c>
      <c r="K58" s="46">
        <f t="shared" si="7"/>
        <v>2263.9462365591398</v>
      </c>
      <c r="L58" s="46">
        <f t="shared" si="7"/>
        <v>1258.630376344086</v>
      </c>
      <c r="M58" s="46">
        <f t="shared" si="7"/>
        <v>620.64650537634407</v>
      </c>
      <c r="N58" s="46">
        <f t="shared" si="7"/>
        <v>2.581989247311828</v>
      </c>
      <c r="O58" s="46">
        <f t="shared" si="2"/>
        <v>4145.8051075268813</v>
      </c>
      <c r="P58" s="46">
        <f t="shared" si="5"/>
        <v>2834.3973290285558</v>
      </c>
      <c r="Q58" s="46">
        <f t="shared" si="20"/>
        <v>6980.2024365554371</v>
      </c>
      <c r="R58" s="10">
        <f t="shared" si="11"/>
        <v>4212.7178164438992</v>
      </c>
      <c r="T58" s="65">
        <f t="shared" si="12"/>
        <v>48.72</v>
      </c>
      <c r="U58" s="65">
        <f t="shared" si="13"/>
        <v>23</v>
      </c>
      <c r="V58" s="65">
        <f t="shared" si="14"/>
        <v>34</v>
      </c>
      <c r="W58" s="65">
        <f t="shared" si="14"/>
        <v>38</v>
      </c>
      <c r="X58" s="65">
        <f t="shared" si="21"/>
        <v>38.701302138870133</v>
      </c>
      <c r="Y58" s="65">
        <f>$Y$18/1000*CURVES!K17+VLOOKUP($B58,$X$10:$Y$14,2,FALSE)</f>
        <v>97.306960603419498</v>
      </c>
      <c r="Z58" s="65">
        <f t="shared" si="22"/>
        <v>62.498852901574175</v>
      </c>
      <c r="AA58" s="65">
        <f>CHOOSE(AA$18,CURVES!F17,CURVES!G17)</f>
        <v>69.111689212625734</v>
      </c>
      <c r="AB58" s="65">
        <f t="shared" si="15"/>
        <v>64.98774880318922</v>
      </c>
      <c r="AD58" s="65"/>
      <c r="AH58" s="46">
        <f t="shared" si="8"/>
        <v>1891.2387324311178</v>
      </c>
      <c r="AI58" s="46">
        <f t="shared" si="8"/>
        <v>0</v>
      </c>
      <c r="AJ58" s="46">
        <f t="shared" si="8"/>
        <v>1966.5504926356311</v>
      </c>
      <c r="AK58" s="46">
        <f t="shared" si="8"/>
        <v>526.07330501492243</v>
      </c>
      <c r="AL58" s="46">
        <f t="shared" si="3"/>
        <v>4383.8625300816711</v>
      </c>
      <c r="AM58" s="46">
        <f t="shared" si="6"/>
        <v>2044.2222728494623</v>
      </c>
      <c r="AN58" s="46">
        <f t="shared" si="23"/>
        <v>6428.0848029311337</v>
      </c>
      <c r="AO58" s="10">
        <f t="shared" si="16"/>
        <v>3991.9060954467232</v>
      </c>
      <c r="AQ58" s="65">
        <f t="shared" si="17"/>
        <v>43</v>
      </c>
      <c r="AR58" s="65"/>
      <c r="AS58" s="65">
        <f t="shared" si="18"/>
        <v>30</v>
      </c>
      <c r="AT58" s="65">
        <f t="shared" si="18"/>
        <v>38</v>
      </c>
      <c r="AU58" s="65">
        <f t="shared" si="24"/>
        <v>36.56833779894724</v>
      </c>
      <c r="AV58" s="65">
        <f>$Y$18/1000*CURVES!O17+VLOOKUP($B58,$AU$10:$AV$14,2,FALSE)</f>
        <v>102.72305708485989</v>
      </c>
      <c r="AW58" s="65">
        <f t="shared" si="25"/>
        <v>57.606478203800158</v>
      </c>
      <c r="AX58" s="65">
        <f>CHOOSE(AX$18,CURVES!B17,CURVES!C17)</f>
        <v>69.62486992715921</v>
      </c>
      <c r="AY58" s="65">
        <f t="shared" si="26"/>
        <v>62.210732818399883</v>
      </c>
    </row>
    <row r="59" spans="1:51">
      <c r="A59" s="75">
        <v>37347</v>
      </c>
      <c r="B59" s="2">
        <f t="shared" si="0"/>
        <v>2002</v>
      </c>
      <c r="C59" s="2">
        <f t="shared" si="19"/>
        <v>4</v>
      </c>
      <c r="D59" s="43">
        <v>5.3811179361892003E-2</v>
      </c>
      <c r="E59" s="44">
        <f t="shared" ca="1" si="10"/>
        <v>0.93070058895281238</v>
      </c>
      <c r="F59" s="44"/>
      <c r="G59" s="10"/>
      <c r="H59" s="10">
        <f t="shared" si="9"/>
        <v>11242.58674058492</v>
      </c>
      <c r="I59" s="10">
        <f t="shared" si="9"/>
        <v>10179.25578414524</v>
      </c>
      <c r="K59" s="46">
        <f t="shared" si="7"/>
        <v>2319.8402777777778</v>
      </c>
      <c r="L59" s="46">
        <f t="shared" si="7"/>
        <v>1179.1659722222223</v>
      </c>
      <c r="M59" s="46">
        <f t="shared" si="7"/>
        <v>811.58611111111111</v>
      </c>
      <c r="N59" s="46">
        <f t="shared" si="7"/>
        <v>3.0416666666666665</v>
      </c>
      <c r="O59" s="46">
        <f t="shared" si="2"/>
        <v>4313.6340277777781</v>
      </c>
      <c r="P59" s="46">
        <f t="shared" si="5"/>
        <v>2923.3945906815438</v>
      </c>
      <c r="Q59" s="46">
        <f t="shared" si="20"/>
        <v>7237.0286184593224</v>
      </c>
      <c r="R59" s="10">
        <f t="shared" si="11"/>
        <v>4005.5581221255984</v>
      </c>
      <c r="T59" s="65">
        <f t="shared" si="12"/>
        <v>48.72</v>
      </c>
      <c r="U59" s="65">
        <f t="shared" si="13"/>
        <v>23</v>
      </c>
      <c r="V59" s="65">
        <f t="shared" si="14"/>
        <v>34</v>
      </c>
      <c r="W59" s="65">
        <f t="shared" si="14"/>
        <v>38</v>
      </c>
      <c r="X59" s="65">
        <f t="shared" si="21"/>
        <v>38.912189982891782</v>
      </c>
      <c r="Y59" s="65">
        <f>$Y$18/1000*CURVES!K18+VLOOKUP($B59,$X$10:$Y$14,2,FALSE)</f>
        <v>87.568210603419502</v>
      </c>
      <c r="Z59" s="65">
        <f t="shared" si="22"/>
        <v>58.56676853787085</v>
      </c>
      <c r="AA59" s="65">
        <f>CHOOSE(AA$18,CURVES!F18,CURVES!G18)</f>
        <v>65.428148148148139</v>
      </c>
      <c r="AB59" s="65">
        <f t="shared" si="15"/>
        <v>61.011370964438676</v>
      </c>
      <c r="AD59" s="65"/>
      <c r="AH59" s="46">
        <f t="shared" si="8"/>
        <v>1937.9310849074075</v>
      </c>
      <c r="AI59" s="46">
        <f t="shared" si="8"/>
        <v>0</v>
      </c>
      <c r="AJ59" s="46">
        <f t="shared" si="8"/>
        <v>2070.9500209392572</v>
      </c>
      <c r="AK59" s="46">
        <f t="shared" si="8"/>
        <v>513.91932921853174</v>
      </c>
      <c r="AL59" s="46">
        <f t="shared" si="3"/>
        <v>4522.8004350651963</v>
      </c>
      <c r="AM59" s="46">
        <f t="shared" si="6"/>
        <v>2152.9968589041096</v>
      </c>
      <c r="AN59" s="46">
        <f t="shared" si="23"/>
        <v>6675.7972939693063</v>
      </c>
      <c r="AO59" s="10">
        <f t="shared" si="16"/>
        <v>3503.458490175934</v>
      </c>
      <c r="AQ59" s="65">
        <f t="shared" si="17"/>
        <v>43</v>
      </c>
      <c r="AR59" s="65"/>
      <c r="AS59" s="65">
        <f t="shared" si="18"/>
        <v>30</v>
      </c>
      <c r="AT59" s="65">
        <f t="shared" si="18"/>
        <v>38</v>
      </c>
      <c r="AU59" s="65">
        <f t="shared" si="24"/>
        <v>36.479272998726103</v>
      </c>
      <c r="AV59" s="65">
        <f>$Y$18/1000*CURVES!O18+VLOOKUP($B59,$AU$10:$AV$14,2,FALSE)</f>
        <v>90.564057084859883</v>
      </c>
      <c r="AW59" s="65">
        <f t="shared" si="25"/>
        <v>53.92203902715913</v>
      </c>
      <c r="AX59" s="65">
        <f>CHOOSE(AX$18,CURVES!B18,CURVES!C18)</f>
        <v>68.099999999999994</v>
      </c>
      <c r="AY59" s="65">
        <f t="shared" si="26"/>
        <v>58.801757033759294</v>
      </c>
    </row>
    <row r="60" spans="1:51">
      <c r="A60" s="75">
        <v>37377</v>
      </c>
      <c r="B60" s="2">
        <f t="shared" si="0"/>
        <v>2002</v>
      </c>
      <c r="C60" s="2">
        <f t="shared" si="19"/>
        <v>5</v>
      </c>
      <c r="D60" s="43">
        <v>5.3783211531938997E-2</v>
      </c>
      <c r="E60" s="44">
        <f t="shared" ca="1" si="10"/>
        <v>0.92655183867557411</v>
      </c>
      <c r="F60" s="44"/>
      <c r="G60" s="10"/>
      <c r="H60" s="10">
        <f t="shared" si="9"/>
        <v>11880.02823493781</v>
      </c>
      <c r="I60" s="10">
        <f t="shared" si="9"/>
        <v>11087.940025484742</v>
      </c>
      <c r="K60" s="46">
        <f t="shared" ref="K60:N79" si="27">K48</f>
        <v>2226.0672043010754</v>
      </c>
      <c r="L60" s="46">
        <f t="shared" si="27"/>
        <v>1023.6263440860215</v>
      </c>
      <c r="M60" s="46">
        <f t="shared" si="27"/>
        <v>950.16532258064512</v>
      </c>
      <c r="N60" s="46">
        <f t="shared" si="27"/>
        <v>3.3051075268817205</v>
      </c>
      <c r="O60" s="46">
        <f t="shared" si="2"/>
        <v>4203.1639784946237</v>
      </c>
      <c r="P60" s="46">
        <f t="shared" si="5"/>
        <v>2831.510502104928</v>
      </c>
      <c r="Q60" s="46">
        <f t="shared" si="20"/>
        <v>7034.6744805995513</v>
      </c>
      <c r="R60" s="10">
        <f t="shared" si="11"/>
        <v>4845.353754338259</v>
      </c>
      <c r="T60" s="65">
        <f t="shared" si="12"/>
        <v>48.72</v>
      </c>
      <c r="U60" s="65">
        <f t="shared" si="13"/>
        <v>23</v>
      </c>
      <c r="V60" s="65">
        <f t="shared" si="14"/>
        <v>34</v>
      </c>
      <c r="W60" s="65">
        <f t="shared" si="14"/>
        <v>38</v>
      </c>
      <c r="X60" s="65">
        <f t="shared" si="21"/>
        <v>39.120199926194871</v>
      </c>
      <c r="Y60" s="65">
        <f>$Y$18/1000*CURVES!K19+VLOOKUP($B60,$X$10:$Y$14,2,FALSE)</f>
        <v>85.394710603419497</v>
      </c>
      <c r="Z60" s="65">
        <f t="shared" si="22"/>
        <v>57.746045844677376</v>
      </c>
      <c r="AA60" s="65">
        <f>CHOOSE(AA$18,CURVES!F19,CURVES!G19)</f>
        <v>66.522806104751993</v>
      </c>
      <c r="AB60" s="65">
        <f t="shared" si="15"/>
        <v>61.325709750863538</v>
      </c>
      <c r="AD60" s="65"/>
      <c r="AH60" s="46">
        <f t="shared" ref="AH60:AK79" si="28">AH48</f>
        <v>1895.2591032026239</v>
      </c>
      <c r="AI60" s="46">
        <f t="shared" si="28"/>
        <v>0</v>
      </c>
      <c r="AJ60" s="46">
        <f t="shared" si="28"/>
        <v>1877.6303324734643</v>
      </c>
      <c r="AK60" s="46">
        <f t="shared" si="28"/>
        <v>570.53181663934993</v>
      </c>
      <c r="AL60" s="46">
        <f t="shared" si="3"/>
        <v>4343.4212523154383</v>
      </c>
      <c r="AM60" s="46">
        <f t="shared" si="6"/>
        <v>2186.8418319892476</v>
      </c>
      <c r="AN60" s="46">
        <f t="shared" si="23"/>
        <v>6530.2630843046863</v>
      </c>
      <c r="AO60" s="10">
        <f t="shared" si="16"/>
        <v>4557.676941180056</v>
      </c>
      <c r="AQ60" s="65">
        <f t="shared" si="17"/>
        <v>43</v>
      </c>
      <c r="AR60" s="65"/>
      <c r="AS60" s="65">
        <f t="shared" si="18"/>
        <v>30</v>
      </c>
      <c r="AT60" s="65">
        <f t="shared" si="18"/>
        <v>38</v>
      </c>
      <c r="AU60" s="65">
        <f t="shared" si="24"/>
        <v>36.723414833221909</v>
      </c>
      <c r="AV60" s="65">
        <f>$Y$18/1000*CURVES!O19+VLOOKUP($B60,$AU$10:$AV$14,2,FALSE)</f>
        <v>88.390557084859893</v>
      </c>
      <c r="AW60" s="65">
        <f t="shared" si="25"/>
        <v>54.025607188501496</v>
      </c>
      <c r="AX60" s="65">
        <f>CHOOSE(AX$18,CURVES!B19,CURVES!C19)</f>
        <v>67.684356573014213</v>
      </c>
      <c r="AY60" s="65">
        <f t="shared" si="26"/>
        <v>59.640010492638176</v>
      </c>
    </row>
    <row r="61" spans="1:51">
      <c r="A61" s="75">
        <v>37408</v>
      </c>
      <c r="B61" s="2">
        <f t="shared" si="0"/>
        <v>2002</v>
      </c>
      <c r="C61" s="2">
        <f t="shared" si="19"/>
        <v>6</v>
      </c>
      <c r="D61" s="43">
        <v>5.3754311441260999E-2</v>
      </c>
      <c r="E61" s="44">
        <f t="shared" ca="1" si="10"/>
        <v>0.92256109408802067</v>
      </c>
      <c r="F61" s="44"/>
      <c r="G61" s="10"/>
      <c r="H61" s="10">
        <f t="shared" si="9"/>
        <v>13128.880404612542</v>
      </c>
      <c r="I61" s="10">
        <f t="shared" si="9"/>
        <v>12503.053114657318</v>
      </c>
      <c r="K61" s="46">
        <f t="shared" si="27"/>
        <v>2252.1333333333332</v>
      </c>
      <c r="L61" s="46">
        <f t="shared" si="27"/>
        <v>1398.3916666666667</v>
      </c>
      <c r="M61" s="46">
        <f t="shared" si="27"/>
        <v>957.04027777777776</v>
      </c>
      <c r="N61" s="46">
        <f t="shared" si="27"/>
        <v>3.526388888888889</v>
      </c>
      <c r="O61" s="46">
        <f t="shared" si="2"/>
        <v>4611.0916666666662</v>
      </c>
      <c r="P61" s="46">
        <f t="shared" si="5"/>
        <v>3175.7411781346573</v>
      </c>
      <c r="Q61" s="46">
        <f t="shared" si="20"/>
        <v>7786.8328448013235</v>
      </c>
      <c r="R61" s="10">
        <f t="shared" si="11"/>
        <v>5342.0475598112198</v>
      </c>
      <c r="T61" s="65">
        <f t="shared" si="12"/>
        <v>48.72</v>
      </c>
      <c r="U61" s="65">
        <f t="shared" si="13"/>
        <v>23</v>
      </c>
      <c r="V61" s="65">
        <f t="shared" si="14"/>
        <v>34</v>
      </c>
      <c r="W61" s="65">
        <f t="shared" si="14"/>
        <v>38</v>
      </c>
      <c r="X61" s="65">
        <f t="shared" si="21"/>
        <v>37.856613829094464</v>
      </c>
      <c r="Y61" s="65">
        <f>$Y$18/1000*CURVES!K20+VLOOKUP($B61,$X$10:$Y$14,2,FALSE)</f>
        <v>84.974710603419496</v>
      </c>
      <c r="Z61" s="65">
        <f t="shared" si="22"/>
        <v>57.073011964757228</v>
      </c>
      <c r="AA61" s="65">
        <f>CHOOSE(AA$18,CURVES!F20,CURVES!G20)</f>
        <v>76</v>
      </c>
      <c r="AB61" s="65">
        <f t="shared" si="15"/>
        <v>64.774268060648126</v>
      </c>
      <c r="AD61" s="65"/>
      <c r="AH61" s="46">
        <f t="shared" si="28"/>
        <v>1881.3705563400365</v>
      </c>
      <c r="AI61" s="46">
        <f t="shared" si="28"/>
        <v>0</v>
      </c>
      <c r="AJ61" s="46">
        <f t="shared" si="28"/>
        <v>1162.1616861734683</v>
      </c>
      <c r="AK61" s="46">
        <f t="shared" si="28"/>
        <v>631.24071210358352</v>
      </c>
      <c r="AL61" s="46">
        <f t="shared" si="3"/>
        <v>3674.7729546170881</v>
      </c>
      <c r="AM61" s="46">
        <f t="shared" si="6"/>
        <v>2754.0461410958906</v>
      </c>
      <c r="AN61" s="46">
        <f t="shared" si="23"/>
        <v>6428.8190957129791</v>
      </c>
      <c r="AO61" s="10">
        <f t="shared" si="16"/>
        <v>6074.2340189443385</v>
      </c>
      <c r="AQ61" s="65">
        <f t="shared" si="17"/>
        <v>43</v>
      </c>
      <c r="AR61" s="65"/>
      <c r="AS61" s="65">
        <f t="shared" si="18"/>
        <v>30</v>
      </c>
      <c r="AT61" s="65">
        <f t="shared" si="18"/>
        <v>38</v>
      </c>
      <c r="AU61" s="65">
        <f t="shared" si="24"/>
        <v>38.029813894263803</v>
      </c>
      <c r="AV61" s="65">
        <f>$Y$18/1000*CURVES!O20+VLOOKUP($B61,$AU$10:$AV$14,2,FALSE)</f>
        <v>87.970557084859891</v>
      </c>
      <c r="AW61" s="65">
        <f t="shared" si="25"/>
        <v>59.423962496024764</v>
      </c>
      <c r="AX61" s="65">
        <f>CHOOSE(AX$18,CURVES!B20,CURVES!C20)</f>
        <v>71.037037037037038</v>
      </c>
      <c r="AY61" s="65">
        <f t="shared" si="26"/>
        <v>65.065827070594835</v>
      </c>
    </row>
    <row r="62" spans="1:51">
      <c r="A62" s="75">
        <v>37438</v>
      </c>
      <c r="B62" s="2">
        <f t="shared" si="0"/>
        <v>2002</v>
      </c>
      <c r="C62" s="2">
        <f t="shared" si="19"/>
        <v>7</v>
      </c>
      <c r="D62" s="43">
        <v>5.3753867875071998E-2</v>
      </c>
      <c r="E62" s="44">
        <f t="shared" ca="1" si="10"/>
        <v>0.91841762618528722</v>
      </c>
      <c r="F62" s="44"/>
      <c r="G62" s="10"/>
      <c r="H62" s="10">
        <f t="shared" si="9"/>
        <v>12958.108535263937</v>
      </c>
      <c r="I62" s="10">
        <f t="shared" si="9"/>
        <v>11869.032447785994</v>
      </c>
      <c r="K62" s="46">
        <f t="shared" si="27"/>
        <v>2248.4569892473119</v>
      </c>
      <c r="L62" s="46">
        <f t="shared" si="27"/>
        <v>1358.3225806451612</v>
      </c>
      <c r="M62" s="46">
        <f t="shared" si="27"/>
        <v>653.55107526881716</v>
      </c>
      <c r="N62" s="46">
        <f t="shared" si="27"/>
        <v>3.8373655913978495</v>
      </c>
      <c r="O62" s="46">
        <f t="shared" si="2"/>
        <v>4264.1680107526872</v>
      </c>
      <c r="P62" s="46">
        <f t="shared" si="5"/>
        <v>3349.3895623880758</v>
      </c>
      <c r="Q62" s="46">
        <f t="shared" si="20"/>
        <v>7613.5575731407625</v>
      </c>
      <c r="R62" s="10">
        <f t="shared" si="11"/>
        <v>5344.550962123174</v>
      </c>
      <c r="T62" s="65">
        <f t="shared" si="12"/>
        <v>48.72</v>
      </c>
      <c r="U62" s="65">
        <f t="shared" si="13"/>
        <v>23</v>
      </c>
      <c r="V62" s="65">
        <f t="shared" si="14"/>
        <v>34</v>
      </c>
      <c r="W62" s="65">
        <f t="shared" si="14"/>
        <v>38</v>
      </c>
      <c r="X62" s="65">
        <f t="shared" si="21"/>
        <v>38.261344278923424</v>
      </c>
      <c r="Y62" s="65">
        <f>$Y$18/1000*CURVES!K21+VLOOKUP($B62,$X$10:$Y$14,2,FALSE)</f>
        <v>92.219710603419514</v>
      </c>
      <c r="Z62" s="65">
        <f t="shared" si="22"/>
        <v>61.998944899210755</v>
      </c>
      <c r="AA62" s="65">
        <f>CHOOSE(AA$18,CURVES!F21,CURVES!G21)</f>
        <v>102.75936524453694</v>
      </c>
      <c r="AB62" s="65">
        <f t="shared" si="15"/>
        <v>78.810514518365892</v>
      </c>
      <c r="AD62" s="65"/>
      <c r="AH62" s="46">
        <f t="shared" si="28"/>
        <v>1914.3216201186069</v>
      </c>
      <c r="AI62" s="46">
        <f t="shared" si="28"/>
        <v>0</v>
      </c>
      <c r="AJ62" s="46">
        <f t="shared" si="28"/>
        <v>1193.3319743059751</v>
      </c>
      <c r="AK62" s="46">
        <f t="shared" si="28"/>
        <v>610.72305844211053</v>
      </c>
      <c r="AL62" s="46">
        <f t="shared" si="3"/>
        <v>3718.3766528666924</v>
      </c>
      <c r="AM62" s="46">
        <f t="shared" si="6"/>
        <v>2586.7318602150535</v>
      </c>
      <c r="AN62" s="46">
        <f t="shared" si="23"/>
        <v>6305.1085130817464</v>
      </c>
      <c r="AO62" s="10">
        <f t="shared" si="16"/>
        <v>5563.9239347042476</v>
      </c>
      <c r="AQ62" s="65">
        <f t="shared" si="17"/>
        <v>43</v>
      </c>
      <c r="AR62" s="65"/>
      <c r="AS62" s="65">
        <f t="shared" si="18"/>
        <v>30</v>
      </c>
      <c r="AT62" s="65">
        <f t="shared" si="18"/>
        <v>38</v>
      </c>
      <c r="AU62" s="65">
        <f t="shared" si="24"/>
        <v>38.006710537547619</v>
      </c>
      <c r="AV62" s="65">
        <f>$Y$18/1000*CURVES!O21+VLOOKUP($B62,$AU$10:$AV$14,2,FALSE)</f>
        <v>95.215557084859881</v>
      </c>
      <c r="AW62" s="65">
        <f t="shared" si="25"/>
        <v>61.477194153024122</v>
      </c>
      <c r="AX62" s="65">
        <f>CHOOSE(AX$18,CURVES!B21,CURVES!C21)</f>
        <v>102.00476933749566</v>
      </c>
      <c r="AY62" s="65">
        <f t="shared" si="26"/>
        <v>80.475570522487132</v>
      </c>
    </row>
    <row r="63" spans="1:51">
      <c r="A63" s="75">
        <v>37469</v>
      </c>
      <c r="B63" s="2">
        <f t="shared" si="0"/>
        <v>2002</v>
      </c>
      <c r="C63" s="2">
        <f t="shared" si="19"/>
        <v>8</v>
      </c>
      <c r="D63" s="43">
        <v>5.3798596544218001E-2</v>
      </c>
      <c r="E63" s="44">
        <f t="shared" ca="1" si="10"/>
        <v>0.91422489676233964</v>
      </c>
      <c r="F63" s="44"/>
      <c r="G63" s="10"/>
      <c r="H63" s="10">
        <f t="shared" si="9"/>
        <v>13895.910587734939</v>
      </c>
      <c r="I63" s="10">
        <f t="shared" si="9"/>
        <v>12310.150593269538</v>
      </c>
      <c r="K63" s="46">
        <f t="shared" si="27"/>
        <v>2226.0658602150538</v>
      </c>
      <c r="L63" s="46">
        <f t="shared" si="27"/>
        <v>1361.989247311828</v>
      </c>
      <c r="M63" s="46">
        <f t="shared" si="27"/>
        <v>483.36424731182797</v>
      </c>
      <c r="N63" s="46">
        <f t="shared" si="27"/>
        <v>3.924731182795699</v>
      </c>
      <c r="O63" s="46">
        <f t="shared" si="2"/>
        <v>4075.3440860215055</v>
      </c>
      <c r="P63" s="46">
        <f t="shared" si="5"/>
        <v>3426.252928840011</v>
      </c>
      <c r="Q63" s="46">
        <f t="shared" si="20"/>
        <v>7501.5970148615161</v>
      </c>
      <c r="R63" s="10">
        <f t="shared" si="11"/>
        <v>6394.3135728734233</v>
      </c>
      <c r="T63" s="65">
        <f t="shared" si="12"/>
        <v>48.72</v>
      </c>
      <c r="U63" s="65">
        <f t="shared" si="13"/>
        <v>23</v>
      </c>
      <c r="V63" s="65">
        <f t="shared" si="14"/>
        <v>34</v>
      </c>
      <c r="W63" s="65">
        <f t="shared" si="14"/>
        <v>38</v>
      </c>
      <c r="X63" s="65">
        <f t="shared" si="21"/>
        <v>38.368099058856423</v>
      </c>
      <c r="Y63" s="65">
        <f>$Y$18/1000*CURVES!K22+VLOOKUP($B63,$X$10:$Y$14,2,FALSE)</f>
        <v>92.167210603419505</v>
      </c>
      <c r="Z63" s="65">
        <f t="shared" si="22"/>
        <v>62.940115275319705</v>
      </c>
      <c r="AA63" s="65">
        <f>CHOOSE(AA$18,CURVES!F22,CURVES!G22)</f>
        <v>112.67169614984391</v>
      </c>
      <c r="AB63" s="65">
        <f t="shared" si="15"/>
        <v>85.824497020485865</v>
      </c>
      <c r="AD63" s="65"/>
      <c r="AH63" s="46">
        <f t="shared" si="28"/>
        <v>1859.5945026415061</v>
      </c>
      <c r="AI63" s="46">
        <f t="shared" si="28"/>
        <v>0</v>
      </c>
      <c r="AJ63" s="46">
        <f t="shared" si="28"/>
        <v>1584.5088037693729</v>
      </c>
      <c r="AK63" s="46">
        <f t="shared" si="28"/>
        <v>621.50165686237608</v>
      </c>
      <c r="AL63" s="46">
        <f t="shared" si="3"/>
        <v>4065.6049632732547</v>
      </c>
      <c r="AM63" s="46">
        <f t="shared" si="6"/>
        <v>2208.289016129032</v>
      </c>
      <c r="AN63" s="46">
        <f t="shared" si="23"/>
        <v>6273.8939794022863</v>
      </c>
      <c r="AO63" s="10">
        <f t="shared" si="16"/>
        <v>6036.2566138672501</v>
      </c>
      <c r="AQ63" s="65">
        <f t="shared" si="17"/>
        <v>43</v>
      </c>
      <c r="AR63" s="65"/>
      <c r="AS63" s="65">
        <f t="shared" si="18"/>
        <v>30</v>
      </c>
      <c r="AT63" s="65">
        <f t="shared" si="18"/>
        <v>38</v>
      </c>
      <c r="AU63" s="65">
        <f t="shared" si="24"/>
        <v>37.169103258318607</v>
      </c>
      <c r="AV63" s="65">
        <f>$Y$18/1000*CURVES!O22+VLOOKUP($B63,$AU$10:$AV$14,2,FALSE)</f>
        <v>95.163057084859886</v>
      </c>
      <c r="AW63" s="65">
        <f t="shared" si="25"/>
        <v>57.581850374782682</v>
      </c>
      <c r="AX63" s="65">
        <f>CHOOSE(AX$18,CURVES!B22,CURVES!C22)</f>
        <v>113.60353798126953</v>
      </c>
      <c r="AY63" s="65">
        <f t="shared" si="26"/>
        <v>85.051967801254108</v>
      </c>
    </row>
    <row r="64" spans="1:51">
      <c r="A64" s="75">
        <v>37500</v>
      </c>
      <c r="B64" s="2">
        <f t="shared" si="0"/>
        <v>2002</v>
      </c>
      <c r="C64" s="2">
        <f t="shared" si="19"/>
        <v>9</v>
      </c>
      <c r="D64" s="43">
        <v>5.3843325214031998E-2</v>
      </c>
      <c r="E64" s="44">
        <f t="shared" ca="1" si="10"/>
        <v>0.91017697050259583</v>
      </c>
      <c r="F64" s="44"/>
      <c r="G64" s="10"/>
      <c r="H64" s="10">
        <f t="shared" ref="H64:I83" si="29">(1+$I$17)*H52</f>
        <v>12587.077693220412</v>
      </c>
      <c r="I64" s="10">
        <f t="shared" si="29"/>
        <v>11595.371490127554</v>
      </c>
      <c r="K64" s="46">
        <f t="shared" si="27"/>
        <v>2263.6333333333332</v>
      </c>
      <c r="L64" s="46">
        <f t="shared" si="27"/>
        <v>1380.7361111111111</v>
      </c>
      <c r="M64" s="46">
        <f t="shared" si="27"/>
        <v>542.60277777777776</v>
      </c>
      <c r="N64" s="46">
        <f t="shared" si="27"/>
        <v>3.4194444444444443</v>
      </c>
      <c r="O64" s="46">
        <f t="shared" si="2"/>
        <v>4190.3916666666673</v>
      </c>
      <c r="P64" s="46">
        <f t="shared" si="5"/>
        <v>3348.1339323547272</v>
      </c>
      <c r="Q64" s="46">
        <f t="shared" si="20"/>
        <v>7538.5255990213946</v>
      </c>
      <c r="R64" s="10">
        <f t="shared" si="11"/>
        <v>5048.5520941990162</v>
      </c>
      <c r="T64" s="65">
        <f t="shared" si="12"/>
        <v>48.72</v>
      </c>
      <c r="U64" s="65">
        <f t="shared" si="13"/>
        <v>23</v>
      </c>
      <c r="V64" s="65">
        <f t="shared" si="14"/>
        <v>34</v>
      </c>
      <c r="W64" s="65">
        <f t="shared" si="14"/>
        <v>38</v>
      </c>
      <c r="X64" s="65">
        <f t="shared" si="21"/>
        <v>38.330445615995849</v>
      </c>
      <c r="Y64" s="65">
        <f>$Y$18/1000*CURVES!K23+VLOOKUP($B64,$X$10:$Y$14,2,FALSE)</f>
        <v>92.030710603419507</v>
      </c>
      <c r="Z64" s="65">
        <f t="shared" si="22"/>
        <v>62.180690205491388</v>
      </c>
      <c r="AA64" s="65">
        <f>CHOOSE(AA$18,CURVES!F23,CURVES!G23)</f>
        <v>98.893333333333331</v>
      </c>
      <c r="AB64" s="65">
        <f t="shared" si="15"/>
        <v>76.905767452490295</v>
      </c>
      <c r="AD64" s="65"/>
      <c r="AH64" s="46">
        <f t="shared" si="28"/>
        <v>1890.9773416389726</v>
      </c>
      <c r="AI64" s="46">
        <f t="shared" si="28"/>
        <v>0</v>
      </c>
      <c r="AJ64" s="46">
        <f t="shared" si="28"/>
        <v>765.82060543821262</v>
      </c>
      <c r="AK64" s="46">
        <f t="shared" si="28"/>
        <v>570.92254509204622</v>
      </c>
      <c r="AL64" s="46">
        <f t="shared" si="3"/>
        <v>3227.7204921692314</v>
      </c>
      <c r="AM64" s="46">
        <f t="shared" si="6"/>
        <v>2371.5769315068492</v>
      </c>
      <c r="AN64" s="46">
        <f t="shared" si="23"/>
        <v>5599.2974236760801</v>
      </c>
      <c r="AO64" s="10">
        <f t="shared" si="16"/>
        <v>5996.0740664514733</v>
      </c>
      <c r="AQ64" s="65">
        <f t="shared" si="17"/>
        <v>43</v>
      </c>
      <c r="AR64" s="65"/>
      <c r="AS64" s="65">
        <f t="shared" si="18"/>
        <v>30</v>
      </c>
      <c r="AT64" s="65">
        <f t="shared" si="18"/>
        <v>38</v>
      </c>
      <c r="AU64" s="65">
        <f t="shared" si="24"/>
        <v>39.031167931908605</v>
      </c>
      <c r="AV64" s="65">
        <f>$Y$18/1000*CURVES!O23+VLOOKUP($B64,$AU$10:$AV$14,2,FALSE)</f>
        <v>95.026557084859888</v>
      </c>
      <c r="AW64" s="65">
        <f t="shared" si="25"/>
        <v>62.747960082360812</v>
      </c>
      <c r="AX64" s="65">
        <f>CHOOSE(AX$18,CURVES!B23,CURVES!C23)</f>
        <v>102.09333333333333</v>
      </c>
      <c r="AY64" s="65">
        <f t="shared" si="26"/>
        <v>83.093817253549588</v>
      </c>
    </row>
    <row r="65" spans="1:51">
      <c r="A65" s="75">
        <v>37530</v>
      </c>
      <c r="B65" s="2">
        <f t="shared" si="0"/>
        <v>2002</v>
      </c>
      <c r="C65" s="2">
        <f t="shared" si="19"/>
        <v>10</v>
      </c>
      <c r="D65" s="43">
        <v>5.3898883775664999E-2</v>
      </c>
      <c r="E65" s="44">
        <f t="shared" ca="1" si="10"/>
        <v>0.90599083915558098</v>
      </c>
      <c r="F65" s="44"/>
      <c r="G65" s="10"/>
      <c r="H65" s="10">
        <f t="shared" si="29"/>
        <v>11693.382095826935</v>
      </c>
      <c r="I65" s="10">
        <f t="shared" si="29"/>
        <v>10036.6304495816</v>
      </c>
      <c r="K65" s="46">
        <f t="shared" si="27"/>
        <v>2069.2916666666665</v>
      </c>
      <c r="L65" s="46">
        <f t="shared" si="27"/>
        <v>1227.5241935483871</v>
      </c>
      <c r="M65" s="46">
        <f t="shared" si="27"/>
        <v>369.34005376344084</v>
      </c>
      <c r="N65" s="46">
        <f t="shared" si="27"/>
        <v>3.278225806451613</v>
      </c>
      <c r="O65" s="46">
        <f t="shared" si="2"/>
        <v>3669.4341397849457</v>
      </c>
      <c r="P65" s="46">
        <f t="shared" si="5"/>
        <v>3171.075494984625</v>
      </c>
      <c r="Q65" s="46">
        <f t="shared" si="20"/>
        <v>6840.5096347695708</v>
      </c>
      <c r="R65" s="10">
        <f t="shared" si="11"/>
        <v>4852.8724610573645</v>
      </c>
      <c r="T65" s="65">
        <f t="shared" si="12"/>
        <v>48.72</v>
      </c>
      <c r="U65" s="65">
        <f t="shared" si="13"/>
        <v>23</v>
      </c>
      <c r="V65" s="65">
        <f>V$18</f>
        <v>34</v>
      </c>
      <c r="W65" s="65">
        <f>W$18</f>
        <v>38</v>
      </c>
      <c r="X65" s="65">
        <f t="shared" si="21"/>
        <v>38.624778497461044</v>
      </c>
      <c r="Y65" s="65">
        <f>$Y$18/1000*CURVES!K24+VLOOKUP($B65,$X$10:$Y$14,2,FALSE)</f>
        <v>86.045710603419494</v>
      </c>
      <c r="Z65" s="65">
        <f t="shared" si="22"/>
        <v>60.607841716346499</v>
      </c>
      <c r="AA65" s="65">
        <f>CHOOSE(AA$18,CURVES!F24,CURVES!G24)</f>
        <v>76.411030176899061</v>
      </c>
      <c r="AB65" s="65">
        <f t="shared" si="15"/>
        <v>67.166325604808847</v>
      </c>
      <c r="AD65" s="65"/>
      <c r="AH65" s="46">
        <f t="shared" si="28"/>
        <v>1913.8399491890309</v>
      </c>
      <c r="AI65" s="46">
        <f t="shared" si="28"/>
        <v>0</v>
      </c>
      <c r="AJ65" s="46">
        <f t="shared" si="28"/>
        <v>1075.3801160883429</v>
      </c>
      <c r="AK65" s="46">
        <f t="shared" si="28"/>
        <v>576.38556050292607</v>
      </c>
      <c r="AL65" s="46">
        <f t="shared" si="3"/>
        <v>3565.6056257802998</v>
      </c>
      <c r="AM65" s="46">
        <f t="shared" si="6"/>
        <v>2259.7132500000002</v>
      </c>
      <c r="AN65" s="46">
        <f t="shared" si="23"/>
        <v>5825.3188757803</v>
      </c>
      <c r="AO65" s="10">
        <f t="shared" si="16"/>
        <v>4211.3115738013003</v>
      </c>
      <c r="AQ65" s="65">
        <f t="shared" si="17"/>
        <v>43</v>
      </c>
      <c r="AR65" s="65"/>
      <c r="AS65" s="65">
        <f>AS$18</f>
        <v>30</v>
      </c>
      <c r="AT65" s="65">
        <f>AT$18</f>
        <v>38</v>
      </c>
      <c r="AU65" s="65">
        <f t="shared" si="24"/>
        <v>38.270966258930272</v>
      </c>
      <c r="AV65" s="65">
        <f>$Y$18/1000*CURVES!O24+VLOOKUP($B65,$AU$10:$AV$14,2,FALSE)</f>
        <v>89.041557084859889</v>
      </c>
      <c r="AW65" s="65">
        <f t="shared" si="25"/>
        <v>57.965506462845539</v>
      </c>
      <c r="AX65" s="65">
        <f>CHOOSE(AX$18,CURVES!B24,CURVES!C24)</f>
        <v>76.579604578564002</v>
      </c>
      <c r="AY65" s="65">
        <f t="shared" si="26"/>
        <v>65.775873420599368</v>
      </c>
    </row>
    <row r="66" spans="1:51">
      <c r="A66" s="75">
        <v>37561</v>
      </c>
      <c r="B66" s="2">
        <f t="shared" si="0"/>
        <v>2002</v>
      </c>
      <c r="C66" s="2">
        <f t="shared" si="19"/>
        <v>11</v>
      </c>
      <c r="D66" s="43">
        <v>5.3973871330398999E-2</v>
      </c>
      <c r="E66" s="44">
        <f t="shared" ca="1" si="10"/>
        <v>0.90191406613576675</v>
      </c>
      <c r="F66" s="44"/>
      <c r="G66" s="10"/>
      <c r="H66" s="10">
        <f t="shared" si="29"/>
        <v>11438.437526355843</v>
      </c>
      <c r="I66" s="10">
        <f t="shared" si="29"/>
        <v>10188.977673299032</v>
      </c>
      <c r="K66" s="46">
        <f t="shared" si="27"/>
        <v>2201.1583333333333</v>
      </c>
      <c r="L66" s="46">
        <f t="shared" si="27"/>
        <v>1270.0277777777778</v>
      </c>
      <c r="M66" s="46">
        <f t="shared" si="27"/>
        <v>241.3111111111111</v>
      </c>
      <c r="N66" s="46">
        <f t="shared" si="27"/>
        <v>3.1194444444444445</v>
      </c>
      <c r="O66" s="46">
        <f t="shared" si="2"/>
        <v>3715.6166666666668</v>
      </c>
      <c r="P66" s="46">
        <f t="shared" si="5"/>
        <v>3029.0331582980816</v>
      </c>
      <c r="Q66" s="46">
        <f t="shared" si="20"/>
        <v>6744.6498249647484</v>
      </c>
      <c r="R66" s="10">
        <f t="shared" si="11"/>
        <v>4693.7877013910947</v>
      </c>
      <c r="T66" s="65">
        <f t="shared" si="12"/>
        <v>48.72</v>
      </c>
      <c r="U66" s="65">
        <f t="shared" ref="U66:W85" si="30">U$18</f>
        <v>23</v>
      </c>
      <c r="V66" s="65">
        <f t="shared" si="30"/>
        <v>34</v>
      </c>
      <c r="W66" s="65">
        <f t="shared" si="30"/>
        <v>38</v>
      </c>
      <c r="X66" s="65">
        <f t="shared" si="21"/>
        <v>38.963704424717896</v>
      </c>
      <c r="Y66" s="65">
        <f>$Y$18/1000*CURVES!K25+VLOOKUP($B66,$X$10:$Y$14,2,FALSE)</f>
        <v>84.103210603419498</v>
      </c>
      <c r="Z66" s="65">
        <f t="shared" si="22"/>
        <v>59.235929745949143</v>
      </c>
      <c r="AA66" s="65">
        <f>CHOOSE(AA$18,CURVES!F25,CURVES!G25)</f>
        <v>65.185185185185176</v>
      </c>
      <c r="AB66" s="65">
        <f t="shared" si="15"/>
        <v>61.677219646670103</v>
      </c>
      <c r="AD66" s="65"/>
      <c r="AH66" s="46">
        <f t="shared" si="28"/>
        <v>1838.7874362867092</v>
      </c>
      <c r="AI66" s="46">
        <f t="shared" si="28"/>
        <v>0</v>
      </c>
      <c r="AJ66" s="46">
        <f t="shared" si="28"/>
        <v>1347.8791847211178</v>
      </c>
      <c r="AK66" s="46">
        <f t="shared" si="28"/>
        <v>499.43911251442188</v>
      </c>
      <c r="AL66" s="46">
        <f t="shared" si="3"/>
        <v>3686.105733522249</v>
      </c>
      <c r="AM66" s="46">
        <f t="shared" si="6"/>
        <v>2451.2376410958905</v>
      </c>
      <c r="AN66" s="46">
        <f t="shared" si="23"/>
        <v>6137.3433746181399</v>
      </c>
      <c r="AO66" s="10">
        <f t="shared" si="16"/>
        <v>4051.6342986808932</v>
      </c>
      <c r="AQ66" s="65">
        <f t="shared" si="17"/>
        <v>43</v>
      </c>
      <c r="AR66" s="65"/>
      <c r="AS66" s="65">
        <f t="shared" ref="AS66:AT85" si="31">AS$18</f>
        <v>30</v>
      </c>
      <c r="AT66" s="65">
        <f t="shared" si="31"/>
        <v>38</v>
      </c>
      <c r="AU66" s="65">
        <f t="shared" si="24"/>
        <v>37.568895628282228</v>
      </c>
      <c r="AV66" s="65">
        <f>$Y$18/1000*CURVES!O25+VLOOKUP($B66,$AU$10:$AV$14,2,FALSE)</f>
        <v>87.67655708485988</v>
      </c>
      <c r="AW66" s="65">
        <f t="shared" si="25"/>
        <v>57.581754347840985</v>
      </c>
      <c r="AX66" s="65">
        <f>CHOOSE(AX$18,CURVES!B25,CURVES!C25)</f>
        <v>70.296296296296291</v>
      </c>
      <c r="AY66" s="65">
        <f t="shared" si="26"/>
        <v>62.63767613922704</v>
      </c>
    </row>
    <row r="67" spans="1:51">
      <c r="A67" s="75">
        <v>37591</v>
      </c>
      <c r="B67" s="2">
        <f t="shared" si="0"/>
        <v>2002</v>
      </c>
      <c r="C67" s="2">
        <f t="shared" si="19"/>
        <v>12</v>
      </c>
      <c r="D67" s="43">
        <v>5.4046439933536999E-2</v>
      </c>
      <c r="E67" s="44">
        <f t="shared" ca="1" si="10"/>
        <v>0.89771806313177371</v>
      </c>
      <c r="F67" s="44"/>
      <c r="G67" s="10"/>
      <c r="H67" s="10">
        <f t="shared" si="29"/>
        <v>11356.074867349116</v>
      </c>
      <c r="I67" s="10">
        <f t="shared" si="29"/>
        <v>10165.830090821848</v>
      </c>
      <c r="K67" s="46">
        <f t="shared" si="27"/>
        <v>2256.4126344086021</v>
      </c>
      <c r="L67" s="46">
        <f t="shared" si="27"/>
        <v>1157.2150537634409</v>
      </c>
      <c r="M67" s="46">
        <f t="shared" si="27"/>
        <v>239.86021505376345</v>
      </c>
      <c r="N67" s="46">
        <f t="shared" si="27"/>
        <v>2.9690860215053765</v>
      </c>
      <c r="O67" s="46">
        <f t="shared" si="2"/>
        <v>3656.4569892473123</v>
      </c>
      <c r="P67" s="46">
        <f t="shared" si="5"/>
        <v>2977.5968497309718</v>
      </c>
      <c r="Q67" s="46">
        <f t="shared" si="20"/>
        <v>6634.0538389782841</v>
      </c>
      <c r="R67" s="10">
        <f t="shared" si="11"/>
        <v>4722.0210283708329</v>
      </c>
      <c r="T67" s="65">
        <f t="shared" si="12"/>
        <v>48.72</v>
      </c>
      <c r="U67" s="65">
        <f t="shared" si="30"/>
        <v>23</v>
      </c>
      <c r="V67" s="65">
        <f t="shared" si="30"/>
        <v>34</v>
      </c>
      <c r="W67" s="65">
        <f t="shared" si="30"/>
        <v>38</v>
      </c>
      <c r="X67" s="65">
        <f t="shared" si="21"/>
        <v>39.60567368670241</v>
      </c>
      <c r="Y67" s="65">
        <f>$Y$18/1000*CURVES!K26+VLOOKUP($B67,$X$10:$Y$14,2,FALSE)</f>
        <v>85.153210603419495</v>
      </c>
      <c r="Z67" s="65">
        <f t="shared" si="22"/>
        <v>60.049011309224511</v>
      </c>
      <c r="AA67" s="65">
        <f>CHOOSE(AA$18,CURVES!F26,CURVES!G26)</f>
        <v>63.43947277141865</v>
      </c>
      <c r="AB67" s="65">
        <f t="shared" si="15"/>
        <v>61.458814476901132</v>
      </c>
      <c r="AD67" s="65"/>
      <c r="AH67" s="46">
        <f t="shared" si="28"/>
        <v>1921.095004536046</v>
      </c>
      <c r="AI67" s="46">
        <f t="shared" si="28"/>
        <v>0</v>
      </c>
      <c r="AJ67" s="46">
        <f t="shared" si="28"/>
        <v>1326.4786927345147</v>
      </c>
      <c r="AK67" s="46">
        <f t="shared" si="28"/>
        <v>519.61972313456249</v>
      </c>
      <c r="AL67" s="46">
        <f t="shared" si="3"/>
        <v>3767.1934204051231</v>
      </c>
      <c r="AM67" s="46">
        <f t="shared" si="6"/>
        <v>2024.2479112903225</v>
      </c>
      <c r="AN67" s="46">
        <f t="shared" si="23"/>
        <v>5791.4413316954451</v>
      </c>
      <c r="AO67" s="10">
        <f t="shared" si="16"/>
        <v>4374.3887591264029</v>
      </c>
      <c r="AQ67" s="65">
        <f t="shared" si="17"/>
        <v>43</v>
      </c>
      <c r="AR67" s="65"/>
      <c r="AS67" s="65">
        <f t="shared" si="31"/>
        <v>30</v>
      </c>
      <c r="AT67" s="65">
        <f t="shared" si="31"/>
        <v>38</v>
      </c>
      <c r="AU67" s="65">
        <f t="shared" si="24"/>
        <v>37.732863591833393</v>
      </c>
      <c r="AV67" s="65">
        <f>$Y$18/1000*CURVES!O26+VLOOKUP($B67,$AU$10:$AV$14,2,FALSE)</f>
        <v>88.726557084859891</v>
      </c>
      <c r="AW67" s="65">
        <f t="shared" si="25"/>
        <v>55.556384824330976</v>
      </c>
      <c r="AX67" s="65">
        <f>CHOOSE(AX$18,CURVES!B26,CURVES!C26)</f>
        <v>70.111342351716957</v>
      </c>
      <c r="AY67" s="65">
        <f t="shared" si="26"/>
        <v>61.81942896618051</v>
      </c>
    </row>
    <row r="68" spans="1:51">
      <c r="A68" s="75">
        <v>37622</v>
      </c>
      <c r="B68" s="2">
        <f t="shared" si="0"/>
        <v>2003</v>
      </c>
      <c r="C68" s="2">
        <f t="shared" si="19"/>
        <v>1</v>
      </c>
      <c r="D68" s="43">
        <v>5.4138502291509003E-2</v>
      </c>
      <c r="E68" s="44">
        <f t="shared" ca="1" si="10"/>
        <v>0.8934951167107148</v>
      </c>
      <c r="F68" s="44"/>
      <c r="G68" s="10"/>
      <c r="H68" s="10">
        <f t="shared" si="29"/>
        <v>11564.731225359606</v>
      </c>
      <c r="I68" s="10">
        <f t="shared" si="29"/>
        <v>10993.71913075872</v>
      </c>
      <c r="K68" s="46">
        <f t="shared" si="27"/>
        <v>2185.9180107526881</v>
      </c>
      <c r="L68" s="46">
        <f t="shared" si="27"/>
        <v>1282.3306451612902</v>
      </c>
      <c r="M68" s="46">
        <f t="shared" si="27"/>
        <v>142.8521505376344</v>
      </c>
      <c r="N68" s="46">
        <f t="shared" si="27"/>
        <v>3.168010752688172</v>
      </c>
      <c r="O68" s="46">
        <f t="shared" si="2"/>
        <v>3614.2688172043008</v>
      </c>
      <c r="P68" s="46">
        <f t="shared" si="5"/>
        <v>2792.6655547379</v>
      </c>
      <c r="Q68" s="46">
        <f t="shared" si="20"/>
        <v>6406.9343719422013</v>
      </c>
      <c r="R68" s="10">
        <f t="shared" si="11"/>
        <v>5157.7968534174051</v>
      </c>
      <c r="T68" s="65">
        <f t="shared" si="12"/>
        <v>48.72</v>
      </c>
      <c r="U68" s="65">
        <f t="shared" si="30"/>
        <v>23</v>
      </c>
      <c r="V68" s="65">
        <f t="shared" si="30"/>
        <v>34</v>
      </c>
      <c r="W68" s="65">
        <f t="shared" si="30"/>
        <v>38</v>
      </c>
      <c r="X68" s="65">
        <f t="shared" si="21"/>
        <v>39.003431946853418</v>
      </c>
      <c r="Y68" s="65">
        <f>$Y$18/1000*CURVES!K27+VLOOKUP($B68,$X$10:$Y$14,2,FALSE)</f>
        <v>86.01187124871629</v>
      </c>
      <c r="Z68" s="65">
        <f t="shared" si="22"/>
        <v>59.493551183162026</v>
      </c>
      <c r="AA68" s="65">
        <f>CHOOSE(AA$18,CURVES!F27,CURVES!G27)</f>
        <v>51.021505376344088</v>
      </c>
      <c r="AB68" s="65">
        <f t="shared" si="15"/>
        <v>55.715072431438607</v>
      </c>
      <c r="AD68" s="65"/>
      <c r="AH68" s="46">
        <f t="shared" si="28"/>
        <v>1826.0560878589888</v>
      </c>
      <c r="AI68" s="46">
        <f t="shared" si="28"/>
        <v>0</v>
      </c>
      <c r="AJ68" s="46">
        <f t="shared" si="28"/>
        <v>1744.0893186443859</v>
      </c>
      <c r="AK68" s="46">
        <f t="shared" si="28"/>
        <v>538.87289280137145</v>
      </c>
      <c r="AL68" s="46">
        <f t="shared" si="3"/>
        <v>4109.0182993047465</v>
      </c>
      <c r="AM68" s="46">
        <f t="shared" si="6"/>
        <v>2445.3687016129034</v>
      </c>
      <c r="AN68" s="46">
        <f t="shared" si="23"/>
        <v>6554.3870009176499</v>
      </c>
      <c r="AO68" s="10">
        <f t="shared" si="16"/>
        <v>4439.3321298410701</v>
      </c>
      <c r="AQ68" s="65">
        <f t="shared" si="17"/>
        <v>43</v>
      </c>
      <c r="AR68" s="65"/>
      <c r="AS68" s="65">
        <f t="shared" si="31"/>
        <v>30</v>
      </c>
      <c r="AT68" s="65">
        <f t="shared" si="31"/>
        <v>38</v>
      </c>
      <c r="AU68" s="65">
        <f t="shared" si="24"/>
        <v>36.826378040059808</v>
      </c>
      <c r="AV68" s="65">
        <f>$Y$18/1000*CURVES!O27+VLOOKUP($B68,$AU$10:$AV$14,2,FALSE)</f>
        <v>89.087398028620029</v>
      </c>
      <c r="AW68" s="65">
        <f t="shared" si="25"/>
        <v>56.32438183148976</v>
      </c>
      <c r="AX68" s="65">
        <f>CHOOSE(AX$18,CURVES!B27,CURVES!C27)</f>
        <v>56.682795698924721</v>
      </c>
      <c r="AY68" s="65">
        <f t="shared" si="26"/>
        <v>56.469111579317584</v>
      </c>
    </row>
    <row r="69" spans="1:51">
      <c r="A69" s="75">
        <v>37653</v>
      </c>
      <c r="B69" s="2">
        <f t="shared" si="0"/>
        <v>2003</v>
      </c>
      <c r="C69" s="2">
        <f t="shared" si="19"/>
        <v>2</v>
      </c>
      <c r="D69" s="43">
        <v>5.4251298338240002E-2</v>
      </c>
      <c r="E69" s="44">
        <f t="shared" ca="1" si="10"/>
        <v>0.88963019405337906</v>
      </c>
      <c r="F69" s="44"/>
      <c r="G69" s="10"/>
      <c r="H69" s="10">
        <f t="shared" si="29"/>
        <v>11595.838062584866</v>
      </c>
      <c r="I69" s="10">
        <f t="shared" si="29"/>
        <v>10979.067102283059</v>
      </c>
      <c r="K69" s="46">
        <f t="shared" si="27"/>
        <v>2261.8764367816093</v>
      </c>
      <c r="L69" s="46">
        <f t="shared" si="27"/>
        <v>1335.9798850574712</v>
      </c>
      <c r="M69" s="46">
        <f t="shared" si="27"/>
        <v>236.0028735632184</v>
      </c>
      <c r="N69" s="46">
        <f t="shared" si="27"/>
        <v>3.8491379310344827</v>
      </c>
      <c r="O69" s="46">
        <f t="shared" si="2"/>
        <v>3837.7083333333335</v>
      </c>
      <c r="P69" s="46">
        <f t="shared" si="5"/>
        <v>3011.7717013676738</v>
      </c>
      <c r="Q69" s="46">
        <f t="shared" si="20"/>
        <v>6849.4800347010078</v>
      </c>
      <c r="R69" s="10">
        <f t="shared" si="11"/>
        <v>4746.3580278838581</v>
      </c>
      <c r="T69" s="65">
        <f t="shared" si="12"/>
        <v>48.72</v>
      </c>
      <c r="U69" s="65">
        <f t="shared" si="30"/>
        <v>23</v>
      </c>
      <c r="V69" s="65">
        <f t="shared" si="30"/>
        <v>34</v>
      </c>
      <c r="W69" s="65">
        <f t="shared" si="30"/>
        <v>38</v>
      </c>
      <c r="X69" s="65">
        <f t="shared" si="21"/>
        <v>38.850404811599958</v>
      </c>
      <c r="Y69" s="65">
        <f>$Y$18/1000*CURVES!K28+VLOOKUP($B69,$X$10:$Y$14,2,FALSE)</f>
        <v>84.174371248716298</v>
      </c>
      <c r="Z69" s="65">
        <f t="shared" si="22"/>
        <v>58.77971898106653</v>
      </c>
      <c r="AA69" s="65">
        <f>CHOOSE(AA$18,CURVES!F28,CURVES!G28)</f>
        <v>50.142857142857139</v>
      </c>
      <c r="AB69" s="65">
        <f t="shared" si="15"/>
        <v>55.244516238473999</v>
      </c>
      <c r="AD69" s="65"/>
      <c r="AH69" s="46">
        <f t="shared" si="28"/>
        <v>1925.7468502510062</v>
      </c>
      <c r="AI69" s="46">
        <f t="shared" si="28"/>
        <v>0</v>
      </c>
      <c r="AJ69" s="46">
        <f t="shared" si="28"/>
        <v>2201.9273871825426</v>
      </c>
      <c r="AK69" s="46">
        <f t="shared" si="28"/>
        <v>548.47547775416388</v>
      </c>
      <c r="AL69" s="46">
        <f t="shared" si="3"/>
        <v>4676.1497151877129</v>
      </c>
      <c r="AM69" s="46">
        <f t="shared" si="6"/>
        <v>2161.5456443452381</v>
      </c>
      <c r="AN69" s="46">
        <f t="shared" si="23"/>
        <v>6837.6953595329505</v>
      </c>
      <c r="AO69" s="10">
        <f t="shared" si="16"/>
        <v>4141.3717427501088</v>
      </c>
      <c r="AQ69" s="65">
        <f t="shared" si="17"/>
        <v>43</v>
      </c>
      <c r="AR69" s="65"/>
      <c r="AS69" s="65">
        <f t="shared" si="31"/>
        <v>30</v>
      </c>
      <c r="AT69" s="65">
        <f t="shared" si="31"/>
        <v>38</v>
      </c>
      <c r="AU69" s="65">
        <f t="shared" si="24"/>
        <v>36.29203825098557</v>
      </c>
      <c r="AV69" s="65">
        <f>$Y$18/1000*CURVES!O28+VLOOKUP($B69,$AU$10:$AV$14,2,FALSE)</f>
        <v>87.249898028620038</v>
      </c>
      <c r="AW69" s="65">
        <f t="shared" si="25"/>
        <v>52.400936652540693</v>
      </c>
      <c r="AX69" s="65">
        <f>CHOOSE(AX$18,CURVES!B28,CURVES!C28)</f>
        <v>55.464285714285708</v>
      </c>
      <c r="AY69" s="65">
        <f t="shared" si="26"/>
        <v>53.556450789060797</v>
      </c>
    </row>
    <row r="70" spans="1:51">
      <c r="A70" s="75">
        <v>37681</v>
      </c>
      <c r="B70" s="2">
        <f t="shared" si="0"/>
        <v>2003</v>
      </c>
      <c r="C70" s="2">
        <f t="shared" si="19"/>
        <v>3</v>
      </c>
      <c r="D70" s="43">
        <v>5.4353178642157003E-2</v>
      </c>
      <c r="E70" s="44">
        <f t="shared" ca="1" si="10"/>
        <v>0.88539829375910462</v>
      </c>
      <c r="F70" s="44"/>
      <c r="G70" s="10"/>
      <c r="H70" s="10">
        <f t="shared" si="29"/>
        <v>11528.707860589317</v>
      </c>
      <c r="I70" s="10">
        <f t="shared" si="29"/>
        <v>10732.590625329192</v>
      </c>
      <c r="K70" s="46">
        <f t="shared" si="27"/>
        <v>2263.9462365591398</v>
      </c>
      <c r="L70" s="46">
        <f t="shared" si="27"/>
        <v>1258.630376344086</v>
      </c>
      <c r="M70" s="46">
        <f t="shared" si="27"/>
        <v>620.64650537634407</v>
      </c>
      <c r="N70" s="46">
        <f t="shared" si="27"/>
        <v>2.581989247311828</v>
      </c>
      <c r="O70" s="46">
        <f t="shared" si="2"/>
        <v>4145.8051075268813</v>
      </c>
      <c r="P70" s="46">
        <f t="shared" si="5"/>
        <v>2834.3973290285558</v>
      </c>
      <c r="Q70" s="46">
        <f t="shared" si="20"/>
        <v>6980.2024365554371</v>
      </c>
      <c r="R70" s="10">
        <f t="shared" si="11"/>
        <v>4548.5054240338795</v>
      </c>
      <c r="T70" s="65">
        <f t="shared" si="12"/>
        <v>48.72</v>
      </c>
      <c r="U70" s="65">
        <f t="shared" si="30"/>
        <v>23</v>
      </c>
      <c r="V70" s="65">
        <f t="shared" si="30"/>
        <v>34</v>
      </c>
      <c r="W70" s="65">
        <f t="shared" si="30"/>
        <v>38</v>
      </c>
      <c r="X70" s="65">
        <f t="shared" si="21"/>
        <v>38.701302138870133</v>
      </c>
      <c r="Y70" s="65">
        <f>$Y$18/1000*CURVES!K29+VLOOKUP($B70,$X$10:$Y$14,2,FALSE)</f>
        <v>81.549371248716298</v>
      </c>
      <c r="Z70" s="65">
        <f t="shared" si="22"/>
        <v>56.100289309063271</v>
      </c>
      <c r="AA70" s="65">
        <f>CHOOSE(AA$18,CURVES!F29,CURVES!G29)</f>
        <v>49.462365591397841</v>
      </c>
      <c r="AB70" s="65">
        <f t="shared" si="15"/>
        <v>53.481380720240637</v>
      </c>
      <c r="AD70" s="65"/>
      <c r="AH70" s="46">
        <f t="shared" si="28"/>
        <v>1891.2387324311178</v>
      </c>
      <c r="AI70" s="46">
        <f t="shared" si="28"/>
        <v>0</v>
      </c>
      <c r="AJ70" s="46">
        <f t="shared" si="28"/>
        <v>1966.5504926356311</v>
      </c>
      <c r="AK70" s="46">
        <f t="shared" si="28"/>
        <v>526.07330501492243</v>
      </c>
      <c r="AL70" s="46">
        <f t="shared" si="3"/>
        <v>4383.8625300816711</v>
      </c>
      <c r="AM70" s="46">
        <f t="shared" si="6"/>
        <v>2044.2222728494623</v>
      </c>
      <c r="AN70" s="46">
        <f t="shared" si="23"/>
        <v>6428.0848029311337</v>
      </c>
      <c r="AO70" s="10">
        <f t="shared" si="16"/>
        <v>4304.5058223980586</v>
      </c>
      <c r="AQ70" s="65">
        <f t="shared" si="17"/>
        <v>43</v>
      </c>
      <c r="AR70" s="65"/>
      <c r="AS70" s="65">
        <f t="shared" si="31"/>
        <v>30</v>
      </c>
      <c r="AT70" s="65">
        <f t="shared" si="31"/>
        <v>38</v>
      </c>
      <c r="AU70" s="65">
        <f t="shared" si="24"/>
        <v>36.56833779894724</v>
      </c>
      <c r="AV70" s="65">
        <f>$Y$18/1000*CURVES!O29+VLOOKUP($B70,$AU$10:$AV$14,2,FALSE)</f>
        <v>84.624898028620038</v>
      </c>
      <c r="AW70" s="65">
        <f t="shared" si="25"/>
        <v>51.851006554846855</v>
      </c>
      <c r="AX70" s="65">
        <f>CHOOSE(AX$18,CURVES!B29,CURVES!C29)</f>
        <v>53.153225806451609</v>
      </c>
      <c r="AY70" s="65">
        <f t="shared" si="26"/>
        <v>52.373285895059702</v>
      </c>
    </row>
    <row r="71" spans="1:51">
      <c r="A71" s="75">
        <v>37712</v>
      </c>
      <c r="B71" s="2">
        <f t="shared" si="0"/>
        <v>2003</v>
      </c>
      <c r="C71" s="2">
        <f t="shared" si="19"/>
        <v>4</v>
      </c>
      <c r="D71" s="43">
        <v>5.4454190075276E-2</v>
      </c>
      <c r="E71" s="44">
        <f t="shared" ca="1" si="10"/>
        <v>0.88130307805541108</v>
      </c>
      <c r="F71" s="44"/>
      <c r="G71" s="10"/>
      <c r="H71" s="10">
        <f t="shared" si="29"/>
        <v>11579.864342802468</v>
      </c>
      <c r="I71" s="10">
        <f t="shared" si="29"/>
        <v>10484.633457669597</v>
      </c>
      <c r="K71" s="46">
        <f t="shared" si="27"/>
        <v>2319.8402777777778</v>
      </c>
      <c r="L71" s="46">
        <f t="shared" si="27"/>
        <v>1179.1659722222223</v>
      </c>
      <c r="M71" s="46">
        <f t="shared" si="27"/>
        <v>811.58611111111111</v>
      </c>
      <c r="N71" s="46">
        <f t="shared" si="27"/>
        <v>3.0416666666666665</v>
      </c>
      <c r="O71" s="46">
        <f t="shared" si="2"/>
        <v>4313.6340277777781</v>
      </c>
      <c r="P71" s="46">
        <f t="shared" si="5"/>
        <v>2923.3945906815438</v>
      </c>
      <c r="Q71" s="46">
        <f t="shared" si="20"/>
        <v>7237.0286184593224</v>
      </c>
      <c r="R71" s="10">
        <f t="shared" si="11"/>
        <v>4342.8357243431456</v>
      </c>
      <c r="T71" s="65">
        <f t="shared" si="12"/>
        <v>48.72</v>
      </c>
      <c r="U71" s="65">
        <f t="shared" si="30"/>
        <v>23</v>
      </c>
      <c r="V71" s="65">
        <f t="shared" si="30"/>
        <v>34</v>
      </c>
      <c r="W71" s="65">
        <f t="shared" si="30"/>
        <v>38</v>
      </c>
      <c r="X71" s="65">
        <f t="shared" si="21"/>
        <v>38.912189982891782</v>
      </c>
      <c r="Y71" s="65">
        <f>$Y$18/1000*CURVES!K30+VLOOKUP($B71,$X$10:$Y$14,2,FALSE)</f>
        <v>78.892871248716304</v>
      </c>
      <c r="Z71" s="65">
        <f t="shared" si="22"/>
        <v>55.062368945311931</v>
      </c>
      <c r="AA71" s="65">
        <f>CHOOSE(AA$18,CURVES!F30,CURVES!G30)</f>
        <v>49.55555555555555</v>
      </c>
      <c r="AB71" s="65">
        <f t="shared" si="15"/>
        <v>52.997130078227116</v>
      </c>
      <c r="AD71" s="65"/>
      <c r="AH71" s="46">
        <f t="shared" si="28"/>
        <v>1937.9310849074075</v>
      </c>
      <c r="AI71" s="46">
        <f t="shared" si="28"/>
        <v>0</v>
      </c>
      <c r="AJ71" s="46">
        <f t="shared" si="28"/>
        <v>2070.9500209392572</v>
      </c>
      <c r="AK71" s="46">
        <f t="shared" si="28"/>
        <v>513.91932921853174</v>
      </c>
      <c r="AL71" s="46">
        <f t="shared" si="3"/>
        <v>4522.8004350651963</v>
      </c>
      <c r="AM71" s="46">
        <f t="shared" si="6"/>
        <v>2152.9968589041096</v>
      </c>
      <c r="AN71" s="46">
        <f t="shared" si="23"/>
        <v>6675.7972939693063</v>
      </c>
      <c r="AO71" s="10">
        <f t="shared" si="16"/>
        <v>3808.8361637002913</v>
      </c>
      <c r="AQ71" s="65">
        <f t="shared" si="17"/>
        <v>43</v>
      </c>
      <c r="AR71" s="65"/>
      <c r="AS71" s="65">
        <f t="shared" si="31"/>
        <v>30</v>
      </c>
      <c r="AT71" s="65">
        <f t="shared" si="31"/>
        <v>38</v>
      </c>
      <c r="AU71" s="65">
        <f t="shared" si="24"/>
        <v>36.479272998726103</v>
      </c>
      <c r="AV71" s="65">
        <f>$Y$18/1000*CURVES!O30+VLOOKUP($B71,$AU$10:$AV$14,2,FALSE)</f>
        <v>81.96839802862003</v>
      </c>
      <c r="AW71" s="65">
        <f t="shared" si="25"/>
        <v>51.149871728878054</v>
      </c>
      <c r="AX71" s="65">
        <f>CHOOSE(AX$18,CURVES!B30,CURVES!C30)</f>
        <v>52.266666666666666</v>
      </c>
      <c r="AY71" s="65">
        <f t="shared" si="26"/>
        <v>51.555578706013726</v>
      </c>
    </row>
    <row r="72" spans="1:51">
      <c r="A72" s="75">
        <v>37742</v>
      </c>
      <c r="B72" s="2">
        <f t="shared" si="0"/>
        <v>2003</v>
      </c>
      <c r="C72" s="2">
        <f t="shared" si="19"/>
        <v>5</v>
      </c>
      <c r="D72" s="43">
        <v>5.4536343531129003E-2</v>
      </c>
      <c r="E72" s="44">
        <f t="shared" ca="1" si="10"/>
        <v>0.87712261816333148</v>
      </c>
      <c r="F72" s="44"/>
      <c r="G72" s="10"/>
      <c r="H72" s="10">
        <f t="shared" si="29"/>
        <v>12236.429081985945</v>
      </c>
      <c r="I72" s="10">
        <f t="shared" si="29"/>
        <v>11420.578226249285</v>
      </c>
      <c r="K72" s="46">
        <f t="shared" si="27"/>
        <v>2226.0672043010754</v>
      </c>
      <c r="L72" s="46">
        <f t="shared" si="27"/>
        <v>1023.6263440860215</v>
      </c>
      <c r="M72" s="46">
        <f t="shared" si="27"/>
        <v>950.16532258064512</v>
      </c>
      <c r="N72" s="46">
        <f t="shared" si="27"/>
        <v>3.3051075268817205</v>
      </c>
      <c r="O72" s="46">
        <f t="shared" si="2"/>
        <v>4203.1639784946237</v>
      </c>
      <c r="P72" s="46">
        <f t="shared" si="5"/>
        <v>2831.510502104928</v>
      </c>
      <c r="Q72" s="46">
        <f t="shared" si="20"/>
        <v>7034.6744805995513</v>
      </c>
      <c r="R72" s="10">
        <f t="shared" si="11"/>
        <v>5201.7546013863939</v>
      </c>
      <c r="T72" s="65">
        <f t="shared" si="12"/>
        <v>48.72</v>
      </c>
      <c r="U72" s="65">
        <f t="shared" si="30"/>
        <v>23</v>
      </c>
      <c r="V72" s="65">
        <f t="shared" si="30"/>
        <v>34</v>
      </c>
      <c r="W72" s="65">
        <f t="shared" si="30"/>
        <v>38</v>
      </c>
      <c r="X72" s="65">
        <f t="shared" si="21"/>
        <v>39.120199926194871</v>
      </c>
      <c r="Y72" s="65">
        <f>$Y$18/1000*CURVES!K31+VLOOKUP($B72,$X$10:$Y$14,2,FALSE)</f>
        <v>78.105371248716295</v>
      </c>
      <c r="Z72" s="65">
        <f t="shared" si="22"/>
        <v>54.812030775014932</v>
      </c>
      <c r="AA72" s="65">
        <f>CHOOSE(AA$18,CURVES!F31,CURVES!G31)</f>
        <v>48.182795698924728</v>
      </c>
      <c r="AB72" s="65">
        <f t="shared" si="15"/>
        <v>51.993916615264681</v>
      </c>
      <c r="AD72" s="65"/>
      <c r="AH72" s="46">
        <f t="shared" si="28"/>
        <v>1895.2591032026239</v>
      </c>
      <c r="AI72" s="46">
        <f t="shared" si="28"/>
        <v>0</v>
      </c>
      <c r="AJ72" s="46">
        <f t="shared" si="28"/>
        <v>1877.6303324734643</v>
      </c>
      <c r="AK72" s="46">
        <f t="shared" si="28"/>
        <v>570.53181663934993</v>
      </c>
      <c r="AL72" s="46">
        <f t="shared" si="3"/>
        <v>4343.4212523154383</v>
      </c>
      <c r="AM72" s="46">
        <f t="shared" si="6"/>
        <v>2186.8418319892476</v>
      </c>
      <c r="AN72" s="46">
        <f t="shared" si="23"/>
        <v>6530.2630843046863</v>
      </c>
      <c r="AO72" s="10">
        <f t="shared" si="16"/>
        <v>4890.3151419445985</v>
      </c>
      <c r="AQ72" s="65">
        <f t="shared" si="17"/>
        <v>43</v>
      </c>
      <c r="AR72" s="65"/>
      <c r="AS72" s="65">
        <f t="shared" si="31"/>
        <v>30</v>
      </c>
      <c r="AT72" s="65">
        <f t="shared" si="31"/>
        <v>38</v>
      </c>
      <c r="AU72" s="65">
        <f t="shared" si="24"/>
        <v>36.723414833221909</v>
      </c>
      <c r="AV72" s="65">
        <f>$Y$18/1000*CURVES!O31+VLOOKUP($B72,$AU$10:$AV$14,2,FALSE)</f>
        <v>81.180898028620035</v>
      </c>
      <c r="AW72" s="65">
        <f t="shared" si="25"/>
        <v>51.611250551559941</v>
      </c>
      <c r="AX72" s="65">
        <f>CHOOSE(AX$18,CURVES!B31,CURVES!C31)</f>
        <v>51.9489247311828</v>
      </c>
      <c r="AY72" s="65">
        <f t="shared" si="26"/>
        <v>51.75584333144721</v>
      </c>
    </row>
    <row r="73" spans="1:51">
      <c r="A73" s="75">
        <v>37773</v>
      </c>
      <c r="B73" s="2">
        <f t="shared" si="0"/>
        <v>2003</v>
      </c>
      <c r="C73" s="2">
        <f t="shared" si="19"/>
        <v>6</v>
      </c>
      <c r="D73" s="43">
        <v>5.4621235437872E-2</v>
      </c>
      <c r="E73" s="44">
        <f t="shared" ca="1" si="10"/>
        <v>0.87307307995203887</v>
      </c>
      <c r="F73" s="44"/>
      <c r="G73" s="10"/>
      <c r="H73" s="10">
        <f t="shared" si="29"/>
        <v>13522.74681675092</v>
      </c>
      <c r="I73" s="10">
        <f t="shared" si="29"/>
        <v>12878.144708097037</v>
      </c>
      <c r="K73" s="46">
        <f t="shared" si="27"/>
        <v>2252.1333333333332</v>
      </c>
      <c r="L73" s="46">
        <f t="shared" si="27"/>
        <v>1398.3916666666667</v>
      </c>
      <c r="M73" s="46">
        <f t="shared" si="27"/>
        <v>957.04027777777776</v>
      </c>
      <c r="N73" s="46">
        <f t="shared" si="27"/>
        <v>3.526388888888889</v>
      </c>
      <c r="O73" s="46">
        <f t="shared" si="2"/>
        <v>4611.0916666666662</v>
      </c>
      <c r="P73" s="46">
        <f t="shared" si="5"/>
        <v>3175.7411781346573</v>
      </c>
      <c r="Q73" s="46">
        <f t="shared" si="20"/>
        <v>7786.8328448013235</v>
      </c>
      <c r="R73" s="10">
        <f t="shared" si="11"/>
        <v>5735.913971949597</v>
      </c>
      <c r="T73" s="65">
        <f t="shared" si="12"/>
        <v>48.72</v>
      </c>
      <c r="U73" s="65">
        <f t="shared" si="30"/>
        <v>23</v>
      </c>
      <c r="V73" s="65">
        <f t="shared" si="30"/>
        <v>34</v>
      </c>
      <c r="W73" s="65">
        <f t="shared" si="30"/>
        <v>38</v>
      </c>
      <c r="X73" s="65">
        <f t="shared" si="21"/>
        <v>37.856613829094464</v>
      </c>
      <c r="Y73" s="65">
        <f>$Y$18/1000*CURVES!K32+VLOOKUP($B73,$X$10:$Y$14,2,FALSE)</f>
        <v>78.147371248716297</v>
      </c>
      <c r="Z73" s="65">
        <f t="shared" si="22"/>
        <v>54.288585592961468</v>
      </c>
      <c r="AA73" s="65">
        <f>CHOOSE(AA$18,CURVES!F32,CURVES!G32)</f>
        <v>58.666666666666664</v>
      </c>
      <c r="AB73" s="65">
        <f t="shared" si="15"/>
        <v>56.145626676499809</v>
      </c>
      <c r="AD73" s="65"/>
      <c r="AH73" s="46">
        <f t="shared" si="28"/>
        <v>1881.3705563400365</v>
      </c>
      <c r="AI73" s="46">
        <f t="shared" si="28"/>
        <v>0</v>
      </c>
      <c r="AJ73" s="46">
        <f t="shared" si="28"/>
        <v>1162.1616861734683</v>
      </c>
      <c r="AK73" s="46">
        <f t="shared" si="28"/>
        <v>631.24071210358352</v>
      </c>
      <c r="AL73" s="46">
        <f t="shared" si="3"/>
        <v>3674.7729546170881</v>
      </c>
      <c r="AM73" s="46">
        <f t="shared" si="6"/>
        <v>2754.0461410958906</v>
      </c>
      <c r="AN73" s="46">
        <f t="shared" si="23"/>
        <v>6428.8190957129791</v>
      </c>
      <c r="AO73" s="10">
        <f t="shared" si="16"/>
        <v>6449.3256123840583</v>
      </c>
      <c r="AQ73" s="65">
        <f t="shared" si="17"/>
        <v>43</v>
      </c>
      <c r="AR73" s="65"/>
      <c r="AS73" s="65">
        <f t="shared" si="31"/>
        <v>30</v>
      </c>
      <c r="AT73" s="65">
        <f t="shared" si="31"/>
        <v>38</v>
      </c>
      <c r="AU73" s="65">
        <f t="shared" si="24"/>
        <v>38.029813894263803</v>
      </c>
      <c r="AV73" s="65">
        <f>$Y$18/1000*CURVES!O32+VLOOKUP($B73,$AU$10:$AV$14,2,FALSE)</f>
        <v>81.222898028620037</v>
      </c>
      <c r="AW73" s="65">
        <f t="shared" si="25"/>
        <v>56.533328289555904</v>
      </c>
      <c r="AX73" s="65">
        <f>CHOOSE(AX$18,CURVES!B32,CURVES!C32)</f>
        <v>56.805555555555557</v>
      </c>
      <c r="AY73" s="65">
        <f t="shared" si="26"/>
        <v>56.669658663130363</v>
      </c>
    </row>
    <row r="74" spans="1:51">
      <c r="A74" s="75">
        <v>37803</v>
      </c>
      <c r="B74" s="2">
        <f t="shared" si="0"/>
        <v>2003</v>
      </c>
      <c r="C74" s="2">
        <f t="shared" si="19"/>
        <v>7</v>
      </c>
      <c r="D74" s="43">
        <v>5.4703194533146003E-2</v>
      </c>
      <c r="E74" s="44">
        <f t="shared" ca="1" si="10"/>
        <v>0.86890850382602225</v>
      </c>
      <c r="F74" s="44"/>
      <c r="G74" s="10"/>
      <c r="H74" s="10">
        <f t="shared" si="29"/>
        <v>13346.851791321855</v>
      </c>
      <c r="I74" s="10">
        <f t="shared" si="29"/>
        <v>12225.103421219574</v>
      </c>
      <c r="K74" s="46">
        <f t="shared" si="27"/>
        <v>2248.4569892473119</v>
      </c>
      <c r="L74" s="46">
        <f t="shared" si="27"/>
        <v>1358.3225806451612</v>
      </c>
      <c r="M74" s="46">
        <f t="shared" si="27"/>
        <v>653.55107526881716</v>
      </c>
      <c r="N74" s="46">
        <f t="shared" si="27"/>
        <v>3.8373655913978495</v>
      </c>
      <c r="O74" s="46">
        <f t="shared" si="2"/>
        <v>4264.1680107526872</v>
      </c>
      <c r="P74" s="46">
        <f t="shared" si="5"/>
        <v>3349.3895623880758</v>
      </c>
      <c r="Q74" s="46">
        <f t="shared" si="20"/>
        <v>7613.5575731407625</v>
      </c>
      <c r="R74" s="10">
        <f t="shared" si="11"/>
        <v>5733.2942181810922</v>
      </c>
      <c r="T74" s="65">
        <f t="shared" si="12"/>
        <v>48.72</v>
      </c>
      <c r="U74" s="65">
        <f t="shared" si="30"/>
        <v>23</v>
      </c>
      <c r="V74" s="65">
        <f t="shared" si="30"/>
        <v>34</v>
      </c>
      <c r="W74" s="65">
        <f t="shared" si="30"/>
        <v>38</v>
      </c>
      <c r="X74" s="65">
        <f t="shared" si="21"/>
        <v>38.261344278923424</v>
      </c>
      <c r="Y74" s="65">
        <f>$Y$18/1000*CURVES!K33+VLOOKUP($B74,$X$10:$Y$14,2,FALSE)</f>
        <v>78.304871248716296</v>
      </c>
      <c r="Z74" s="65">
        <f t="shared" si="22"/>
        <v>55.877467882819886</v>
      </c>
      <c r="AA74" s="65">
        <f>CHOOSE(AA$18,CURVES!F33,CURVES!G33)</f>
        <v>80.193548387096769</v>
      </c>
      <c r="AB74" s="65">
        <f t="shared" si="15"/>
        <v>66.322720886576334</v>
      </c>
      <c r="AD74" s="65"/>
      <c r="AH74" s="46">
        <f t="shared" si="28"/>
        <v>1914.3216201186069</v>
      </c>
      <c r="AI74" s="46">
        <f t="shared" si="28"/>
        <v>0</v>
      </c>
      <c r="AJ74" s="46">
        <f t="shared" si="28"/>
        <v>1193.3319743059751</v>
      </c>
      <c r="AK74" s="46">
        <f t="shared" si="28"/>
        <v>610.72305844211053</v>
      </c>
      <c r="AL74" s="46">
        <f t="shared" si="3"/>
        <v>3718.3766528666924</v>
      </c>
      <c r="AM74" s="46">
        <f t="shared" si="6"/>
        <v>2586.7318602150535</v>
      </c>
      <c r="AN74" s="46">
        <f t="shared" si="23"/>
        <v>6305.1085130817464</v>
      </c>
      <c r="AO74" s="10">
        <f t="shared" si="16"/>
        <v>5919.9949081378272</v>
      </c>
      <c r="AQ74" s="65">
        <f t="shared" si="17"/>
        <v>43</v>
      </c>
      <c r="AR74" s="65"/>
      <c r="AS74" s="65">
        <f t="shared" si="31"/>
        <v>30</v>
      </c>
      <c r="AT74" s="65">
        <f t="shared" si="31"/>
        <v>38</v>
      </c>
      <c r="AU74" s="65">
        <f t="shared" si="24"/>
        <v>38.006710537547619</v>
      </c>
      <c r="AV74" s="65">
        <f>$Y$18/1000*CURVES!O33+VLOOKUP($B74,$AU$10:$AV$14,2,FALSE)</f>
        <v>81.380398028620036</v>
      </c>
      <c r="AW74" s="65">
        <f t="shared" si="25"/>
        <v>55.801186095800944</v>
      </c>
      <c r="AX74" s="65">
        <f>CHOOSE(AX$18,CURVES!B33,CURVES!C33)</f>
        <v>79.51612903225805</v>
      </c>
      <c r="AY74" s="65">
        <f t="shared" si="26"/>
        <v>67.285125052662522</v>
      </c>
    </row>
    <row r="75" spans="1:51">
      <c r="A75" s="75">
        <v>37834</v>
      </c>
      <c r="B75" s="2">
        <f t="shared" si="0"/>
        <v>2003</v>
      </c>
      <c r="C75" s="2">
        <f t="shared" si="19"/>
        <v>8</v>
      </c>
      <c r="D75" s="43">
        <v>5.4787606551798998E-2</v>
      </c>
      <c r="E75" s="44">
        <f t="shared" ca="1" si="10"/>
        <v>0.86474653867230933</v>
      </c>
      <c r="F75" s="44"/>
      <c r="G75" s="10"/>
      <c r="H75" s="10">
        <f t="shared" si="29"/>
        <v>14312.787905366988</v>
      </c>
      <c r="I75" s="10">
        <f t="shared" si="29"/>
        <v>12679.455111067624</v>
      </c>
      <c r="K75" s="46">
        <f t="shared" si="27"/>
        <v>2226.0658602150538</v>
      </c>
      <c r="L75" s="46">
        <f t="shared" si="27"/>
        <v>1361.989247311828</v>
      </c>
      <c r="M75" s="46">
        <f t="shared" si="27"/>
        <v>483.36424731182797</v>
      </c>
      <c r="N75" s="46">
        <f t="shared" si="27"/>
        <v>3.924731182795699</v>
      </c>
      <c r="O75" s="46">
        <f t="shared" si="2"/>
        <v>4075.3440860215055</v>
      </c>
      <c r="P75" s="46">
        <f t="shared" si="5"/>
        <v>3426.252928840011</v>
      </c>
      <c r="Q75" s="46">
        <f t="shared" si="20"/>
        <v>7501.5970148615161</v>
      </c>
      <c r="R75" s="10">
        <f t="shared" si="11"/>
        <v>6811.1908905054715</v>
      </c>
      <c r="T75" s="65">
        <f t="shared" si="12"/>
        <v>48.72</v>
      </c>
      <c r="U75" s="65">
        <f t="shared" si="30"/>
        <v>23</v>
      </c>
      <c r="V75" s="65">
        <f t="shared" si="30"/>
        <v>34</v>
      </c>
      <c r="W75" s="65">
        <f t="shared" si="30"/>
        <v>38</v>
      </c>
      <c r="X75" s="65">
        <f t="shared" si="21"/>
        <v>38.368099058856423</v>
      </c>
      <c r="Y75" s="65">
        <f>$Y$18/1000*CURVES!K34+VLOOKUP($B75,$X$10:$Y$14,2,FALSE)</f>
        <v>78.304871248716296</v>
      </c>
      <c r="Z75" s="65">
        <f t="shared" si="22"/>
        <v>56.608679353004597</v>
      </c>
      <c r="AA75" s="65">
        <f>CHOOSE(AA$18,CURVES!F34,CURVES!G34)</f>
        <v>85.430107526881713</v>
      </c>
      <c r="AB75" s="65">
        <f t="shared" si="15"/>
        <v>70.324263649175023</v>
      </c>
      <c r="AD75" s="65"/>
      <c r="AH75" s="46">
        <f t="shared" si="28"/>
        <v>1859.5945026415061</v>
      </c>
      <c r="AI75" s="46">
        <f t="shared" si="28"/>
        <v>0</v>
      </c>
      <c r="AJ75" s="46">
        <f t="shared" si="28"/>
        <v>1584.5088037693729</v>
      </c>
      <c r="AK75" s="46">
        <f t="shared" si="28"/>
        <v>621.50165686237608</v>
      </c>
      <c r="AL75" s="46">
        <f t="shared" si="3"/>
        <v>4065.6049632732547</v>
      </c>
      <c r="AM75" s="46">
        <f t="shared" si="6"/>
        <v>2208.289016129032</v>
      </c>
      <c r="AN75" s="46">
        <f t="shared" si="23"/>
        <v>6273.8939794022863</v>
      </c>
      <c r="AO75" s="10">
        <f t="shared" si="16"/>
        <v>6405.5611316653358</v>
      </c>
      <c r="AQ75" s="65">
        <f t="shared" si="17"/>
        <v>43</v>
      </c>
      <c r="AR75" s="65"/>
      <c r="AS75" s="65">
        <f t="shared" si="31"/>
        <v>30</v>
      </c>
      <c r="AT75" s="65">
        <f t="shared" si="31"/>
        <v>38</v>
      </c>
      <c r="AU75" s="65">
        <f t="shared" si="24"/>
        <v>37.169103258318607</v>
      </c>
      <c r="AV75" s="65">
        <f>$Y$18/1000*CURVES!O34+VLOOKUP($B75,$AU$10:$AV$14,2,FALSE)</f>
        <v>81.380398028620036</v>
      </c>
      <c r="AW75" s="65">
        <f t="shared" si="25"/>
        <v>52.730621663097409</v>
      </c>
      <c r="AX75" s="65">
        <f>CHOOSE(AX$18,CURVES!B34,CURVES!C34)</f>
        <v>88.056451612903231</v>
      </c>
      <c r="AY75" s="65">
        <f t="shared" si="26"/>
        <v>70.576953487938908</v>
      </c>
    </row>
    <row r="76" spans="1:51">
      <c r="A76" s="75">
        <v>37865</v>
      </c>
      <c r="B76" s="2">
        <f t="shared" si="0"/>
        <v>2003</v>
      </c>
      <c r="C76" s="2">
        <f t="shared" si="19"/>
        <v>9</v>
      </c>
      <c r="D76" s="43">
        <v>5.4872018572824997E-2</v>
      </c>
      <c r="E76" s="44">
        <f t="shared" ca="1" si="10"/>
        <v>0.86072006987193539</v>
      </c>
      <c r="F76" s="44"/>
      <c r="G76" s="10"/>
      <c r="H76" s="10">
        <f t="shared" si="29"/>
        <v>12964.690024017023</v>
      </c>
      <c r="I76" s="10">
        <f t="shared" si="29"/>
        <v>11943.232634831382</v>
      </c>
      <c r="K76" s="46">
        <f t="shared" si="27"/>
        <v>2263.6333333333332</v>
      </c>
      <c r="L76" s="46">
        <f t="shared" si="27"/>
        <v>1380.7361111111111</v>
      </c>
      <c r="M76" s="46">
        <f t="shared" si="27"/>
        <v>542.60277777777776</v>
      </c>
      <c r="N76" s="46">
        <f t="shared" si="27"/>
        <v>3.4194444444444443</v>
      </c>
      <c r="O76" s="46">
        <f t="shared" si="2"/>
        <v>4190.3916666666673</v>
      </c>
      <c r="P76" s="46">
        <f t="shared" si="5"/>
        <v>3348.1339323547272</v>
      </c>
      <c r="Q76" s="46">
        <f t="shared" si="20"/>
        <v>7538.5255990213946</v>
      </c>
      <c r="R76" s="10">
        <f t="shared" si="11"/>
        <v>5426.164424995628</v>
      </c>
      <c r="T76" s="65">
        <f t="shared" si="12"/>
        <v>48.72</v>
      </c>
      <c r="U76" s="65">
        <f t="shared" si="30"/>
        <v>23</v>
      </c>
      <c r="V76" s="65">
        <f t="shared" si="30"/>
        <v>34</v>
      </c>
      <c r="W76" s="65">
        <f t="shared" si="30"/>
        <v>38</v>
      </c>
      <c r="X76" s="65">
        <f t="shared" si="21"/>
        <v>38.330445615995849</v>
      </c>
      <c r="Y76" s="65">
        <f>$Y$18/1000*CURVES!K35+VLOOKUP($B76,$X$10:$Y$14,2,FALSE)</f>
        <v>78.525371248716297</v>
      </c>
      <c r="Z76" s="65">
        <f t="shared" si="22"/>
        <v>56.182476845664446</v>
      </c>
      <c r="AA76" s="65">
        <f>CHOOSE(AA$18,CURVES!F35,CURVES!G35)</f>
        <v>79.888888888888886</v>
      </c>
      <c r="AB76" s="65">
        <f t="shared" si="15"/>
        <v>66.104417858904014</v>
      </c>
      <c r="AD76" s="65"/>
      <c r="AH76" s="46">
        <f t="shared" si="28"/>
        <v>1890.9773416389726</v>
      </c>
      <c r="AI76" s="46">
        <f t="shared" si="28"/>
        <v>0</v>
      </c>
      <c r="AJ76" s="46">
        <f t="shared" si="28"/>
        <v>765.82060543821262</v>
      </c>
      <c r="AK76" s="46">
        <f t="shared" si="28"/>
        <v>570.92254509204622</v>
      </c>
      <c r="AL76" s="46">
        <f t="shared" si="3"/>
        <v>3227.7204921692314</v>
      </c>
      <c r="AM76" s="46">
        <f t="shared" si="6"/>
        <v>2371.5769315068492</v>
      </c>
      <c r="AN76" s="46">
        <f t="shared" si="23"/>
        <v>5599.2974236760801</v>
      </c>
      <c r="AO76" s="10">
        <f t="shared" si="16"/>
        <v>6343.9352111553007</v>
      </c>
      <c r="AQ76" s="65">
        <f t="shared" si="17"/>
        <v>43</v>
      </c>
      <c r="AR76" s="65"/>
      <c r="AS76" s="65">
        <f t="shared" si="31"/>
        <v>30</v>
      </c>
      <c r="AT76" s="65">
        <f t="shared" si="31"/>
        <v>38</v>
      </c>
      <c r="AU76" s="65">
        <f t="shared" si="24"/>
        <v>39.031167931908605</v>
      </c>
      <c r="AV76" s="65">
        <f>$Y$18/1000*CURVES!O35+VLOOKUP($B76,$AU$10:$AV$14,2,FALSE)</f>
        <v>81.600898028620037</v>
      </c>
      <c r="AW76" s="65">
        <f t="shared" si="25"/>
        <v>57.061535358176272</v>
      </c>
      <c r="AX76" s="65">
        <f>CHOOSE(AX$18,CURVES!B35,CURVES!C35)</f>
        <v>80.111111111111114</v>
      </c>
      <c r="AY76" s="65">
        <f t="shared" si="26"/>
        <v>69.304871789117286</v>
      </c>
    </row>
    <row r="77" spans="1:51">
      <c r="A77" s="75">
        <v>37895</v>
      </c>
      <c r="B77" s="2">
        <f t="shared" si="0"/>
        <v>2003</v>
      </c>
      <c r="C77" s="2">
        <f t="shared" si="19"/>
        <v>10</v>
      </c>
      <c r="D77" s="43">
        <v>5.4953513215956998E-2</v>
      </c>
      <c r="E77" s="44">
        <f t="shared" ca="1" si="10"/>
        <v>0.85658058746445842</v>
      </c>
      <c r="F77" s="44"/>
      <c r="G77" s="10"/>
      <c r="H77" s="10">
        <f t="shared" si="29"/>
        <v>12044.183558701743</v>
      </c>
      <c r="I77" s="10">
        <f t="shared" si="29"/>
        <v>10337.729363069049</v>
      </c>
      <c r="K77" s="46">
        <f t="shared" si="27"/>
        <v>2069.2916666666665</v>
      </c>
      <c r="L77" s="46">
        <f t="shared" si="27"/>
        <v>1227.5241935483871</v>
      </c>
      <c r="M77" s="46">
        <f t="shared" si="27"/>
        <v>369.34005376344084</v>
      </c>
      <c r="N77" s="46">
        <f t="shared" si="27"/>
        <v>3.278225806451613</v>
      </c>
      <c r="O77" s="46">
        <f t="shared" si="2"/>
        <v>3669.4341397849457</v>
      </c>
      <c r="P77" s="46">
        <f t="shared" si="5"/>
        <v>3171.075494984625</v>
      </c>
      <c r="Q77" s="46">
        <f t="shared" si="20"/>
        <v>6840.5096347695708</v>
      </c>
      <c r="R77" s="10">
        <f t="shared" si="11"/>
        <v>5203.6739239321723</v>
      </c>
      <c r="T77" s="65">
        <f t="shared" si="12"/>
        <v>48.72</v>
      </c>
      <c r="U77" s="65">
        <f t="shared" si="30"/>
        <v>23</v>
      </c>
      <c r="V77" s="65">
        <f t="shared" si="30"/>
        <v>34</v>
      </c>
      <c r="W77" s="65">
        <f t="shared" si="30"/>
        <v>38</v>
      </c>
      <c r="X77" s="65">
        <f t="shared" si="21"/>
        <v>38.624778497461044</v>
      </c>
      <c r="Y77" s="65">
        <f>$Y$18/1000*CURVES!K36+VLOOKUP($B77,$X$10:$Y$14,2,FALSE)</f>
        <v>78.7878712487163</v>
      </c>
      <c r="Z77" s="65">
        <f t="shared" si="22"/>
        <v>57.243303435857747</v>
      </c>
      <c r="AA77" s="65">
        <f>CHOOSE(AA$18,CURVES!F36,CURVES!G36)</f>
        <v>58.096774193548391</v>
      </c>
      <c r="AB77" s="65">
        <f t="shared" si="15"/>
        <v>57.612044372508841</v>
      </c>
      <c r="AD77" s="65"/>
      <c r="AH77" s="46">
        <f t="shared" si="28"/>
        <v>1913.8399491890309</v>
      </c>
      <c r="AI77" s="46">
        <f t="shared" si="28"/>
        <v>0</v>
      </c>
      <c r="AJ77" s="46">
        <f t="shared" si="28"/>
        <v>1075.3801160883429</v>
      </c>
      <c r="AK77" s="46">
        <f t="shared" si="28"/>
        <v>576.38556050292607</v>
      </c>
      <c r="AL77" s="46">
        <f t="shared" si="3"/>
        <v>3565.6056257802998</v>
      </c>
      <c r="AM77" s="46">
        <f t="shared" si="6"/>
        <v>2259.7132500000002</v>
      </c>
      <c r="AN77" s="46">
        <f t="shared" si="23"/>
        <v>5825.3188757803</v>
      </c>
      <c r="AO77" s="10">
        <f t="shared" si="16"/>
        <v>4512.4104872887492</v>
      </c>
      <c r="AQ77" s="65">
        <f t="shared" si="17"/>
        <v>43</v>
      </c>
      <c r="AR77" s="65"/>
      <c r="AS77" s="65">
        <f t="shared" si="31"/>
        <v>30</v>
      </c>
      <c r="AT77" s="65">
        <f t="shared" si="31"/>
        <v>38</v>
      </c>
      <c r="AU77" s="65">
        <f t="shared" si="24"/>
        <v>38.270966258930272</v>
      </c>
      <c r="AV77" s="65">
        <f>$Y$18/1000*CURVES!O36+VLOOKUP($B77,$AU$10:$AV$14,2,FALSE)</f>
        <v>81.86339802862004</v>
      </c>
      <c r="AW77" s="65">
        <f t="shared" si="25"/>
        <v>55.181009772469949</v>
      </c>
      <c r="AX77" s="65">
        <f>CHOOSE(AX$18,CURVES!B36,CURVES!C36)</f>
        <v>55.774193548387096</v>
      </c>
      <c r="AY77" s="65">
        <f t="shared" si="26"/>
        <v>55.439934009827176</v>
      </c>
    </row>
    <row r="78" spans="1:51">
      <c r="A78" s="75">
        <v>37926</v>
      </c>
      <c r="B78" s="2">
        <f t="shared" si="0"/>
        <v>2003</v>
      </c>
      <c r="C78" s="2">
        <f t="shared" si="19"/>
        <v>11</v>
      </c>
      <c r="D78" s="43">
        <v>5.5037480368084001E-2</v>
      </c>
      <c r="E78" s="44">
        <f t="shared" ca="1" si="10"/>
        <v>0.85257023596838988</v>
      </c>
      <c r="F78" s="44"/>
      <c r="G78" s="10"/>
      <c r="H78" s="10">
        <f t="shared" si="29"/>
        <v>11781.590652146519</v>
      </c>
      <c r="I78" s="10">
        <f t="shared" si="29"/>
        <v>10494.647003498003</v>
      </c>
      <c r="K78" s="46">
        <f t="shared" si="27"/>
        <v>2201.1583333333333</v>
      </c>
      <c r="L78" s="46">
        <f t="shared" si="27"/>
        <v>1270.0277777777778</v>
      </c>
      <c r="M78" s="46">
        <f t="shared" si="27"/>
        <v>241.3111111111111</v>
      </c>
      <c r="N78" s="46">
        <f t="shared" si="27"/>
        <v>3.1194444444444445</v>
      </c>
      <c r="O78" s="46">
        <f t="shared" si="2"/>
        <v>3715.6166666666668</v>
      </c>
      <c r="P78" s="46">
        <f t="shared" si="5"/>
        <v>3029.0331582980816</v>
      </c>
      <c r="Q78" s="46">
        <f t="shared" si="20"/>
        <v>6744.6498249647484</v>
      </c>
      <c r="R78" s="10">
        <f t="shared" si="11"/>
        <v>5036.9408271817701</v>
      </c>
      <c r="T78" s="65">
        <f t="shared" si="12"/>
        <v>48.72</v>
      </c>
      <c r="U78" s="65">
        <f t="shared" si="30"/>
        <v>23</v>
      </c>
      <c r="V78" s="65">
        <f t="shared" si="30"/>
        <v>34</v>
      </c>
      <c r="W78" s="65">
        <f t="shared" si="30"/>
        <v>38</v>
      </c>
      <c r="X78" s="65">
        <f t="shared" si="21"/>
        <v>38.963704424717896</v>
      </c>
      <c r="Y78" s="65">
        <f>$Y$18/1000*CURVES!K37+VLOOKUP($B78,$X$10:$Y$14,2,FALSE)</f>
        <v>76.425371248716303</v>
      </c>
      <c r="Z78" s="65">
        <f t="shared" si="22"/>
        <v>55.787799658690908</v>
      </c>
      <c r="AA78" s="65">
        <f>CHOOSE(AA$18,CURVES!F37,CURVES!G37)</f>
        <v>48.933333333333337</v>
      </c>
      <c r="AB78" s="65">
        <f t="shared" si="15"/>
        <v>52.857334469217889</v>
      </c>
      <c r="AD78" s="65"/>
      <c r="AH78" s="46">
        <f t="shared" si="28"/>
        <v>1838.7874362867092</v>
      </c>
      <c r="AI78" s="46">
        <f t="shared" si="28"/>
        <v>0</v>
      </c>
      <c r="AJ78" s="46">
        <f t="shared" si="28"/>
        <v>1347.8791847211178</v>
      </c>
      <c r="AK78" s="46">
        <f t="shared" si="28"/>
        <v>499.43911251442188</v>
      </c>
      <c r="AL78" s="46">
        <f t="shared" si="3"/>
        <v>3686.105733522249</v>
      </c>
      <c r="AM78" s="46">
        <f t="shared" si="6"/>
        <v>2451.2376410958905</v>
      </c>
      <c r="AN78" s="46">
        <f t="shared" si="23"/>
        <v>6137.3433746181399</v>
      </c>
      <c r="AO78" s="10">
        <f t="shared" si="16"/>
        <v>4357.3036288798639</v>
      </c>
      <c r="AQ78" s="65">
        <f t="shared" si="17"/>
        <v>43</v>
      </c>
      <c r="AR78" s="65"/>
      <c r="AS78" s="65">
        <f t="shared" si="31"/>
        <v>30</v>
      </c>
      <c r="AT78" s="65">
        <f t="shared" si="31"/>
        <v>38</v>
      </c>
      <c r="AU78" s="65">
        <f t="shared" si="24"/>
        <v>37.568895628282228</v>
      </c>
      <c r="AV78" s="65">
        <f>$Y$18/1000*CURVES!O37+VLOOKUP($B78,$AU$10:$AV$14,2,FALSE)</f>
        <v>79.500898028620028</v>
      </c>
      <c r="AW78" s="65">
        <f t="shared" si="25"/>
        <v>54.316419170033946</v>
      </c>
      <c r="AX78" s="65">
        <f>CHOOSE(AX$18,CURVES!B37,CURVES!C37)</f>
        <v>53.166666666666664</v>
      </c>
      <c r="AY78" s="65">
        <f t="shared" si="26"/>
        <v>53.839050016639263</v>
      </c>
    </row>
    <row r="79" spans="1:51">
      <c r="A79" s="75">
        <v>37956</v>
      </c>
      <c r="B79" s="2">
        <f t="shared" si="0"/>
        <v>2003</v>
      </c>
      <c r="C79" s="2">
        <f t="shared" si="19"/>
        <v>12</v>
      </c>
      <c r="D79" s="43">
        <v>5.5118738904637997E-2</v>
      </c>
      <c r="E79" s="44">
        <f t="shared" ca="1" si="10"/>
        <v>0.84844771866435109</v>
      </c>
      <c r="F79" s="44"/>
      <c r="G79" s="10"/>
      <c r="H79" s="10">
        <f t="shared" si="29"/>
        <v>11696.757113369589</v>
      </c>
      <c r="I79" s="10">
        <f t="shared" si="29"/>
        <v>10470.804993546504</v>
      </c>
      <c r="K79" s="46">
        <f t="shared" si="27"/>
        <v>2256.4126344086021</v>
      </c>
      <c r="L79" s="46">
        <f t="shared" si="27"/>
        <v>1157.2150537634409</v>
      </c>
      <c r="M79" s="46">
        <f t="shared" si="27"/>
        <v>239.86021505376345</v>
      </c>
      <c r="N79" s="46">
        <f t="shared" si="27"/>
        <v>2.9690860215053765</v>
      </c>
      <c r="O79" s="46">
        <f t="shared" si="2"/>
        <v>3656.4569892473123</v>
      </c>
      <c r="P79" s="46">
        <f t="shared" si="5"/>
        <v>2977.5968497309718</v>
      </c>
      <c r="Q79" s="46">
        <f t="shared" si="20"/>
        <v>6634.0538389782841</v>
      </c>
      <c r="R79" s="10">
        <f t="shared" si="11"/>
        <v>5062.703274391306</v>
      </c>
      <c r="T79" s="65">
        <f t="shared" si="12"/>
        <v>48.72</v>
      </c>
      <c r="U79" s="65">
        <f t="shared" si="30"/>
        <v>23</v>
      </c>
      <c r="V79" s="65">
        <f t="shared" si="30"/>
        <v>34</v>
      </c>
      <c r="W79" s="65">
        <f t="shared" si="30"/>
        <v>38</v>
      </c>
      <c r="X79" s="65">
        <f t="shared" si="21"/>
        <v>39.60567368670241</v>
      </c>
      <c r="Y79" s="65">
        <f>$Y$18/1000*CURVES!K38+VLOOKUP($B79,$X$10:$Y$14,2,FALSE)</f>
        <v>77.737871248716303</v>
      </c>
      <c r="Z79" s="65">
        <f t="shared" si="22"/>
        <v>56.720746022542599</v>
      </c>
      <c r="AA79" s="65">
        <f>CHOOSE(AA$18,CURVES!F38,CURVES!G38)</f>
        <v>49.182795698924735</v>
      </c>
      <c r="AB79" s="65">
        <f t="shared" si="15"/>
        <v>53.45809763071108</v>
      </c>
      <c r="AD79" s="65"/>
      <c r="AH79" s="46">
        <f t="shared" si="28"/>
        <v>1921.095004536046</v>
      </c>
      <c r="AI79" s="46">
        <f t="shared" si="28"/>
        <v>0</v>
      </c>
      <c r="AJ79" s="46">
        <f t="shared" si="28"/>
        <v>1326.4786927345147</v>
      </c>
      <c r="AK79" s="46">
        <f t="shared" si="28"/>
        <v>519.61972313456249</v>
      </c>
      <c r="AL79" s="46">
        <f t="shared" si="3"/>
        <v>3767.1934204051231</v>
      </c>
      <c r="AM79" s="46">
        <f t="shared" si="6"/>
        <v>2024.2479112903225</v>
      </c>
      <c r="AN79" s="46">
        <f t="shared" si="23"/>
        <v>5791.4413316954451</v>
      </c>
      <c r="AO79" s="10">
        <f t="shared" si="16"/>
        <v>4679.3636618510591</v>
      </c>
      <c r="AQ79" s="65">
        <f t="shared" si="17"/>
        <v>43</v>
      </c>
      <c r="AR79" s="65"/>
      <c r="AS79" s="65">
        <f t="shared" si="31"/>
        <v>30</v>
      </c>
      <c r="AT79" s="65">
        <f t="shared" si="31"/>
        <v>38</v>
      </c>
      <c r="AU79" s="65">
        <f t="shared" si="24"/>
        <v>37.732863591833393</v>
      </c>
      <c r="AV79" s="65">
        <f>$Y$18/1000*CURVES!O38+VLOOKUP($B79,$AU$10:$AV$14,2,FALSE)</f>
        <v>80.813398028620028</v>
      </c>
      <c r="AW79" s="65">
        <f t="shared" si="25"/>
        <v>52.790545584341238</v>
      </c>
      <c r="AX79" s="65">
        <f>CHOOSE(AX$18,CURVES!B38,CURVES!C38)</f>
        <v>52.94086021505376</v>
      </c>
      <c r="AY79" s="65">
        <f t="shared" si="26"/>
        <v>52.857720631649848</v>
      </c>
    </row>
    <row r="80" spans="1:51">
      <c r="A80" s="75">
        <v>37987</v>
      </c>
      <c r="B80" s="2">
        <f t="shared" si="0"/>
        <v>2004</v>
      </c>
      <c r="C80" s="2">
        <f t="shared" si="19"/>
        <v>1</v>
      </c>
      <c r="D80" s="43">
        <v>5.5209084886415002E-2</v>
      </c>
      <c r="E80" s="44">
        <f t="shared" ca="1" si="10"/>
        <v>0.84431060714694106</v>
      </c>
      <c r="F80" s="44"/>
      <c r="G80" s="10"/>
      <c r="H80" s="10">
        <f t="shared" si="29"/>
        <v>11911.673162120394</v>
      </c>
      <c r="I80" s="10">
        <f t="shared" si="29"/>
        <v>11323.530704681481</v>
      </c>
      <c r="K80" s="46">
        <f t="shared" ref="K80:N96" si="32">K68</f>
        <v>2185.9180107526881</v>
      </c>
      <c r="L80" s="46">
        <f t="shared" si="32"/>
        <v>1282.3306451612902</v>
      </c>
      <c r="M80" s="46">
        <f t="shared" si="32"/>
        <v>142.8521505376344</v>
      </c>
      <c r="N80" s="46">
        <f t="shared" si="32"/>
        <v>3.168010752688172</v>
      </c>
      <c r="O80" s="46">
        <f t="shared" si="2"/>
        <v>3614.2688172043008</v>
      </c>
      <c r="P80" s="46">
        <f t="shared" si="5"/>
        <v>2792.6655547379</v>
      </c>
      <c r="Q80" s="46">
        <f t="shared" si="20"/>
        <v>6406.9343719422013</v>
      </c>
      <c r="R80" s="10">
        <f t="shared" si="11"/>
        <v>5504.7387901781931</v>
      </c>
      <c r="T80" s="65">
        <f t="shared" si="12"/>
        <v>48.72</v>
      </c>
      <c r="U80" s="65">
        <f t="shared" si="30"/>
        <v>23</v>
      </c>
      <c r="V80" s="65">
        <f t="shared" si="30"/>
        <v>34</v>
      </c>
      <c r="W80" s="65">
        <f t="shared" si="30"/>
        <v>38</v>
      </c>
      <c r="X80" s="65">
        <f t="shared" si="21"/>
        <v>39.003431946853418</v>
      </c>
      <c r="Y80" s="65">
        <f>$Y$18/1000*CURVES!K39+VLOOKUP($B80,$X$10:$Y$14,2,FALSE)</f>
        <v>78.806151168326267</v>
      </c>
      <c r="Z80" s="65">
        <f t="shared" si="22"/>
        <v>56.352709542312162</v>
      </c>
      <c r="AA80" s="65">
        <f>CHOOSE(AA$18,CURVES!F39,CURVES!G39)</f>
        <v>42.556451612903224</v>
      </c>
      <c r="AB80" s="65">
        <f t="shared" si="15"/>
        <v>49.977048025269497</v>
      </c>
      <c r="AD80" s="65"/>
      <c r="AH80" s="46">
        <f t="shared" ref="AH80:AK96" si="33">AH68</f>
        <v>1826.0560878589888</v>
      </c>
      <c r="AI80" s="46">
        <f t="shared" si="33"/>
        <v>0</v>
      </c>
      <c r="AJ80" s="46">
        <f t="shared" si="33"/>
        <v>1744.0893186443859</v>
      </c>
      <c r="AK80" s="46">
        <f t="shared" si="33"/>
        <v>538.87289280137145</v>
      </c>
      <c r="AL80" s="46">
        <f t="shared" si="3"/>
        <v>4109.0182993047465</v>
      </c>
      <c r="AM80" s="46">
        <f t="shared" si="6"/>
        <v>2445.3687016129034</v>
      </c>
      <c r="AN80" s="46">
        <f t="shared" si="23"/>
        <v>6554.3870009176499</v>
      </c>
      <c r="AO80" s="10">
        <f t="shared" si="16"/>
        <v>4769.1437037638316</v>
      </c>
      <c r="AQ80" s="65">
        <f t="shared" si="17"/>
        <v>43</v>
      </c>
      <c r="AR80" s="65"/>
      <c r="AS80" s="65">
        <f t="shared" si="31"/>
        <v>30</v>
      </c>
      <c r="AT80" s="65">
        <f t="shared" si="31"/>
        <v>38</v>
      </c>
      <c r="AU80" s="65">
        <f t="shared" si="24"/>
        <v>36.826378040059808</v>
      </c>
      <c r="AV80" s="65">
        <f>$Y$18/1000*CURVES!O39+VLOOKUP($B80,$AU$10:$AV$14,2,FALSE)</f>
        <v>81.143403791954896</v>
      </c>
      <c r="AW80" s="65">
        <f t="shared" si="25"/>
        <v>53.360566165827279</v>
      </c>
      <c r="AX80" s="65">
        <f>CHOOSE(AX$18,CURVES!B39,CURVES!C39)</f>
        <v>48.828494623655914</v>
      </c>
      <c r="AY80" s="65">
        <f t="shared" si="26"/>
        <v>51.451788680778563</v>
      </c>
    </row>
    <row r="81" spans="1:51">
      <c r="A81" s="75">
        <v>38018</v>
      </c>
      <c r="B81" s="2">
        <f t="shared" si="0"/>
        <v>2004</v>
      </c>
      <c r="C81" s="2">
        <f t="shared" si="19"/>
        <v>2</v>
      </c>
      <c r="D81" s="43">
        <v>5.5306234951161E-2</v>
      </c>
      <c r="E81" s="44">
        <f t="shared" ca="1" si="10"/>
        <v>0.84041439998764544</v>
      </c>
      <c r="F81" s="44"/>
      <c r="G81" s="10"/>
      <c r="H81" s="10">
        <f t="shared" si="29"/>
        <v>11943.713204462412</v>
      </c>
      <c r="I81" s="10">
        <f t="shared" si="29"/>
        <v>11308.439115351552</v>
      </c>
      <c r="K81" s="46">
        <f t="shared" si="32"/>
        <v>2261.8764367816093</v>
      </c>
      <c r="L81" s="46">
        <f t="shared" si="32"/>
        <v>1335.9798850574712</v>
      </c>
      <c r="M81" s="46">
        <f t="shared" si="32"/>
        <v>236.0028735632184</v>
      </c>
      <c r="N81" s="46">
        <f t="shared" si="32"/>
        <v>3.8491379310344827</v>
      </c>
      <c r="O81" s="46">
        <f t="shared" si="2"/>
        <v>3837.7083333333335</v>
      </c>
      <c r="P81" s="46">
        <f t="shared" si="5"/>
        <v>3011.7717013676738</v>
      </c>
      <c r="Q81" s="46">
        <f t="shared" si="20"/>
        <v>6849.4800347010078</v>
      </c>
      <c r="R81" s="10">
        <f t="shared" si="11"/>
        <v>5094.2331697614045</v>
      </c>
      <c r="T81" s="65">
        <f t="shared" si="12"/>
        <v>48.72</v>
      </c>
      <c r="U81" s="65">
        <f t="shared" si="30"/>
        <v>23</v>
      </c>
      <c r="V81" s="65">
        <f t="shared" si="30"/>
        <v>34</v>
      </c>
      <c r="W81" s="65">
        <f t="shared" si="30"/>
        <v>38</v>
      </c>
      <c r="X81" s="65">
        <f t="shared" si="21"/>
        <v>38.850404811599958</v>
      </c>
      <c r="Y81" s="65">
        <f>$Y$18/1000*CURVES!K40+VLOOKUP($B81,$X$10:$Y$14,2,FALSE)</f>
        <v>77.798151168326257</v>
      </c>
      <c r="Z81" s="65">
        <f t="shared" si="22"/>
        <v>55.976043504603986</v>
      </c>
      <c r="AA81" s="65">
        <f>CHOOSE(AA$18,CURVES!F40,CURVES!G40)</f>
        <v>41.33620689655173</v>
      </c>
      <c r="AB81" s="65">
        <f t="shared" si="15"/>
        <v>49.731859642188148</v>
      </c>
      <c r="AD81" s="65"/>
      <c r="AH81" s="46">
        <f t="shared" si="33"/>
        <v>1925.7468502510062</v>
      </c>
      <c r="AI81" s="46">
        <f t="shared" si="33"/>
        <v>0</v>
      </c>
      <c r="AJ81" s="46">
        <f t="shared" si="33"/>
        <v>2201.9273871825426</v>
      </c>
      <c r="AK81" s="46">
        <f t="shared" si="33"/>
        <v>548.47547775416388</v>
      </c>
      <c r="AL81" s="46">
        <f t="shared" si="3"/>
        <v>4676.1497151877129</v>
      </c>
      <c r="AM81" s="46">
        <f t="shared" si="6"/>
        <v>2161.5456443452381</v>
      </c>
      <c r="AN81" s="46">
        <f t="shared" si="23"/>
        <v>6837.6953595329505</v>
      </c>
      <c r="AO81" s="10">
        <f t="shared" si="16"/>
        <v>4470.7437558186011</v>
      </c>
      <c r="AQ81" s="65">
        <f t="shared" si="17"/>
        <v>43</v>
      </c>
      <c r="AR81" s="65"/>
      <c r="AS81" s="65">
        <f t="shared" si="31"/>
        <v>30</v>
      </c>
      <c r="AT81" s="65">
        <f t="shared" si="31"/>
        <v>38</v>
      </c>
      <c r="AU81" s="65">
        <f t="shared" si="24"/>
        <v>36.29203825098557</v>
      </c>
      <c r="AV81" s="65">
        <f>$Y$18/1000*CURVES!O40+VLOOKUP($B81,$AU$10:$AV$14,2,FALSE)</f>
        <v>80.1354037919549</v>
      </c>
      <c r="AW81" s="65">
        <f t="shared" si="25"/>
        <v>50.151888805221382</v>
      </c>
      <c r="AX81" s="65">
        <f>CHOOSE(AX$18,CURVES!B40,CURVES!C40)</f>
        <v>47.272413793103446</v>
      </c>
      <c r="AY81" s="65">
        <f t="shared" si="26"/>
        <v>49.013500491931893</v>
      </c>
    </row>
    <row r="82" spans="1:51">
      <c r="A82" s="75">
        <v>38047</v>
      </c>
      <c r="B82" s="2">
        <f t="shared" si="0"/>
        <v>2004</v>
      </c>
      <c r="C82" s="2">
        <f t="shared" si="19"/>
        <v>3</v>
      </c>
      <c r="D82" s="43">
        <v>5.5397117272639997E-2</v>
      </c>
      <c r="E82" s="44">
        <f t="shared" ca="1" si="10"/>
        <v>0.83629002414363507</v>
      </c>
      <c r="F82" s="44"/>
      <c r="G82" s="10"/>
      <c r="H82" s="10">
        <f t="shared" si="29"/>
        <v>11874.569096406996</v>
      </c>
      <c r="I82" s="10">
        <f t="shared" si="29"/>
        <v>11054.568344089068</v>
      </c>
      <c r="K82" s="46">
        <f t="shared" si="32"/>
        <v>2263.9462365591398</v>
      </c>
      <c r="L82" s="46">
        <f t="shared" si="32"/>
        <v>1258.630376344086</v>
      </c>
      <c r="M82" s="46">
        <f t="shared" si="32"/>
        <v>620.64650537634407</v>
      </c>
      <c r="N82" s="46">
        <f t="shared" si="32"/>
        <v>2.581989247311828</v>
      </c>
      <c r="O82" s="46">
        <f t="shared" si="2"/>
        <v>4145.8051075268813</v>
      </c>
      <c r="P82" s="46">
        <f t="shared" si="5"/>
        <v>2834.3973290285558</v>
      </c>
      <c r="Q82" s="46">
        <f t="shared" si="20"/>
        <v>6980.2024365554371</v>
      </c>
      <c r="R82" s="10">
        <f t="shared" si="11"/>
        <v>4894.3666598515592</v>
      </c>
      <c r="T82" s="65">
        <f t="shared" si="12"/>
        <v>48.72</v>
      </c>
      <c r="U82" s="65">
        <f t="shared" si="30"/>
        <v>23</v>
      </c>
      <c r="V82" s="65">
        <f t="shared" si="30"/>
        <v>34</v>
      </c>
      <c r="W82" s="65">
        <f t="shared" si="30"/>
        <v>38</v>
      </c>
      <c r="X82" s="65">
        <f t="shared" si="21"/>
        <v>38.701302138870133</v>
      </c>
      <c r="Y82" s="65">
        <f>$Y$18/1000*CURVES!K41+VLOOKUP($B82,$X$10:$Y$14,2,FALSE)</f>
        <v>76.223151168326268</v>
      </c>
      <c r="Z82" s="65">
        <f t="shared" si="22"/>
        <v>53.937511924468446</v>
      </c>
      <c r="AA82" s="65">
        <f>CHOOSE(AA$18,CURVES!F41,CURVES!G41)</f>
        <v>41.314516129032256</v>
      </c>
      <c r="AB82" s="65">
        <f t="shared" si="15"/>
        <v>48.734664623902134</v>
      </c>
      <c r="AD82" s="65"/>
      <c r="AH82" s="46">
        <f t="shared" si="33"/>
        <v>1891.2387324311178</v>
      </c>
      <c r="AI82" s="46">
        <f t="shared" si="33"/>
        <v>0</v>
      </c>
      <c r="AJ82" s="46">
        <f t="shared" si="33"/>
        <v>1966.5504926356311</v>
      </c>
      <c r="AK82" s="46">
        <f t="shared" si="33"/>
        <v>526.07330501492243</v>
      </c>
      <c r="AL82" s="46">
        <f t="shared" si="3"/>
        <v>4383.8625300816711</v>
      </c>
      <c r="AM82" s="46">
        <f t="shared" si="6"/>
        <v>2044.2222728494623</v>
      </c>
      <c r="AN82" s="46">
        <f t="shared" si="23"/>
        <v>6428.0848029311337</v>
      </c>
      <c r="AO82" s="10">
        <f t="shared" si="16"/>
        <v>4626.4835411579343</v>
      </c>
      <c r="AQ82" s="65">
        <f t="shared" si="17"/>
        <v>43</v>
      </c>
      <c r="AR82" s="65"/>
      <c r="AS82" s="65">
        <f t="shared" si="31"/>
        <v>30</v>
      </c>
      <c r="AT82" s="65">
        <f t="shared" si="31"/>
        <v>38</v>
      </c>
      <c r="AU82" s="65">
        <f t="shared" si="24"/>
        <v>36.56833779894724</v>
      </c>
      <c r="AV82" s="65">
        <f>$Y$18/1000*CURVES!O41+VLOOKUP($B82,$AU$10:$AV$14,2,FALSE)</f>
        <v>78.560403791954911</v>
      </c>
      <c r="AW82" s="65">
        <f t="shared" si="25"/>
        <v>49.922411246566995</v>
      </c>
      <c r="AX82" s="65">
        <f>CHOOSE(AX$18,CURVES!B41,CURVES!C41)</f>
        <v>45.625806451612902</v>
      </c>
      <c r="AY82" s="65">
        <f t="shared" si="26"/>
        <v>48.124225125862942</v>
      </c>
    </row>
    <row r="83" spans="1:51">
      <c r="A83" s="75">
        <v>38078</v>
      </c>
      <c r="B83" s="2">
        <f t="shared" si="0"/>
        <v>2004</v>
      </c>
      <c r="C83" s="2">
        <f t="shared" si="19"/>
        <v>4</v>
      </c>
      <c r="D83" s="43">
        <v>5.5483670787007E-2</v>
      </c>
      <c r="E83" s="44">
        <f t="shared" ca="1" si="10"/>
        <v>0.83230987432817161</v>
      </c>
      <c r="F83" s="44"/>
      <c r="G83" s="10"/>
      <c r="H83" s="10">
        <f t="shared" si="29"/>
        <v>11927.260273086542</v>
      </c>
      <c r="I83" s="10">
        <f t="shared" si="29"/>
        <v>10799.172461399685</v>
      </c>
      <c r="K83" s="46">
        <f t="shared" si="32"/>
        <v>2319.8402777777778</v>
      </c>
      <c r="L83" s="46">
        <f t="shared" si="32"/>
        <v>1179.1659722222223</v>
      </c>
      <c r="M83" s="46">
        <f t="shared" si="32"/>
        <v>811.58611111111111</v>
      </c>
      <c r="N83" s="46">
        <f t="shared" si="32"/>
        <v>3.0416666666666665</v>
      </c>
      <c r="O83" s="46">
        <f t="shared" si="2"/>
        <v>4313.6340277777781</v>
      </c>
      <c r="P83" s="46">
        <f t="shared" si="5"/>
        <v>2923.3945906815438</v>
      </c>
      <c r="Q83" s="46">
        <f t="shared" si="20"/>
        <v>7237.0286184593224</v>
      </c>
      <c r="R83" s="10">
        <f t="shared" si="11"/>
        <v>4690.2316546272195</v>
      </c>
      <c r="T83" s="65">
        <f t="shared" si="12"/>
        <v>48.72</v>
      </c>
      <c r="U83" s="65">
        <f t="shared" si="30"/>
        <v>23</v>
      </c>
      <c r="V83" s="65">
        <f t="shared" si="30"/>
        <v>34</v>
      </c>
      <c r="W83" s="65">
        <f t="shared" si="30"/>
        <v>38</v>
      </c>
      <c r="X83" s="65">
        <f t="shared" si="21"/>
        <v>38.912189982891782</v>
      </c>
      <c r="Y83" s="65">
        <f>$Y$18/1000*CURVES!K42+VLOOKUP($B83,$X$10:$Y$14,2,FALSE)</f>
        <v>74.87915116832626</v>
      </c>
      <c r="Z83" s="65">
        <f t="shared" si="22"/>
        <v>53.441028449076605</v>
      </c>
      <c r="AA83" s="65">
        <f>CHOOSE(AA$18,CURVES!F42,CURVES!G42)</f>
        <v>40.983333333333327</v>
      </c>
      <c r="AB83" s="65">
        <f t="shared" si="15"/>
        <v>48.542210561502024</v>
      </c>
      <c r="AD83" s="65"/>
      <c r="AH83" s="46">
        <f t="shared" si="33"/>
        <v>1937.9310849074075</v>
      </c>
      <c r="AI83" s="46">
        <f t="shared" si="33"/>
        <v>0</v>
      </c>
      <c r="AJ83" s="46">
        <f t="shared" si="33"/>
        <v>2070.9500209392572</v>
      </c>
      <c r="AK83" s="46">
        <f t="shared" si="33"/>
        <v>513.91932921853174</v>
      </c>
      <c r="AL83" s="46">
        <f t="shared" si="3"/>
        <v>4522.8004350651963</v>
      </c>
      <c r="AM83" s="46">
        <f t="shared" si="6"/>
        <v>2152.9968589041096</v>
      </c>
      <c r="AN83" s="46">
        <f t="shared" si="23"/>
        <v>6675.7972939693063</v>
      </c>
      <c r="AO83" s="10">
        <f t="shared" si="16"/>
        <v>4123.3751674303785</v>
      </c>
      <c r="AQ83" s="65">
        <f t="shared" si="17"/>
        <v>43</v>
      </c>
      <c r="AR83" s="65"/>
      <c r="AS83" s="65">
        <f t="shared" si="31"/>
        <v>30</v>
      </c>
      <c r="AT83" s="65">
        <f t="shared" si="31"/>
        <v>38</v>
      </c>
      <c r="AU83" s="65">
        <f t="shared" si="24"/>
        <v>36.479272998726103</v>
      </c>
      <c r="AV83" s="65">
        <f>$Y$18/1000*CURVES!O42+VLOOKUP($B83,$AU$10:$AV$14,2,FALSE)</f>
        <v>74.538903791954908</v>
      </c>
      <c r="AW83" s="65">
        <f t="shared" si="25"/>
        <v>48.753801709011483</v>
      </c>
      <c r="AX83" s="65">
        <f>CHOOSE(AX$18,CURVES!B42,CURVES!C42)</f>
        <v>43.61</v>
      </c>
      <c r="AY83" s="65">
        <f t="shared" si="26"/>
        <v>46.789778603635973</v>
      </c>
    </row>
    <row r="84" spans="1:51">
      <c r="A84" s="75">
        <v>38108</v>
      </c>
      <c r="B84" s="2">
        <f t="shared" ref="B84:B147" si="34">YEAR(A84)</f>
        <v>2004</v>
      </c>
      <c r="C84" s="2">
        <f t="shared" si="19"/>
        <v>5</v>
      </c>
      <c r="D84" s="43">
        <v>5.5556493873767002E-2</v>
      </c>
      <c r="E84" s="44">
        <f t="shared" ref="E84:E147" ca="1" si="35">(1+D84/2)^(-2*(DATE($B85,$C85,20)-$E$17)/365.25)</f>
        <v>0.82825096832486977</v>
      </c>
      <c r="F84" s="44"/>
      <c r="G84" s="10"/>
      <c r="H84" s="10">
        <f t="shared" ref="H84:I103" si="36">(1+$I$17)*H72</f>
        <v>12603.521954445523</v>
      </c>
      <c r="I84" s="10">
        <f t="shared" si="36"/>
        <v>11763.195573036764</v>
      </c>
      <c r="K84" s="46">
        <f t="shared" si="32"/>
        <v>2226.0672043010754</v>
      </c>
      <c r="L84" s="46">
        <f t="shared" si="32"/>
        <v>1023.6263440860215</v>
      </c>
      <c r="M84" s="46">
        <f t="shared" si="32"/>
        <v>950.16532258064512</v>
      </c>
      <c r="N84" s="46">
        <f t="shared" si="32"/>
        <v>3.3051075268817205</v>
      </c>
      <c r="O84" s="46">
        <f t="shared" si="2"/>
        <v>4203.1639784946237</v>
      </c>
      <c r="P84" s="46">
        <f t="shared" si="5"/>
        <v>2831.510502104928</v>
      </c>
      <c r="Q84" s="46">
        <f t="shared" si="20"/>
        <v>7034.6744805995513</v>
      </c>
      <c r="R84" s="10">
        <f t="shared" si="11"/>
        <v>5568.8474738459718</v>
      </c>
      <c r="T84" s="65">
        <f t="shared" si="12"/>
        <v>48.72</v>
      </c>
      <c r="U84" s="65">
        <f t="shared" si="30"/>
        <v>23</v>
      </c>
      <c r="V84" s="65">
        <f t="shared" si="30"/>
        <v>34</v>
      </c>
      <c r="W84" s="65">
        <f t="shared" si="30"/>
        <v>38</v>
      </c>
      <c r="X84" s="65">
        <f t="shared" si="21"/>
        <v>39.120199926194871</v>
      </c>
      <c r="Y84" s="65">
        <f>$Y$18/1000*CURVES!K43+VLOOKUP($B84,$X$10:$Y$14,2,FALSE)</f>
        <v>74.616651168326257</v>
      </c>
      <c r="Z84" s="65">
        <f t="shared" si="22"/>
        <v>53.407794150595201</v>
      </c>
      <c r="AA84" s="65">
        <f>CHOOSE(AA$18,CURVES!F43,CURVES!G43)</f>
        <v>39.411290322580641</v>
      </c>
      <c r="AB84" s="65">
        <f t="shared" si="15"/>
        <v>47.223459702887773</v>
      </c>
      <c r="AD84" s="65"/>
      <c r="AH84" s="46">
        <f t="shared" si="33"/>
        <v>1895.2591032026239</v>
      </c>
      <c r="AI84" s="46">
        <f t="shared" si="33"/>
        <v>0</v>
      </c>
      <c r="AJ84" s="46">
        <f t="shared" si="33"/>
        <v>1877.6303324734643</v>
      </c>
      <c r="AK84" s="46">
        <f t="shared" si="33"/>
        <v>570.53181663934993</v>
      </c>
      <c r="AL84" s="46">
        <f t="shared" si="3"/>
        <v>4343.4212523154383</v>
      </c>
      <c r="AM84" s="46">
        <f t="shared" si="6"/>
        <v>2186.8418319892476</v>
      </c>
      <c r="AN84" s="46">
        <f t="shared" si="23"/>
        <v>6530.2630843046863</v>
      </c>
      <c r="AO84" s="10">
        <f t="shared" si="16"/>
        <v>5232.9324887320781</v>
      </c>
      <c r="AQ84" s="65">
        <f t="shared" si="17"/>
        <v>43</v>
      </c>
      <c r="AR84" s="65"/>
      <c r="AS84" s="65">
        <f t="shared" si="31"/>
        <v>30</v>
      </c>
      <c r="AT84" s="65">
        <f t="shared" si="31"/>
        <v>38</v>
      </c>
      <c r="AU84" s="65">
        <f t="shared" si="24"/>
        <v>36.723414833221909</v>
      </c>
      <c r="AV84" s="65">
        <f>$Y$18/1000*CURVES!O43+VLOOKUP($B84,$AU$10:$AV$14,2,FALSE)</f>
        <v>74.276403791954905</v>
      </c>
      <c r="AW84" s="65">
        <f t="shared" si="25"/>
        <v>49.299086917332389</v>
      </c>
      <c r="AX84" s="65">
        <f>CHOOSE(AX$18,CURVES!B43,CURVES!C43)</f>
        <v>42.988172043010749</v>
      </c>
      <c r="AY84" s="65">
        <f t="shared" si="26"/>
        <v>46.491636231469599</v>
      </c>
    </row>
    <row r="85" spans="1:51">
      <c r="A85" s="75">
        <v>38139</v>
      </c>
      <c r="B85" s="2">
        <f t="shared" si="34"/>
        <v>2004</v>
      </c>
      <c r="C85" s="2">
        <f t="shared" si="19"/>
        <v>6</v>
      </c>
      <c r="D85" s="43">
        <v>5.5631744398607998E-2</v>
      </c>
      <c r="E85" s="44">
        <f t="shared" ca="1" si="35"/>
        <v>0.82431892088937886</v>
      </c>
      <c r="F85" s="44"/>
      <c r="G85" s="10"/>
      <c r="H85" s="10">
        <f t="shared" si="36"/>
        <v>13928.429221253447</v>
      </c>
      <c r="I85" s="10">
        <f t="shared" si="36"/>
        <v>13264.489049339949</v>
      </c>
      <c r="K85" s="46">
        <f t="shared" si="32"/>
        <v>2252.1333333333332</v>
      </c>
      <c r="L85" s="46">
        <f t="shared" si="32"/>
        <v>1398.3916666666667</v>
      </c>
      <c r="M85" s="46">
        <f t="shared" si="32"/>
        <v>957.04027777777776</v>
      </c>
      <c r="N85" s="46">
        <f t="shared" si="32"/>
        <v>3.526388888888889</v>
      </c>
      <c r="O85" s="46">
        <f t="shared" si="2"/>
        <v>4611.0916666666662</v>
      </c>
      <c r="P85" s="46">
        <f t="shared" si="5"/>
        <v>3175.7411781346573</v>
      </c>
      <c r="Q85" s="46">
        <f t="shared" si="20"/>
        <v>7786.8328448013235</v>
      </c>
      <c r="R85" s="10">
        <f t="shared" si="11"/>
        <v>6141.5963764521248</v>
      </c>
      <c r="T85" s="65">
        <f t="shared" si="12"/>
        <v>48.72</v>
      </c>
      <c r="U85" s="65">
        <f t="shared" si="30"/>
        <v>23</v>
      </c>
      <c r="V85" s="65">
        <f t="shared" si="30"/>
        <v>34</v>
      </c>
      <c r="W85" s="65">
        <f t="shared" si="30"/>
        <v>38</v>
      </c>
      <c r="X85" s="65">
        <f t="shared" si="21"/>
        <v>37.856613829094464</v>
      </c>
      <c r="Y85" s="65">
        <f>$Y$18/1000*CURVES!K44+VLOOKUP($B85,$X$10:$Y$14,2,FALSE)</f>
        <v>74.921151168326261</v>
      </c>
      <c r="Z85" s="65">
        <f t="shared" si="22"/>
        <v>52.972820870227011</v>
      </c>
      <c r="AA85" s="65">
        <f>CHOOSE(AA$18,CURVES!F44,CURVES!G44)</f>
        <v>50.961111111111109</v>
      </c>
      <c r="AB85" s="65">
        <f t="shared" si="15"/>
        <v>52.085778320719221</v>
      </c>
      <c r="AD85" s="65"/>
      <c r="AH85" s="46">
        <f t="shared" si="33"/>
        <v>1881.3705563400365</v>
      </c>
      <c r="AI85" s="46">
        <f t="shared" si="33"/>
        <v>0</v>
      </c>
      <c r="AJ85" s="46">
        <f t="shared" si="33"/>
        <v>1162.1616861734683</v>
      </c>
      <c r="AK85" s="46">
        <f t="shared" si="33"/>
        <v>631.24071210358352</v>
      </c>
      <c r="AL85" s="46">
        <f t="shared" si="3"/>
        <v>3674.7729546170881</v>
      </c>
      <c r="AM85" s="46">
        <f t="shared" si="6"/>
        <v>2754.0461410958906</v>
      </c>
      <c r="AN85" s="46">
        <f t="shared" si="23"/>
        <v>6428.8190957129791</v>
      </c>
      <c r="AO85" s="10">
        <f t="shared" si="16"/>
        <v>6835.6699536269698</v>
      </c>
      <c r="AQ85" s="65">
        <f t="shared" si="17"/>
        <v>43</v>
      </c>
      <c r="AR85" s="65"/>
      <c r="AS85" s="65">
        <f t="shared" si="31"/>
        <v>30</v>
      </c>
      <c r="AT85" s="65">
        <f t="shared" si="31"/>
        <v>38</v>
      </c>
      <c r="AU85" s="65">
        <f t="shared" si="24"/>
        <v>38.029813894263803</v>
      </c>
      <c r="AV85" s="65">
        <f>$Y$18/1000*CURVES!O44+VLOOKUP($B85,$AU$10:$AV$14,2,FALSE)</f>
        <v>74.580903791954896</v>
      </c>
      <c r="AW85" s="65">
        <f t="shared" si="25"/>
        <v>53.687959906291411</v>
      </c>
      <c r="AX85" s="65">
        <f>CHOOSE(AX$18,CURVES!B44,CURVES!C44)</f>
        <v>48.821111111111108</v>
      </c>
      <c r="AY85" s="65">
        <f t="shared" si="26"/>
        <v>51.179897066153963</v>
      </c>
    </row>
    <row r="86" spans="1:51">
      <c r="A86" s="75">
        <v>38169</v>
      </c>
      <c r="B86" s="2">
        <f t="shared" si="34"/>
        <v>2004</v>
      </c>
      <c r="C86" s="2">
        <f t="shared" si="19"/>
        <v>7</v>
      </c>
      <c r="D86" s="43">
        <v>5.5704124471487003E-2</v>
      </c>
      <c r="E86" s="44">
        <f t="shared" ca="1" si="35"/>
        <v>0.82028053675089152</v>
      </c>
      <c r="F86" s="44"/>
      <c r="G86" s="10"/>
      <c r="H86" s="10">
        <f t="shared" si="36"/>
        <v>13747.257345061511</v>
      </c>
      <c r="I86" s="10">
        <f t="shared" si="36"/>
        <v>12591.85652385616</v>
      </c>
      <c r="K86" s="46">
        <f t="shared" si="32"/>
        <v>2248.4569892473119</v>
      </c>
      <c r="L86" s="46">
        <f t="shared" si="32"/>
        <v>1358.3225806451612</v>
      </c>
      <c r="M86" s="46">
        <f t="shared" si="32"/>
        <v>653.55107526881716</v>
      </c>
      <c r="N86" s="46">
        <f t="shared" si="32"/>
        <v>3.8373655913978495</v>
      </c>
      <c r="O86" s="46">
        <f t="shared" si="2"/>
        <v>4264.1680107526872</v>
      </c>
      <c r="P86" s="46">
        <f t="shared" si="5"/>
        <v>3349.3895623880758</v>
      </c>
      <c r="Q86" s="46">
        <f t="shared" si="20"/>
        <v>7613.5575731407625</v>
      </c>
      <c r="R86" s="10">
        <f t="shared" si="11"/>
        <v>6133.6997719207484</v>
      </c>
      <c r="T86" s="65">
        <f t="shared" si="12"/>
        <v>48.72</v>
      </c>
      <c r="U86" s="65">
        <f t="shared" ref="U86:W105" si="37">U$18</f>
        <v>23</v>
      </c>
      <c r="V86" s="65">
        <f t="shared" si="37"/>
        <v>34</v>
      </c>
      <c r="W86" s="65">
        <f t="shared" si="37"/>
        <v>38</v>
      </c>
      <c r="X86" s="65">
        <f t="shared" si="21"/>
        <v>38.261344278923424</v>
      </c>
      <c r="Y86" s="65">
        <f>$Y$18/1000*CURVES!K45+VLOOKUP($B86,$X$10:$Y$14,2,FALSE)</f>
        <v>75.236151168326259</v>
      </c>
      <c r="Z86" s="65">
        <f t="shared" si="22"/>
        <v>54.527463117188482</v>
      </c>
      <c r="AA86" s="65">
        <f>CHOOSE(AA$18,CURVES!F45,CURVES!G45)</f>
        <v>68.373655913978496</v>
      </c>
      <c r="AB86" s="65">
        <f t="shared" si="15"/>
        <v>60.705305538255175</v>
      </c>
      <c r="AD86" s="65"/>
      <c r="AH86" s="46">
        <f t="shared" si="33"/>
        <v>1914.3216201186069</v>
      </c>
      <c r="AI86" s="46">
        <f t="shared" si="33"/>
        <v>0</v>
      </c>
      <c r="AJ86" s="46">
        <f t="shared" si="33"/>
        <v>1193.3319743059751</v>
      </c>
      <c r="AK86" s="46">
        <f t="shared" si="33"/>
        <v>610.72305844211053</v>
      </c>
      <c r="AL86" s="46">
        <f t="shared" si="3"/>
        <v>3718.3766528666924</v>
      </c>
      <c r="AM86" s="46">
        <f t="shared" si="6"/>
        <v>2586.7318602150535</v>
      </c>
      <c r="AN86" s="46">
        <f t="shared" si="23"/>
        <v>6305.1085130817464</v>
      </c>
      <c r="AO86" s="10">
        <f t="shared" si="16"/>
        <v>6286.7480107744141</v>
      </c>
      <c r="AQ86" s="65">
        <f t="shared" si="17"/>
        <v>43</v>
      </c>
      <c r="AR86" s="65"/>
      <c r="AS86" s="65">
        <f t="shared" ref="AS86:AT105" si="38">AS$18</f>
        <v>30</v>
      </c>
      <c r="AT86" s="65">
        <f t="shared" si="38"/>
        <v>38</v>
      </c>
      <c r="AU86" s="65">
        <f t="shared" si="24"/>
        <v>38.006710537547619</v>
      </c>
      <c r="AV86" s="65">
        <f>$Y$18/1000*CURVES!O45+VLOOKUP($B86,$AU$10:$AV$14,2,FALSE)</f>
        <v>74.895903791954908</v>
      </c>
      <c r="AW86" s="65">
        <f t="shared" si="25"/>
        <v>53.140859504345649</v>
      </c>
      <c r="AX86" s="65">
        <f>CHOOSE(AX$18,CURVES!B45,CURVES!C45)</f>
        <v>68.446774193548379</v>
      </c>
      <c r="AY86" s="65">
        <f t="shared" si="26"/>
        <v>60.782657879599057</v>
      </c>
    </row>
    <row r="87" spans="1:51">
      <c r="A87" s="75">
        <v>38200</v>
      </c>
      <c r="B87" s="2">
        <f t="shared" si="34"/>
        <v>2004</v>
      </c>
      <c r="C87" s="2">
        <f t="shared" si="19"/>
        <v>8</v>
      </c>
      <c r="D87" s="43">
        <v>5.5778430336501997E-2</v>
      </c>
      <c r="E87" s="44">
        <f t="shared" ca="1" si="35"/>
        <v>0.81624654318153511</v>
      </c>
      <c r="F87" s="44"/>
      <c r="G87" s="10"/>
      <c r="H87" s="10">
        <f t="shared" si="36"/>
        <v>14742.171542527998</v>
      </c>
      <c r="I87" s="10">
        <f t="shared" si="36"/>
        <v>13059.838764399652</v>
      </c>
      <c r="K87" s="46">
        <f t="shared" si="32"/>
        <v>2226.0658602150538</v>
      </c>
      <c r="L87" s="46">
        <f t="shared" si="32"/>
        <v>1361.989247311828</v>
      </c>
      <c r="M87" s="46">
        <f t="shared" si="32"/>
        <v>483.36424731182797</v>
      </c>
      <c r="N87" s="46">
        <f t="shared" si="32"/>
        <v>3.924731182795699</v>
      </c>
      <c r="O87" s="46">
        <f t="shared" si="2"/>
        <v>4075.3440860215055</v>
      </c>
      <c r="P87" s="46">
        <f t="shared" si="5"/>
        <v>3426.252928840011</v>
      </c>
      <c r="Q87" s="46">
        <f t="shared" si="20"/>
        <v>7501.5970148615161</v>
      </c>
      <c r="R87" s="10">
        <f t="shared" si="11"/>
        <v>7240.574527666482</v>
      </c>
      <c r="T87" s="65">
        <f t="shared" si="12"/>
        <v>48.72</v>
      </c>
      <c r="U87" s="65">
        <f t="shared" si="37"/>
        <v>23</v>
      </c>
      <c r="V87" s="65">
        <f t="shared" si="37"/>
        <v>34</v>
      </c>
      <c r="W87" s="65">
        <f t="shared" si="37"/>
        <v>38</v>
      </c>
      <c r="X87" s="65">
        <f t="shared" si="21"/>
        <v>38.368099058856423</v>
      </c>
      <c r="Y87" s="65">
        <f>$Y$18/1000*CURVES!K46+VLOOKUP($B87,$X$10:$Y$14,2,FALSE)</f>
        <v>75.446151168326253</v>
      </c>
      <c r="Z87" s="65">
        <f t="shared" si="22"/>
        <v>55.302997638995471</v>
      </c>
      <c r="AA87" s="65">
        <f>CHOOSE(AA$18,CURVES!F46,CURVES!G46)</f>
        <v>73.61021505376344</v>
      </c>
      <c r="AB87" s="65">
        <f t="shared" si="15"/>
        <v>64.294534042125036</v>
      </c>
      <c r="AD87" s="65"/>
      <c r="AH87" s="46">
        <f t="shared" si="33"/>
        <v>1859.5945026415061</v>
      </c>
      <c r="AI87" s="46">
        <f t="shared" si="33"/>
        <v>0</v>
      </c>
      <c r="AJ87" s="46">
        <f t="shared" si="33"/>
        <v>1584.5088037693729</v>
      </c>
      <c r="AK87" s="46">
        <f t="shared" si="33"/>
        <v>621.50165686237608</v>
      </c>
      <c r="AL87" s="46">
        <f t="shared" si="3"/>
        <v>4065.6049632732547</v>
      </c>
      <c r="AM87" s="46">
        <f t="shared" si="6"/>
        <v>2208.289016129032</v>
      </c>
      <c r="AN87" s="46">
        <f t="shared" si="23"/>
        <v>6273.8939794022863</v>
      </c>
      <c r="AO87" s="10">
        <f t="shared" si="16"/>
        <v>6785.944784997364</v>
      </c>
      <c r="AQ87" s="65">
        <f t="shared" si="17"/>
        <v>43</v>
      </c>
      <c r="AR87" s="65"/>
      <c r="AS87" s="65">
        <f t="shared" si="38"/>
        <v>30</v>
      </c>
      <c r="AT87" s="65">
        <f t="shared" si="38"/>
        <v>38</v>
      </c>
      <c r="AU87" s="65">
        <f t="shared" si="24"/>
        <v>37.169103258318607</v>
      </c>
      <c r="AV87" s="65">
        <f>$Y$18/1000*CURVES!O46+VLOOKUP($B87,$AU$10:$AV$14,2,FALSE)</f>
        <v>75.105903791954901</v>
      </c>
      <c r="AW87" s="65">
        <f t="shared" si="25"/>
        <v>50.522121368052169</v>
      </c>
      <c r="AX87" s="65">
        <f>CHOOSE(AX$18,CURVES!B46,CURVES!C46)</f>
        <v>76.987096774193532</v>
      </c>
      <c r="AY87" s="65">
        <f t="shared" si="26"/>
        <v>64.273429104862799</v>
      </c>
    </row>
    <row r="88" spans="1:51">
      <c r="A88" s="75">
        <v>38231</v>
      </c>
      <c r="B88" s="2">
        <f t="shared" si="34"/>
        <v>2004</v>
      </c>
      <c r="C88" s="2">
        <f t="shared" si="19"/>
        <v>9</v>
      </c>
      <c r="D88" s="43">
        <v>5.5852736203355999E-2</v>
      </c>
      <c r="E88" s="44">
        <f t="shared" ca="1" si="35"/>
        <v>0.81234493788094264</v>
      </c>
      <c r="F88" s="44"/>
      <c r="G88" s="10"/>
      <c r="H88" s="10">
        <f t="shared" si="36"/>
        <v>13353.630724737535</v>
      </c>
      <c r="I88" s="10">
        <f t="shared" si="36"/>
        <v>12301.529613876324</v>
      </c>
      <c r="K88" s="46">
        <f t="shared" si="32"/>
        <v>2263.6333333333332</v>
      </c>
      <c r="L88" s="46">
        <f t="shared" si="32"/>
        <v>1380.7361111111111</v>
      </c>
      <c r="M88" s="46">
        <f t="shared" si="32"/>
        <v>542.60277777777776</v>
      </c>
      <c r="N88" s="46">
        <f t="shared" si="32"/>
        <v>3.4194444444444443</v>
      </c>
      <c r="O88" s="46">
        <f t="shared" si="2"/>
        <v>4190.3916666666673</v>
      </c>
      <c r="P88" s="46">
        <f t="shared" si="5"/>
        <v>3348.1339323547272</v>
      </c>
      <c r="Q88" s="46">
        <f t="shared" si="20"/>
        <v>7538.5255990213946</v>
      </c>
      <c r="R88" s="10">
        <f t="shared" si="11"/>
        <v>5815.1051257161398</v>
      </c>
      <c r="T88" s="65">
        <f t="shared" si="12"/>
        <v>48.72</v>
      </c>
      <c r="U88" s="65">
        <f t="shared" si="37"/>
        <v>23</v>
      </c>
      <c r="V88" s="65">
        <f t="shared" si="37"/>
        <v>34</v>
      </c>
      <c r="W88" s="65">
        <f t="shared" si="37"/>
        <v>38</v>
      </c>
      <c r="X88" s="65">
        <f t="shared" si="21"/>
        <v>38.330445615995849</v>
      </c>
      <c r="Y88" s="65">
        <f>$Y$18/1000*CURVES!K47+VLOOKUP($B88,$X$10:$Y$14,2,FALSE)</f>
        <v>75.666651168326254</v>
      </c>
      <c r="Z88" s="65">
        <f t="shared" si="22"/>
        <v>54.912815082427848</v>
      </c>
      <c r="AA88" s="65">
        <f>CHOOSE(AA$18,CURVES!F47,CURVES!G47)</f>
        <v>68.111111111111114</v>
      </c>
      <c r="AB88" s="65">
        <f t="shared" si="15"/>
        <v>60.660276613241109</v>
      </c>
      <c r="AD88" s="65"/>
      <c r="AH88" s="46">
        <f t="shared" si="33"/>
        <v>1890.9773416389726</v>
      </c>
      <c r="AI88" s="46">
        <f t="shared" si="33"/>
        <v>0</v>
      </c>
      <c r="AJ88" s="46">
        <f t="shared" si="33"/>
        <v>765.82060543821262</v>
      </c>
      <c r="AK88" s="46">
        <f t="shared" si="33"/>
        <v>570.92254509204622</v>
      </c>
      <c r="AL88" s="46">
        <f t="shared" si="3"/>
        <v>3227.7204921692314</v>
      </c>
      <c r="AM88" s="46">
        <f t="shared" si="6"/>
        <v>2371.5769315068492</v>
      </c>
      <c r="AN88" s="46">
        <f t="shared" si="23"/>
        <v>5599.2974236760801</v>
      </c>
      <c r="AO88" s="10">
        <f t="shared" si="16"/>
        <v>6702.2321902002432</v>
      </c>
      <c r="AQ88" s="65">
        <f t="shared" si="17"/>
        <v>43</v>
      </c>
      <c r="AR88" s="65"/>
      <c r="AS88" s="65">
        <f t="shared" si="38"/>
        <v>30</v>
      </c>
      <c r="AT88" s="65">
        <f t="shared" si="38"/>
        <v>38</v>
      </c>
      <c r="AU88" s="65">
        <f t="shared" si="24"/>
        <v>39.031167931908605</v>
      </c>
      <c r="AV88" s="65">
        <f>$Y$18/1000*CURVES!O47+VLOOKUP($B88,$AU$10:$AV$14,2,FALSE)</f>
        <v>75.326403791954903</v>
      </c>
      <c r="AW88" s="65">
        <f t="shared" si="25"/>
        <v>54.40397947882127</v>
      </c>
      <c r="AX88" s="65">
        <f>CHOOSE(AX$18,CURVES!B47,CURVES!C47)</f>
        <v>69.077777777777783</v>
      </c>
      <c r="AY88" s="65">
        <f t="shared" si="26"/>
        <v>62.398692851769184</v>
      </c>
    </row>
    <row r="89" spans="1:51">
      <c r="A89" s="75">
        <v>38261</v>
      </c>
      <c r="B89" s="2">
        <f t="shared" si="34"/>
        <v>2004</v>
      </c>
      <c r="C89" s="2">
        <f t="shared" si="19"/>
        <v>10</v>
      </c>
      <c r="D89" s="43">
        <v>5.5924454309932002E-2</v>
      </c>
      <c r="E89" s="44">
        <f t="shared" ca="1" si="35"/>
        <v>0.8083381578616311</v>
      </c>
      <c r="F89" s="44"/>
      <c r="G89" s="10"/>
      <c r="H89" s="10">
        <f t="shared" si="36"/>
        <v>12405.509065462797</v>
      </c>
      <c r="I89" s="10">
        <f t="shared" si="36"/>
        <v>10647.861243961121</v>
      </c>
      <c r="K89" s="46">
        <f t="shared" si="32"/>
        <v>2069.2916666666665</v>
      </c>
      <c r="L89" s="46">
        <f t="shared" si="32"/>
        <v>1227.5241935483871</v>
      </c>
      <c r="M89" s="46">
        <f t="shared" si="32"/>
        <v>369.34005376344084</v>
      </c>
      <c r="N89" s="46">
        <f t="shared" si="32"/>
        <v>3.278225806451613</v>
      </c>
      <c r="O89" s="46">
        <f t="shared" si="2"/>
        <v>3669.4341397849457</v>
      </c>
      <c r="P89" s="46">
        <f t="shared" si="5"/>
        <v>3171.075494984625</v>
      </c>
      <c r="Q89" s="46">
        <f t="shared" si="20"/>
        <v>6840.5096347695708</v>
      </c>
      <c r="R89" s="10">
        <f t="shared" si="11"/>
        <v>5564.9994306932258</v>
      </c>
      <c r="T89" s="65">
        <f t="shared" si="12"/>
        <v>48.72</v>
      </c>
      <c r="U89" s="65">
        <f t="shared" si="37"/>
        <v>23</v>
      </c>
      <c r="V89" s="65">
        <f t="shared" si="37"/>
        <v>34</v>
      </c>
      <c r="W89" s="65">
        <f t="shared" si="37"/>
        <v>38</v>
      </c>
      <c r="X89" s="65">
        <f t="shared" si="21"/>
        <v>38.624778497461044</v>
      </c>
      <c r="Y89" s="65">
        <f>$Y$18/1000*CURVES!K48+VLOOKUP($B89,$X$10:$Y$14,2,FALSE)</f>
        <v>75.981651168326266</v>
      </c>
      <c r="Z89" s="65">
        <f t="shared" si="22"/>
        <v>55.942415606502557</v>
      </c>
      <c r="AA89" s="65">
        <f>CHOOSE(AA$18,CURVES!F48,CURVES!G48)</f>
        <v>48.932795698924728</v>
      </c>
      <c r="AB89" s="65">
        <f t="shared" si="15"/>
        <v>52.797963364421896</v>
      </c>
      <c r="AD89" s="65"/>
      <c r="AH89" s="46">
        <f t="shared" si="33"/>
        <v>1913.8399491890309</v>
      </c>
      <c r="AI89" s="46">
        <f t="shared" si="33"/>
        <v>0</v>
      </c>
      <c r="AJ89" s="46">
        <f t="shared" si="33"/>
        <v>1075.3801160883429</v>
      </c>
      <c r="AK89" s="46">
        <f t="shared" si="33"/>
        <v>576.38556050292607</v>
      </c>
      <c r="AL89" s="46">
        <f t="shared" si="3"/>
        <v>3565.6056257802998</v>
      </c>
      <c r="AM89" s="46">
        <f t="shared" si="6"/>
        <v>2259.7132500000002</v>
      </c>
      <c r="AN89" s="46">
        <f t="shared" si="23"/>
        <v>5825.3188757803</v>
      </c>
      <c r="AO89" s="10">
        <f t="shared" si="16"/>
        <v>4822.5423681808206</v>
      </c>
      <c r="AQ89" s="65">
        <f t="shared" si="17"/>
        <v>43</v>
      </c>
      <c r="AR89" s="65"/>
      <c r="AS89" s="65">
        <f t="shared" si="38"/>
        <v>30</v>
      </c>
      <c r="AT89" s="65">
        <f t="shared" si="38"/>
        <v>38</v>
      </c>
      <c r="AU89" s="65">
        <f t="shared" si="24"/>
        <v>38.270966258930272</v>
      </c>
      <c r="AV89" s="65">
        <f>$Y$18/1000*CURVES!O48+VLOOKUP($B89,$AU$10:$AV$14,2,FALSE)</f>
        <v>75.6414037919549</v>
      </c>
      <c r="AW89" s="65">
        <f t="shared" si="25"/>
        <v>52.767421243184074</v>
      </c>
      <c r="AX89" s="65">
        <f>CHOOSE(AX$18,CURVES!B48,CURVES!C48)</f>
        <v>47.306989247311826</v>
      </c>
      <c r="AY89" s="65">
        <f t="shared" si="26"/>
        <v>50.294326971449564</v>
      </c>
    </row>
    <row r="90" spans="1:51">
      <c r="A90" s="75">
        <v>38292</v>
      </c>
      <c r="B90" s="2">
        <f t="shared" si="34"/>
        <v>2004</v>
      </c>
      <c r="C90" s="2">
        <f t="shared" si="19"/>
        <v>11</v>
      </c>
      <c r="D90" s="43">
        <v>5.5998379425679999E-2</v>
      </c>
      <c r="E90" s="44">
        <f t="shared" ca="1" si="35"/>
        <v>0.804456445686763</v>
      </c>
      <c r="F90" s="44"/>
      <c r="G90" s="10"/>
      <c r="H90" s="10">
        <f t="shared" si="36"/>
        <v>12135.038371710914</v>
      </c>
      <c r="I90" s="10">
        <f t="shared" si="36"/>
        <v>10809.486413602943</v>
      </c>
      <c r="K90" s="46">
        <f t="shared" si="32"/>
        <v>2201.1583333333333</v>
      </c>
      <c r="L90" s="46">
        <f t="shared" si="32"/>
        <v>1270.0277777777778</v>
      </c>
      <c r="M90" s="46">
        <f t="shared" si="32"/>
        <v>241.3111111111111</v>
      </c>
      <c r="N90" s="46">
        <f t="shared" si="32"/>
        <v>3.1194444444444445</v>
      </c>
      <c r="O90" s="46">
        <f t="shared" si="2"/>
        <v>3715.6166666666668</v>
      </c>
      <c r="P90" s="46">
        <f t="shared" si="5"/>
        <v>3029.0331582980816</v>
      </c>
      <c r="Q90" s="46">
        <f t="shared" si="20"/>
        <v>6744.6498249647484</v>
      </c>
      <c r="R90" s="10">
        <f t="shared" si="11"/>
        <v>5390.388546746166</v>
      </c>
      <c r="T90" s="65">
        <f t="shared" si="12"/>
        <v>48.72</v>
      </c>
      <c r="U90" s="65">
        <f t="shared" si="37"/>
        <v>23</v>
      </c>
      <c r="V90" s="65">
        <f t="shared" si="37"/>
        <v>34</v>
      </c>
      <c r="W90" s="65">
        <f t="shared" si="37"/>
        <v>38</v>
      </c>
      <c r="X90" s="65">
        <f t="shared" si="21"/>
        <v>38.963704424717896</v>
      </c>
      <c r="Y90" s="65">
        <f>$Y$18/1000*CURVES!K49+VLOOKUP($B90,$X$10:$Y$14,2,FALSE)</f>
        <v>76.244151168326255</v>
      </c>
      <c r="Z90" s="65">
        <f t="shared" si="22"/>
        <v>55.706413427130137</v>
      </c>
      <c r="AA90" s="65">
        <f>CHOOSE(AA$18,CURVES!F49,CURVES!G49)</f>
        <v>40.805555555555557</v>
      </c>
      <c r="AB90" s="65">
        <f t="shared" si="15"/>
        <v>49.087446832440783</v>
      </c>
      <c r="AD90" s="65"/>
      <c r="AH90" s="46">
        <f t="shared" si="33"/>
        <v>1838.7874362867092</v>
      </c>
      <c r="AI90" s="46">
        <f t="shared" si="33"/>
        <v>0</v>
      </c>
      <c r="AJ90" s="46">
        <f t="shared" si="33"/>
        <v>1347.8791847211178</v>
      </c>
      <c r="AK90" s="46">
        <f t="shared" si="33"/>
        <v>499.43911251442188</v>
      </c>
      <c r="AL90" s="46">
        <f t="shared" si="3"/>
        <v>3686.105733522249</v>
      </c>
      <c r="AM90" s="46">
        <f t="shared" si="6"/>
        <v>2451.2376410958905</v>
      </c>
      <c r="AN90" s="46">
        <f t="shared" si="23"/>
        <v>6137.3433746181399</v>
      </c>
      <c r="AO90" s="10">
        <f t="shared" si="16"/>
        <v>4672.1430389848038</v>
      </c>
      <c r="AQ90" s="65">
        <f t="shared" si="17"/>
        <v>43</v>
      </c>
      <c r="AR90" s="65"/>
      <c r="AS90" s="65">
        <f t="shared" si="38"/>
        <v>30</v>
      </c>
      <c r="AT90" s="65">
        <f t="shared" si="38"/>
        <v>38</v>
      </c>
      <c r="AU90" s="65">
        <f t="shared" si="24"/>
        <v>37.568895628282228</v>
      </c>
      <c r="AV90" s="65">
        <f>$Y$18/1000*CURVES!O49+VLOOKUP($B90,$AU$10:$AV$14,2,FALSE)</f>
        <v>75.903903791954903</v>
      </c>
      <c r="AW90" s="65">
        <f t="shared" si="25"/>
        <v>52.879789812748378</v>
      </c>
      <c r="AX90" s="65">
        <f>CHOOSE(AX$18,CURVES!B49,CURVES!C49)</f>
        <v>45.716666666666669</v>
      </c>
      <c r="AY90" s="65">
        <f t="shared" si="26"/>
        <v>49.783700446074981</v>
      </c>
    </row>
    <row r="91" spans="1:51">
      <c r="A91" s="75">
        <v>38322</v>
      </c>
      <c r="B91" s="2">
        <f t="shared" si="34"/>
        <v>2004</v>
      </c>
      <c r="C91" s="2">
        <f t="shared" si="19"/>
        <v>12</v>
      </c>
      <c r="D91" s="43">
        <v>5.6069919862008002E-2</v>
      </c>
      <c r="E91" s="44">
        <f t="shared" ca="1" si="35"/>
        <v>0.80047019437683287</v>
      </c>
      <c r="F91" s="44"/>
      <c r="G91" s="10"/>
      <c r="H91" s="10">
        <f t="shared" si="36"/>
        <v>12047.659826770678</v>
      </c>
      <c r="I91" s="10">
        <f t="shared" si="36"/>
        <v>10784.9291433529</v>
      </c>
      <c r="K91" s="46">
        <f t="shared" si="32"/>
        <v>2256.4126344086021</v>
      </c>
      <c r="L91" s="46">
        <f t="shared" si="32"/>
        <v>1157.2150537634409</v>
      </c>
      <c r="M91" s="46">
        <f t="shared" si="32"/>
        <v>239.86021505376345</v>
      </c>
      <c r="N91" s="46">
        <f t="shared" si="32"/>
        <v>2.9690860215053765</v>
      </c>
      <c r="O91" s="46">
        <f t="shared" si="2"/>
        <v>3656.4569892473123</v>
      </c>
      <c r="P91" s="46">
        <f t="shared" si="5"/>
        <v>2977.5968497309718</v>
      </c>
      <c r="Q91" s="46">
        <f t="shared" si="20"/>
        <v>6634.0538389782841</v>
      </c>
      <c r="R91" s="10">
        <f t="shared" si="11"/>
        <v>5413.6059877923944</v>
      </c>
      <c r="T91" s="65">
        <f t="shared" si="12"/>
        <v>48.72</v>
      </c>
      <c r="U91" s="65">
        <f t="shared" si="37"/>
        <v>23</v>
      </c>
      <c r="V91" s="65">
        <f t="shared" si="37"/>
        <v>34</v>
      </c>
      <c r="W91" s="65">
        <f t="shared" si="37"/>
        <v>38</v>
      </c>
      <c r="X91" s="65">
        <f t="shared" si="21"/>
        <v>39.60567368670241</v>
      </c>
      <c r="Y91" s="65">
        <f>$Y$18/1000*CURVES!K50+VLOOKUP($B91,$X$10:$Y$14,2,FALSE)</f>
        <v>77.556651168326255</v>
      </c>
      <c r="Z91" s="65">
        <f t="shared" si="22"/>
        <v>56.639408072388044</v>
      </c>
      <c r="AA91" s="65">
        <f>CHOOSE(AA$18,CURVES!F50,CURVES!G50)</f>
        <v>40.577956989247312</v>
      </c>
      <c r="AB91" s="65">
        <f t="shared" si="15"/>
        <v>49.422208300269986</v>
      </c>
      <c r="AD91" s="65"/>
      <c r="AH91" s="46">
        <f t="shared" si="33"/>
        <v>1921.095004536046</v>
      </c>
      <c r="AI91" s="46">
        <f t="shared" si="33"/>
        <v>0</v>
      </c>
      <c r="AJ91" s="46">
        <f t="shared" si="33"/>
        <v>1326.4786927345147</v>
      </c>
      <c r="AK91" s="46">
        <f t="shared" si="33"/>
        <v>519.61972313456249</v>
      </c>
      <c r="AL91" s="46">
        <f t="shared" si="3"/>
        <v>3767.1934204051231</v>
      </c>
      <c r="AM91" s="46">
        <f t="shared" si="6"/>
        <v>2024.2479112903225</v>
      </c>
      <c r="AN91" s="46">
        <f t="shared" si="23"/>
        <v>5791.4413316954451</v>
      </c>
      <c r="AO91" s="10">
        <f t="shared" si="16"/>
        <v>4993.4878116574546</v>
      </c>
      <c r="AQ91" s="65">
        <f t="shared" si="17"/>
        <v>43</v>
      </c>
      <c r="AR91" s="65"/>
      <c r="AS91" s="65">
        <f t="shared" si="38"/>
        <v>30</v>
      </c>
      <c r="AT91" s="65">
        <f t="shared" si="38"/>
        <v>38</v>
      </c>
      <c r="AU91" s="65">
        <f t="shared" si="24"/>
        <v>37.732863591833393</v>
      </c>
      <c r="AV91" s="65">
        <f>$Y$18/1000*CURVES!O50+VLOOKUP($B91,$AU$10:$AV$14,2,FALSE)</f>
        <v>77.216403791954903</v>
      </c>
      <c r="AW91" s="65">
        <f t="shared" si="25"/>
        <v>51.533309664390877</v>
      </c>
      <c r="AX91" s="65">
        <f>CHOOSE(AX$18,CURVES!B50,CURVES!C50)</f>
        <v>44.946774193548386</v>
      </c>
      <c r="AY91" s="65">
        <f t="shared" si="26"/>
        <v>48.483703667213554</v>
      </c>
    </row>
    <row r="92" spans="1:51">
      <c r="A92" s="75">
        <v>38353</v>
      </c>
      <c r="B92" s="2">
        <f t="shared" si="34"/>
        <v>2005</v>
      </c>
      <c r="C92" s="2">
        <f t="shared" si="19"/>
        <v>1</v>
      </c>
      <c r="D92" s="43">
        <v>5.6149749946643998E-2</v>
      </c>
      <c r="E92" s="44">
        <f t="shared" ca="1" si="35"/>
        <v>0.79646790247074051</v>
      </c>
      <c r="F92" s="44"/>
      <c r="G92" s="10"/>
      <c r="H92" s="10">
        <f t="shared" si="36"/>
        <v>12269.023356984006</v>
      </c>
      <c r="I92" s="10">
        <f t="shared" si="36"/>
        <v>11663.236625821926</v>
      </c>
      <c r="K92" s="46">
        <f t="shared" si="32"/>
        <v>2185.9180107526881</v>
      </c>
      <c r="L92" s="46">
        <f t="shared" si="32"/>
        <v>1282.3306451612902</v>
      </c>
      <c r="M92" s="46">
        <f t="shared" si="32"/>
        <v>142.8521505376344</v>
      </c>
      <c r="N92" s="46">
        <f t="shared" si="32"/>
        <v>3.168010752688172</v>
      </c>
      <c r="O92" s="46">
        <f t="shared" si="2"/>
        <v>3614.2688172043008</v>
      </c>
      <c r="P92" s="46">
        <f t="shared" si="5"/>
        <v>2792.6655547379</v>
      </c>
      <c r="Q92" s="46">
        <f t="shared" si="20"/>
        <v>6406.9343719422013</v>
      </c>
      <c r="R92" s="10">
        <f t="shared" si="11"/>
        <v>5862.0889850418043</v>
      </c>
      <c r="T92" s="65">
        <f t="shared" si="12"/>
        <v>48.72</v>
      </c>
      <c r="U92" s="65">
        <f t="shared" si="37"/>
        <v>23</v>
      </c>
      <c r="V92" s="65">
        <f t="shared" si="37"/>
        <v>34</v>
      </c>
      <c r="W92" s="65">
        <f t="shared" si="37"/>
        <v>38</v>
      </c>
      <c r="X92" s="65">
        <f t="shared" si="21"/>
        <v>39.003431946853418</v>
      </c>
      <c r="Y92" s="65">
        <f>$Y$18/1000*CURVES!K51+VLOOKUP($B92,$X$10:$Y$14,2,FALSE)</f>
        <v>78.335132728494614</v>
      </c>
      <c r="Z92" s="65">
        <f t="shared" si="22"/>
        <v>56.147401216020448</v>
      </c>
      <c r="AA92" s="65">
        <f>CHOOSE(AA$18,CURVES!F51,CURVES!G51)</f>
        <v>38.155376344086022</v>
      </c>
      <c r="AB92" s="65">
        <f t="shared" si="15"/>
        <v>47.550885604993688</v>
      </c>
      <c r="AD92" s="65"/>
      <c r="AH92" s="46">
        <f t="shared" si="33"/>
        <v>1826.0560878589888</v>
      </c>
      <c r="AI92" s="46">
        <f t="shared" si="33"/>
        <v>0</v>
      </c>
      <c r="AJ92" s="46">
        <f t="shared" si="33"/>
        <v>1744.0893186443859</v>
      </c>
      <c r="AK92" s="46">
        <f t="shared" si="33"/>
        <v>538.87289280137145</v>
      </c>
      <c r="AL92" s="46">
        <f t="shared" si="3"/>
        <v>4109.0182993047465</v>
      </c>
      <c r="AM92" s="46">
        <f t="shared" si="6"/>
        <v>2445.3687016129034</v>
      </c>
      <c r="AN92" s="46">
        <f t="shared" si="23"/>
        <v>6554.3870009176499</v>
      </c>
      <c r="AO92" s="10">
        <f t="shared" si="16"/>
        <v>5108.8496249042764</v>
      </c>
      <c r="AQ92" s="65">
        <f t="shared" si="17"/>
        <v>43</v>
      </c>
      <c r="AR92" s="65"/>
      <c r="AS92" s="65">
        <f t="shared" si="38"/>
        <v>30</v>
      </c>
      <c r="AT92" s="65">
        <f t="shared" si="38"/>
        <v>38</v>
      </c>
      <c r="AU92" s="65">
        <f t="shared" si="24"/>
        <v>36.826378040059808</v>
      </c>
      <c r="AV92" s="65">
        <f>$Y$18/1000*CURVES!O51+VLOOKUP($B92,$AU$10:$AV$14,2,FALSE)</f>
        <v>78.102119288019153</v>
      </c>
      <c r="AW92" s="65">
        <f t="shared" si="25"/>
        <v>52.225896830985825</v>
      </c>
      <c r="AX92" s="65">
        <f>CHOOSE(AX$18,CURVES!B51,CURVES!C51)</f>
        <v>44.8</v>
      </c>
      <c r="AY92" s="65">
        <f t="shared" si="26"/>
        <v>48.973129914162151</v>
      </c>
    </row>
    <row r="93" spans="1:51">
      <c r="A93" s="75">
        <v>38384</v>
      </c>
      <c r="B93" s="2">
        <f t="shared" si="34"/>
        <v>2005</v>
      </c>
      <c r="C93" s="2">
        <f t="shared" si="19"/>
        <v>2</v>
      </c>
      <c r="D93" s="43">
        <v>5.6234442946144998E-2</v>
      </c>
      <c r="E93" s="44">
        <f t="shared" ca="1" si="35"/>
        <v>0.79282051977552837</v>
      </c>
      <c r="F93" s="44"/>
      <c r="G93" s="10"/>
      <c r="H93" s="10">
        <f t="shared" si="36"/>
        <v>12302.024600596285</v>
      </c>
      <c r="I93" s="10">
        <f t="shared" si="36"/>
        <v>11647.692288812099</v>
      </c>
      <c r="K93" s="46">
        <f t="shared" si="32"/>
        <v>2261.8764367816093</v>
      </c>
      <c r="L93" s="46">
        <f t="shared" si="32"/>
        <v>1335.9798850574712</v>
      </c>
      <c r="M93" s="46">
        <f t="shared" si="32"/>
        <v>236.0028735632184</v>
      </c>
      <c r="N93" s="46">
        <f t="shared" si="32"/>
        <v>3.8491379310344827</v>
      </c>
      <c r="O93" s="46">
        <f t="shared" ref="O93:O156" si="39">SUM(K93:N93)</f>
        <v>3837.7083333333335</v>
      </c>
      <c r="P93" s="46">
        <f t="shared" si="5"/>
        <v>3011.7717013676738</v>
      </c>
      <c r="Q93" s="46">
        <f t="shared" si="20"/>
        <v>6849.4800347010078</v>
      </c>
      <c r="R93" s="10">
        <f t="shared" si="11"/>
        <v>5452.5445658952776</v>
      </c>
      <c r="T93" s="65">
        <f t="shared" si="12"/>
        <v>48.72</v>
      </c>
      <c r="U93" s="65">
        <f t="shared" si="37"/>
        <v>23</v>
      </c>
      <c r="V93" s="65">
        <f t="shared" si="37"/>
        <v>34</v>
      </c>
      <c r="W93" s="65">
        <f t="shared" si="37"/>
        <v>38</v>
      </c>
      <c r="X93" s="65">
        <f t="shared" si="21"/>
        <v>38.850404811599958</v>
      </c>
      <c r="Y93" s="65">
        <f>$Y$18/1000*CURVES!K52+VLOOKUP($B93,$X$10:$Y$14,2,FALSE)</f>
        <v>77.327132728494618</v>
      </c>
      <c r="Z93" s="65">
        <f t="shared" si="22"/>
        <v>55.768932891722379</v>
      </c>
      <c r="AA93" s="65">
        <f>CHOOSE(AA$18,CURVES!F52,CURVES!G52)</f>
        <v>37.421428571428564</v>
      </c>
      <c r="AB93" s="65">
        <f t="shared" si="15"/>
        <v>47.636890546878654</v>
      </c>
      <c r="AD93" s="65"/>
      <c r="AH93" s="46">
        <f t="shared" si="33"/>
        <v>1925.7468502510062</v>
      </c>
      <c r="AI93" s="46">
        <f t="shared" si="33"/>
        <v>0</v>
      </c>
      <c r="AJ93" s="46">
        <f t="shared" si="33"/>
        <v>2201.9273871825426</v>
      </c>
      <c r="AK93" s="46">
        <f t="shared" si="33"/>
        <v>548.47547775416388</v>
      </c>
      <c r="AL93" s="46">
        <f t="shared" ref="AL93:AL156" si="40">SUM(AH93:AK93)</f>
        <v>4676.1497151877129</v>
      </c>
      <c r="AM93" s="46">
        <f t="shared" si="6"/>
        <v>2161.5456443452381</v>
      </c>
      <c r="AN93" s="46">
        <f t="shared" si="23"/>
        <v>6837.6953595329505</v>
      </c>
      <c r="AO93" s="10">
        <f t="shared" si="16"/>
        <v>4809.9969292791484</v>
      </c>
      <c r="AQ93" s="65">
        <f t="shared" si="17"/>
        <v>43</v>
      </c>
      <c r="AR93" s="65"/>
      <c r="AS93" s="65">
        <f t="shared" si="38"/>
        <v>30</v>
      </c>
      <c r="AT93" s="65">
        <f t="shared" si="38"/>
        <v>38</v>
      </c>
      <c r="AU93" s="65">
        <f t="shared" si="24"/>
        <v>36.29203825098557</v>
      </c>
      <c r="AV93" s="65">
        <f>$Y$18/1000*CURVES!O52+VLOOKUP($B93,$AU$10:$AV$14,2,FALSE)</f>
        <v>77.094119288019158</v>
      </c>
      <c r="AW93" s="65">
        <f t="shared" si="25"/>
        <v>49.190471993410384</v>
      </c>
      <c r="AX93" s="65">
        <f>CHOOSE(AX$18,CURVES!B52,CURVES!C52)</f>
        <v>43.807142857142857</v>
      </c>
      <c r="AY93" s="65">
        <f t="shared" si="26"/>
        <v>46.967388143606293</v>
      </c>
    </row>
    <row r="94" spans="1:51">
      <c r="A94" s="75">
        <v>38412</v>
      </c>
      <c r="B94" s="2">
        <f t="shared" si="34"/>
        <v>2005</v>
      </c>
      <c r="C94" s="2">
        <f t="shared" si="19"/>
        <v>3</v>
      </c>
      <c r="D94" s="43">
        <v>5.6310939850972998E-2</v>
      </c>
      <c r="E94" s="44">
        <f t="shared" ca="1" si="35"/>
        <v>0.78884681007149648</v>
      </c>
      <c r="F94" s="44"/>
      <c r="G94" s="10"/>
      <c r="H94" s="10">
        <f t="shared" si="36"/>
        <v>12230.806169299207</v>
      </c>
      <c r="I94" s="10">
        <f t="shared" si="36"/>
        <v>11386.20539441174</v>
      </c>
      <c r="K94" s="46">
        <f t="shared" si="32"/>
        <v>2263.9462365591398</v>
      </c>
      <c r="L94" s="46">
        <f t="shared" si="32"/>
        <v>1258.630376344086</v>
      </c>
      <c r="M94" s="46">
        <f t="shared" si="32"/>
        <v>620.64650537634407</v>
      </c>
      <c r="N94" s="46">
        <f t="shared" si="32"/>
        <v>2.581989247311828</v>
      </c>
      <c r="O94" s="46">
        <f t="shared" si="39"/>
        <v>4145.8051075268813</v>
      </c>
      <c r="P94" s="46">
        <f t="shared" si="5"/>
        <v>2834.3973290285558</v>
      </c>
      <c r="Q94" s="46">
        <f t="shared" si="20"/>
        <v>6980.2024365554371</v>
      </c>
      <c r="R94" s="10">
        <f t="shared" si="11"/>
        <v>5250.6037327437698</v>
      </c>
      <c r="T94" s="65">
        <f t="shared" si="12"/>
        <v>48.72</v>
      </c>
      <c r="U94" s="65">
        <f t="shared" si="37"/>
        <v>23</v>
      </c>
      <c r="V94" s="65">
        <f t="shared" si="37"/>
        <v>34</v>
      </c>
      <c r="W94" s="65">
        <f t="shared" si="37"/>
        <v>38</v>
      </c>
      <c r="X94" s="65">
        <f t="shared" si="21"/>
        <v>38.701302138870133</v>
      </c>
      <c r="Y94" s="65">
        <f>$Y$18/1000*CURVES!K53+VLOOKUP($B94,$X$10:$Y$14,2,FALSE)</f>
        <v>75.752132728494644</v>
      </c>
      <c r="Z94" s="65">
        <f t="shared" si="22"/>
        <v>53.746249075014362</v>
      </c>
      <c r="AA94" s="65">
        <f>CHOOSE(AA$18,CURVES!F53,CURVES!G53)</f>
        <v>37.095161290322579</v>
      </c>
      <c r="AB94" s="65">
        <f t="shared" si="15"/>
        <v>46.598047847199773</v>
      </c>
      <c r="AD94" s="65"/>
      <c r="AH94" s="46">
        <f t="shared" si="33"/>
        <v>1891.2387324311178</v>
      </c>
      <c r="AI94" s="46">
        <f t="shared" si="33"/>
        <v>0</v>
      </c>
      <c r="AJ94" s="46">
        <f t="shared" si="33"/>
        <v>1966.5504926356311</v>
      </c>
      <c r="AK94" s="46">
        <f t="shared" si="33"/>
        <v>526.07330501492243</v>
      </c>
      <c r="AL94" s="46">
        <f t="shared" si="40"/>
        <v>4383.8625300816711</v>
      </c>
      <c r="AM94" s="46">
        <f t="shared" si="6"/>
        <v>2044.2222728494623</v>
      </c>
      <c r="AN94" s="46">
        <f t="shared" si="23"/>
        <v>6428.0848029311337</v>
      </c>
      <c r="AO94" s="10">
        <f t="shared" si="16"/>
        <v>4958.120591480606</v>
      </c>
      <c r="AQ94" s="65">
        <f t="shared" si="17"/>
        <v>43</v>
      </c>
      <c r="AR94" s="65"/>
      <c r="AS94" s="65">
        <f t="shared" si="38"/>
        <v>30</v>
      </c>
      <c r="AT94" s="65">
        <f t="shared" si="38"/>
        <v>38</v>
      </c>
      <c r="AU94" s="65">
        <f t="shared" si="24"/>
        <v>36.56833779894724</v>
      </c>
      <c r="AV94" s="65">
        <f>$Y$18/1000*CURVES!O53+VLOOKUP($B94,$AU$10:$AV$14,2,FALSE)</f>
        <v>75.519119288019141</v>
      </c>
      <c r="AW94" s="65">
        <f t="shared" si="25"/>
        <v>48.955239575436813</v>
      </c>
      <c r="AX94" s="65">
        <f>CHOOSE(AX$18,CURVES!B53,CURVES!C53)</f>
        <v>41.859677419354838</v>
      </c>
      <c r="AY94" s="65">
        <f t="shared" si="26"/>
        <v>45.865478622111048</v>
      </c>
    </row>
    <row r="95" spans="1:51">
      <c r="A95" s="75">
        <v>38443</v>
      </c>
      <c r="B95" s="2">
        <f t="shared" si="34"/>
        <v>2005</v>
      </c>
      <c r="C95" s="2">
        <f t="shared" si="19"/>
        <v>4</v>
      </c>
      <c r="D95" s="43">
        <v>5.6383429443267997E-2</v>
      </c>
      <c r="E95" s="44">
        <f t="shared" ca="1" si="35"/>
        <v>0.78501593522295354</v>
      </c>
      <c r="F95" s="44"/>
      <c r="G95" s="10"/>
      <c r="H95" s="10">
        <f t="shared" si="36"/>
        <v>12285.078081279138</v>
      </c>
      <c r="I95" s="10">
        <f t="shared" si="36"/>
        <v>11123.147635241676</v>
      </c>
      <c r="K95" s="46">
        <f t="shared" si="32"/>
        <v>2319.8402777777778</v>
      </c>
      <c r="L95" s="46">
        <f t="shared" si="32"/>
        <v>1179.1659722222223</v>
      </c>
      <c r="M95" s="46">
        <f t="shared" si="32"/>
        <v>811.58611111111111</v>
      </c>
      <c r="N95" s="46">
        <f t="shared" si="32"/>
        <v>3.0416666666666665</v>
      </c>
      <c r="O95" s="46">
        <f t="shared" si="39"/>
        <v>4313.6340277777781</v>
      </c>
      <c r="P95" s="46">
        <f t="shared" si="5"/>
        <v>2923.3945906815438</v>
      </c>
      <c r="Q95" s="46">
        <f t="shared" si="20"/>
        <v>7237.0286184593224</v>
      </c>
      <c r="R95" s="10">
        <f t="shared" si="11"/>
        <v>5048.0494628198157</v>
      </c>
      <c r="T95" s="65">
        <f t="shared" si="12"/>
        <v>48.72</v>
      </c>
      <c r="U95" s="65">
        <f t="shared" si="37"/>
        <v>23</v>
      </c>
      <c r="V95" s="65">
        <f t="shared" si="37"/>
        <v>34</v>
      </c>
      <c r="W95" s="65">
        <f t="shared" si="37"/>
        <v>38</v>
      </c>
      <c r="X95" s="65">
        <f t="shared" si="21"/>
        <v>38.912189982891782</v>
      </c>
      <c r="Y95" s="65">
        <f>$Y$18/1000*CURVES!K54+VLOOKUP($B95,$X$10:$Y$14,2,FALSE)</f>
        <v>74.46063272849463</v>
      </c>
      <c r="Z95" s="65">
        <f t="shared" si="22"/>
        <v>53.271968105721932</v>
      </c>
      <c r="AA95" s="65">
        <f>CHOOSE(AA$18,CURVES!F54,CURVES!G54)</f>
        <v>36.716666666666661</v>
      </c>
      <c r="AB95" s="65">
        <f t="shared" si="15"/>
        <v>46.469245324204095</v>
      </c>
      <c r="AD95" s="65"/>
      <c r="AH95" s="46">
        <f t="shared" si="33"/>
        <v>1937.9310849074075</v>
      </c>
      <c r="AI95" s="46">
        <f t="shared" si="33"/>
        <v>0</v>
      </c>
      <c r="AJ95" s="46">
        <f t="shared" si="33"/>
        <v>2070.9500209392572</v>
      </c>
      <c r="AK95" s="46">
        <f t="shared" si="33"/>
        <v>513.91932921853174</v>
      </c>
      <c r="AL95" s="46">
        <f t="shared" si="40"/>
        <v>4522.8004350651963</v>
      </c>
      <c r="AM95" s="46">
        <f t="shared" si="6"/>
        <v>2152.9968589041096</v>
      </c>
      <c r="AN95" s="46">
        <f t="shared" si="23"/>
        <v>6675.7972939693063</v>
      </c>
      <c r="AO95" s="10">
        <f t="shared" si="16"/>
        <v>4447.3503412723694</v>
      </c>
      <c r="AQ95" s="65">
        <f t="shared" si="17"/>
        <v>43</v>
      </c>
      <c r="AR95" s="65"/>
      <c r="AS95" s="65">
        <f t="shared" si="38"/>
        <v>30</v>
      </c>
      <c r="AT95" s="65">
        <f t="shared" si="38"/>
        <v>38</v>
      </c>
      <c r="AU95" s="65">
        <f t="shared" si="24"/>
        <v>36.479272998726103</v>
      </c>
      <c r="AV95" s="65">
        <f>$Y$18/1000*CURVES!O54+VLOOKUP($B95,$AU$10:$AV$14,2,FALSE)</f>
        <v>74.227619288019156</v>
      </c>
      <c r="AW95" s="65">
        <f t="shared" si="25"/>
        <v>48.653410020994741</v>
      </c>
      <c r="AX95" s="65">
        <f>CHOOSE(AX$18,CURVES!B54,CURVES!C54)</f>
        <v>39.502222222222215</v>
      </c>
      <c r="AY95" s="65">
        <f t="shared" si="26"/>
        <v>44.994505229425435</v>
      </c>
    </row>
    <row r="96" spans="1:51">
      <c r="A96" s="75">
        <v>38473</v>
      </c>
      <c r="B96" s="2">
        <f t="shared" si="34"/>
        <v>2005</v>
      </c>
      <c r="C96" s="2">
        <f t="shared" si="19"/>
        <v>5</v>
      </c>
      <c r="D96" s="43">
        <v>5.6443854983896001E-2</v>
      </c>
      <c r="E96" s="44">
        <f t="shared" ca="1" si="35"/>
        <v>0.78111623220508464</v>
      </c>
      <c r="F96" s="44"/>
      <c r="G96" s="10"/>
      <c r="H96" s="10">
        <f t="shared" si="36"/>
        <v>12981.627613078888</v>
      </c>
      <c r="I96" s="10">
        <f t="shared" si="36"/>
        <v>12116.091440227869</v>
      </c>
      <c r="K96" s="46">
        <f t="shared" si="32"/>
        <v>2226.0672043010754</v>
      </c>
      <c r="L96" s="46">
        <f t="shared" si="32"/>
        <v>1023.6263440860215</v>
      </c>
      <c r="M96" s="46">
        <f t="shared" si="32"/>
        <v>950.16532258064512</v>
      </c>
      <c r="N96" s="46">
        <f t="shared" si="32"/>
        <v>3.3051075268817205</v>
      </c>
      <c r="O96" s="46">
        <f t="shared" si="39"/>
        <v>4203.1639784946237</v>
      </c>
      <c r="P96" s="46">
        <f t="shared" si="5"/>
        <v>2831.510502104928</v>
      </c>
      <c r="Q96" s="46">
        <f t="shared" si="20"/>
        <v>7034.6744805995513</v>
      </c>
      <c r="R96" s="10">
        <f t="shared" si="11"/>
        <v>5946.953132479337</v>
      </c>
      <c r="T96" s="65">
        <f t="shared" si="12"/>
        <v>48.72</v>
      </c>
      <c r="U96" s="65">
        <f t="shared" si="37"/>
        <v>23</v>
      </c>
      <c r="V96" s="65">
        <f t="shared" si="37"/>
        <v>34</v>
      </c>
      <c r="W96" s="65">
        <f t="shared" si="37"/>
        <v>38</v>
      </c>
      <c r="X96" s="65">
        <f t="shared" si="21"/>
        <v>39.120199926194871</v>
      </c>
      <c r="Y96" s="65">
        <f>$Y$18/1000*CURVES!K55+VLOOKUP($B96,$X$10:$Y$14,2,FALSE)</f>
        <v>74.198132728494627</v>
      </c>
      <c r="Z96" s="65">
        <f t="shared" si="22"/>
        <v>53.239337264498204</v>
      </c>
      <c r="AA96" s="65">
        <f>CHOOSE(AA$18,CURVES!F55,CURVES!G55)</f>
        <v>35.295161290322575</v>
      </c>
      <c r="AB96" s="65">
        <f t="shared" si="15"/>
        <v>45.01901415094104</v>
      </c>
      <c r="AD96" s="65"/>
      <c r="AH96" s="46">
        <f t="shared" si="33"/>
        <v>1895.2591032026239</v>
      </c>
      <c r="AI96" s="46">
        <f t="shared" si="33"/>
        <v>0</v>
      </c>
      <c r="AJ96" s="46">
        <f t="shared" si="33"/>
        <v>1877.6303324734643</v>
      </c>
      <c r="AK96" s="46">
        <f t="shared" si="33"/>
        <v>570.53181663934993</v>
      </c>
      <c r="AL96" s="46">
        <f t="shared" si="40"/>
        <v>4343.4212523154383</v>
      </c>
      <c r="AM96" s="46">
        <f t="shared" si="6"/>
        <v>2186.8418319892476</v>
      </c>
      <c r="AN96" s="46">
        <f t="shared" si="23"/>
        <v>6530.2630843046863</v>
      </c>
      <c r="AO96" s="10">
        <f t="shared" si="16"/>
        <v>5585.8283559231822</v>
      </c>
      <c r="AQ96" s="65">
        <f t="shared" si="17"/>
        <v>43</v>
      </c>
      <c r="AR96" s="65"/>
      <c r="AS96" s="65">
        <f t="shared" si="38"/>
        <v>30</v>
      </c>
      <c r="AT96" s="65">
        <f t="shared" si="38"/>
        <v>38</v>
      </c>
      <c r="AU96" s="65">
        <f t="shared" si="24"/>
        <v>36.723414833221909</v>
      </c>
      <c r="AV96" s="65">
        <f>$Y$18/1000*CURVES!O55+VLOOKUP($B96,$AU$10:$AV$14,2,FALSE)</f>
        <v>73.965119288019153</v>
      </c>
      <c r="AW96" s="65">
        <f t="shared" si="25"/>
        <v>49.194844566592664</v>
      </c>
      <c r="AX96" s="65">
        <f>CHOOSE(AX$18,CURVES!B55,CURVES!C55)</f>
        <v>38.974731182795693</v>
      </c>
      <c r="AY96" s="65">
        <f t="shared" si="26"/>
        <v>44.48311063642273</v>
      </c>
    </row>
    <row r="97" spans="1:51">
      <c r="A97" s="75">
        <v>38504</v>
      </c>
      <c r="B97" s="2">
        <f t="shared" si="34"/>
        <v>2005</v>
      </c>
      <c r="C97" s="2">
        <f t="shared" si="19"/>
        <v>6</v>
      </c>
      <c r="D97" s="43">
        <v>5.6506294710489999E-2</v>
      </c>
      <c r="E97" s="44">
        <f t="shared" ca="1" si="35"/>
        <v>0.77733985075135215</v>
      </c>
      <c r="F97" s="44"/>
      <c r="G97" s="10"/>
      <c r="H97" s="10">
        <f t="shared" si="36"/>
        <v>14346.282097891051</v>
      </c>
      <c r="I97" s="10">
        <f t="shared" si="36"/>
        <v>13662.423720820148</v>
      </c>
      <c r="K97" s="46">
        <f t="shared" ref="K97:P97" si="41">K85</f>
        <v>2252.1333333333332</v>
      </c>
      <c r="L97" s="46">
        <f t="shared" si="41"/>
        <v>1398.3916666666667</v>
      </c>
      <c r="M97" s="46">
        <f t="shared" si="41"/>
        <v>957.04027777777776</v>
      </c>
      <c r="N97" s="46">
        <f t="shared" si="41"/>
        <v>3.526388888888889</v>
      </c>
      <c r="O97" s="46">
        <f t="shared" si="39"/>
        <v>4611.0916666666662</v>
      </c>
      <c r="P97" s="46">
        <f t="shared" si="41"/>
        <v>3175.7411781346573</v>
      </c>
      <c r="Q97" s="46">
        <f t="shared" si="20"/>
        <v>7786.8328448013235</v>
      </c>
      <c r="R97" s="10">
        <f t="shared" si="11"/>
        <v>6559.4492530897287</v>
      </c>
      <c r="T97" s="65">
        <f t="shared" si="12"/>
        <v>48.72</v>
      </c>
      <c r="U97" s="65">
        <f t="shared" si="37"/>
        <v>23</v>
      </c>
      <c r="V97" s="65">
        <f t="shared" si="37"/>
        <v>34</v>
      </c>
      <c r="W97" s="65">
        <f t="shared" si="37"/>
        <v>38</v>
      </c>
      <c r="X97" s="65">
        <f t="shared" si="21"/>
        <v>37.856613829094464</v>
      </c>
      <c r="Y97" s="65">
        <f>$Y$18/1000*CURVES!K56+VLOOKUP($B97,$X$10:$Y$14,2,FALSE)</f>
        <v>74.502632728494618</v>
      </c>
      <c r="Z97" s="65">
        <f t="shared" si="22"/>
        <v>52.802134498800754</v>
      </c>
      <c r="AA97" s="65">
        <f>CHOOSE(AA$18,CURVES!F56,CURVES!G56)</f>
        <v>46.694444444444443</v>
      </c>
      <c r="AB97" s="65">
        <f t="shared" si="15"/>
        <v>50.009558506513493</v>
      </c>
      <c r="AD97" s="65"/>
      <c r="AH97" s="46">
        <f t="shared" ref="AH97:AK116" si="42">AH85</f>
        <v>1881.3705563400365</v>
      </c>
      <c r="AI97" s="46">
        <f t="shared" si="42"/>
        <v>0</v>
      </c>
      <c r="AJ97" s="46">
        <f t="shared" si="42"/>
        <v>1162.1616861734683</v>
      </c>
      <c r="AK97" s="46">
        <f t="shared" si="42"/>
        <v>631.24071210358352</v>
      </c>
      <c r="AL97" s="46">
        <f t="shared" si="40"/>
        <v>3674.7729546170881</v>
      </c>
      <c r="AM97" s="46">
        <f t="shared" ref="AM97:AM128" si="43">AM85</f>
        <v>2754.0461410958906</v>
      </c>
      <c r="AN97" s="46">
        <f t="shared" si="23"/>
        <v>6428.8190957129791</v>
      </c>
      <c r="AO97" s="10">
        <f t="shared" si="16"/>
        <v>7233.6046251071693</v>
      </c>
      <c r="AQ97" s="65">
        <f t="shared" si="17"/>
        <v>43</v>
      </c>
      <c r="AR97" s="65"/>
      <c r="AS97" s="65">
        <f t="shared" si="38"/>
        <v>30</v>
      </c>
      <c r="AT97" s="65">
        <f t="shared" si="38"/>
        <v>38</v>
      </c>
      <c r="AU97" s="65">
        <f t="shared" si="24"/>
        <v>38.029813894263803</v>
      </c>
      <c r="AV97" s="65">
        <f>$Y$18/1000*CURVES!O56+VLOOKUP($B97,$AU$10:$AV$14,2,FALSE)</f>
        <v>74.269619288019157</v>
      </c>
      <c r="AW97" s="65">
        <f t="shared" si="25"/>
        <v>53.5546085280548</v>
      </c>
      <c r="AX97" s="65">
        <f>CHOOSE(AX$18,CURVES!B56,CURVES!C56)</f>
        <v>44.713333333333331</v>
      </c>
      <c r="AY97" s="65">
        <f t="shared" si="26"/>
        <v>48.873573124144535</v>
      </c>
    </row>
    <row r="98" spans="1:51">
      <c r="A98" s="75">
        <v>38534</v>
      </c>
      <c r="B98" s="2">
        <f t="shared" si="34"/>
        <v>2005</v>
      </c>
      <c r="C98" s="2">
        <f t="shared" si="19"/>
        <v>7</v>
      </c>
      <c r="D98" s="43">
        <v>5.6566720253589997E-2</v>
      </c>
      <c r="E98" s="44">
        <f t="shared" ca="1" si="35"/>
        <v>0.77346285672947912</v>
      </c>
      <c r="F98" s="44"/>
      <c r="G98" s="10"/>
      <c r="H98" s="10">
        <f t="shared" si="36"/>
        <v>14159.675065413358</v>
      </c>
      <c r="I98" s="10">
        <f t="shared" si="36"/>
        <v>12969.612219571845</v>
      </c>
      <c r="K98" s="46">
        <f t="shared" ref="K98:P98" si="44">K86</f>
        <v>2248.4569892473119</v>
      </c>
      <c r="L98" s="46">
        <f t="shared" si="44"/>
        <v>1358.3225806451612</v>
      </c>
      <c r="M98" s="46">
        <f t="shared" si="44"/>
        <v>653.55107526881716</v>
      </c>
      <c r="N98" s="46">
        <f t="shared" si="44"/>
        <v>3.8373655913978495</v>
      </c>
      <c r="O98" s="46">
        <f t="shared" si="39"/>
        <v>4264.1680107526872</v>
      </c>
      <c r="P98" s="46">
        <f t="shared" si="44"/>
        <v>3349.3895623880758</v>
      </c>
      <c r="Q98" s="46">
        <f t="shared" si="20"/>
        <v>7613.5575731407625</v>
      </c>
      <c r="R98" s="10">
        <f t="shared" si="11"/>
        <v>6546.1174922725932</v>
      </c>
      <c r="T98" s="65">
        <f t="shared" si="12"/>
        <v>48.72</v>
      </c>
      <c r="U98" s="65">
        <f t="shared" si="37"/>
        <v>23</v>
      </c>
      <c r="V98" s="65">
        <f t="shared" si="37"/>
        <v>34</v>
      </c>
      <c r="W98" s="65">
        <f t="shared" si="37"/>
        <v>38</v>
      </c>
      <c r="X98" s="65">
        <f t="shared" si="21"/>
        <v>38.261344278923424</v>
      </c>
      <c r="Y98" s="65">
        <f>$Y$18/1000*CURVES!K57+VLOOKUP($B98,$X$10:$Y$14,2,FALSE)</f>
        <v>74.81763272849463</v>
      </c>
      <c r="Z98" s="65">
        <f t="shared" si="22"/>
        <v>54.343346653817378</v>
      </c>
      <c r="AA98" s="65">
        <f>CHOOSE(AA$18,CURVES!F57,CURVES!G57)</f>
        <v>60.580107526881719</v>
      </c>
      <c r="AB98" s="65">
        <f t="shared" si="15"/>
        <v>57.226645123427836</v>
      </c>
      <c r="AD98" s="65"/>
      <c r="AH98" s="46">
        <f t="shared" si="42"/>
        <v>1914.3216201186069</v>
      </c>
      <c r="AI98" s="46">
        <f t="shared" si="42"/>
        <v>0</v>
      </c>
      <c r="AJ98" s="46">
        <f t="shared" si="42"/>
        <v>1193.3319743059751</v>
      </c>
      <c r="AK98" s="46">
        <f t="shared" si="42"/>
        <v>610.72305844211053</v>
      </c>
      <c r="AL98" s="46">
        <f t="shared" si="40"/>
        <v>3718.3766528666924</v>
      </c>
      <c r="AM98" s="46">
        <f t="shared" si="43"/>
        <v>2586.7318602150535</v>
      </c>
      <c r="AN98" s="46">
        <f t="shared" si="23"/>
        <v>6305.1085130817464</v>
      </c>
      <c r="AO98" s="10">
        <f t="shared" si="16"/>
        <v>6664.5037064900989</v>
      </c>
      <c r="AQ98" s="65">
        <f t="shared" si="17"/>
        <v>43</v>
      </c>
      <c r="AR98" s="65"/>
      <c r="AS98" s="65">
        <f t="shared" si="38"/>
        <v>30</v>
      </c>
      <c r="AT98" s="65">
        <f t="shared" si="38"/>
        <v>38</v>
      </c>
      <c r="AU98" s="65">
        <f t="shared" si="24"/>
        <v>38.006710537547619</v>
      </c>
      <c r="AV98" s="65">
        <f>$Y$18/1000*CURVES!O57+VLOOKUP($B98,$AU$10:$AV$14,2,FALSE)</f>
        <v>74.584619288019155</v>
      </c>
      <c r="AW98" s="65">
        <f t="shared" si="25"/>
        <v>53.013152020445688</v>
      </c>
      <c r="AX98" s="65">
        <f>CHOOSE(AX$18,CURVES!B57,CURVES!C57)</f>
        <v>61.187096774193549</v>
      </c>
      <c r="AY98" s="65">
        <f t="shared" si="26"/>
        <v>57.213376682968118</v>
      </c>
    </row>
    <row r="99" spans="1:51">
      <c r="A99" s="75">
        <v>38565</v>
      </c>
      <c r="B99" s="2">
        <f t="shared" si="34"/>
        <v>2005</v>
      </c>
      <c r="C99" s="2">
        <f t="shared" si="19"/>
        <v>8</v>
      </c>
      <c r="D99" s="43">
        <v>5.6629159982736002E-2</v>
      </c>
      <c r="E99" s="44">
        <f t="shared" ca="1" si="35"/>
        <v>0.76959045895689948</v>
      </c>
      <c r="F99" s="44"/>
      <c r="G99" s="10"/>
      <c r="H99" s="10">
        <f t="shared" si="36"/>
        <v>15184.436688803838</v>
      </c>
      <c r="I99" s="10">
        <f t="shared" si="36"/>
        <v>13451.633927331643</v>
      </c>
      <c r="K99" s="46">
        <f t="shared" ref="K99:P99" si="45">K87</f>
        <v>2226.0658602150538</v>
      </c>
      <c r="L99" s="46">
        <f t="shared" si="45"/>
        <v>1361.989247311828</v>
      </c>
      <c r="M99" s="46">
        <f t="shared" si="45"/>
        <v>483.36424731182797</v>
      </c>
      <c r="N99" s="46">
        <f t="shared" si="45"/>
        <v>3.924731182795699</v>
      </c>
      <c r="O99" s="46">
        <f t="shared" si="39"/>
        <v>4075.3440860215055</v>
      </c>
      <c r="P99" s="46">
        <f t="shared" si="45"/>
        <v>3426.252928840011</v>
      </c>
      <c r="Q99" s="46">
        <f t="shared" si="20"/>
        <v>7501.5970148615161</v>
      </c>
      <c r="R99" s="10">
        <f t="shared" si="11"/>
        <v>7682.8396739423224</v>
      </c>
      <c r="T99" s="65">
        <f t="shared" si="12"/>
        <v>48.72</v>
      </c>
      <c r="U99" s="65">
        <f t="shared" si="37"/>
        <v>23</v>
      </c>
      <c r="V99" s="65">
        <f t="shared" si="37"/>
        <v>34</v>
      </c>
      <c r="W99" s="65">
        <f t="shared" si="37"/>
        <v>38</v>
      </c>
      <c r="X99" s="65">
        <f t="shared" si="21"/>
        <v>38.368099058856423</v>
      </c>
      <c r="Y99" s="65">
        <f>$Y$18/1000*CURVES!K58+VLOOKUP($B99,$X$10:$Y$14,2,FALSE)</f>
        <v>75.027632728494623</v>
      </c>
      <c r="Z99" s="65">
        <f t="shared" si="22"/>
        <v>55.111845004775596</v>
      </c>
      <c r="AA99" s="65">
        <f>CHOOSE(AA$18,CURVES!F58,CURVES!G58)</f>
        <v>67.337096774193554</v>
      </c>
      <c r="AB99" s="65">
        <f t="shared" si="15"/>
        <v>61.297431684278344</v>
      </c>
      <c r="AD99" s="65"/>
      <c r="AH99" s="46">
        <f t="shared" si="42"/>
        <v>1859.5945026415061</v>
      </c>
      <c r="AI99" s="46">
        <f t="shared" si="42"/>
        <v>0</v>
      </c>
      <c r="AJ99" s="46">
        <f t="shared" si="42"/>
        <v>1584.5088037693729</v>
      </c>
      <c r="AK99" s="46">
        <f t="shared" si="42"/>
        <v>621.50165686237608</v>
      </c>
      <c r="AL99" s="46">
        <f t="shared" si="40"/>
        <v>4065.6049632732547</v>
      </c>
      <c r="AM99" s="46">
        <f t="shared" si="43"/>
        <v>2208.289016129032</v>
      </c>
      <c r="AN99" s="46">
        <f t="shared" si="23"/>
        <v>6273.8939794022863</v>
      </c>
      <c r="AO99" s="10">
        <f t="shared" si="16"/>
        <v>7177.7399479293545</v>
      </c>
      <c r="AQ99" s="65">
        <f t="shared" si="17"/>
        <v>43</v>
      </c>
      <c r="AR99" s="65"/>
      <c r="AS99" s="65">
        <f t="shared" si="38"/>
        <v>30</v>
      </c>
      <c r="AT99" s="65">
        <f t="shared" si="38"/>
        <v>38</v>
      </c>
      <c r="AU99" s="65">
        <f t="shared" si="24"/>
        <v>37.169103258318607</v>
      </c>
      <c r="AV99" s="65">
        <f>$Y$18/1000*CURVES!O58+VLOOKUP($B99,$AU$10:$AV$14,2,FALSE)</f>
        <v>74.794619288019149</v>
      </c>
      <c r="AW99" s="65">
        <f t="shared" si="25"/>
        <v>50.412555259158815</v>
      </c>
      <c r="AX99" s="65">
        <f>CHOOSE(AX$18,CURVES!B58,CURVES!C58)</f>
        <v>71.440322580645159</v>
      </c>
      <c r="AY99" s="65">
        <f t="shared" si="26"/>
        <v>61.63289074662147</v>
      </c>
    </row>
    <row r="100" spans="1:51">
      <c r="A100" s="75">
        <v>38596</v>
      </c>
      <c r="B100" s="2">
        <f t="shared" si="34"/>
        <v>2005</v>
      </c>
      <c r="C100" s="2">
        <f t="shared" si="19"/>
        <v>9</v>
      </c>
      <c r="D100" s="43">
        <v>5.6691599713180003E-2</v>
      </c>
      <c r="E100" s="44">
        <f t="shared" ca="1" si="35"/>
        <v>0.76584676971047827</v>
      </c>
      <c r="F100" s="44"/>
      <c r="G100" s="10"/>
      <c r="H100" s="10">
        <f t="shared" si="36"/>
        <v>13754.239646479662</v>
      </c>
      <c r="I100" s="10">
        <f t="shared" si="36"/>
        <v>12670.575502292615</v>
      </c>
      <c r="K100" s="46">
        <f t="shared" ref="K100:P100" si="46">K88</f>
        <v>2263.6333333333332</v>
      </c>
      <c r="L100" s="46">
        <f t="shared" si="46"/>
        <v>1380.7361111111111</v>
      </c>
      <c r="M100" s="46">
        <f t="shared" si="46"/>
        <v>542.60277777777776</v>
      </c>
      <c r="N100" s="46">
        <f t="shared" si="46"/>
        <v>3.4194444444444443</v>
      </c>
      <c r="O100" s="46">
        <f t="shared" si="39"/>
        <v>4190.3916666666673</v>
      </c>
      <c r="P100" s="46">
        <f t="shared" si="46"/>
        <v>3348.1339323547272</v>
      </c>
      <c r="Q100" s="46">
        <f t="shared" si="20"/>
        <v>7538.5255990213946</v>
      </c>
      <c r="R100" s="10">
        <f t="shared" si="11"/>
        <v>6215.7140474582684</v>
      </c>
      <c r="T100" s="65">
        <f t="shared" si="12"/>
        <v>48.72</v>
      </c>
      <c r="U100" s="65">
        <f t="shared" si="37"/>
        <v>23</v>
      </c>
      <c r="V100" s="65">
        <f t="shared" si="37"/>
        <v>34</v>
      </c>
      <c r="W100" s="65">
        <f t="shared" si="37"/>
        <v>38</v>
      </c>
      <c r="X100" s="65">
        <f t="shared" si="21"/>
        <v>38.330445615995849</v>
      </c>
      <c r="Y100" s="65">
        <f>$Y$18/1000*CURVES!K59+VLOOKUP($B100,$X$10:$Y$14,2,FALSE)</f>
        <v>75.248132728494625</v>
      </c>
      <c r="Z100" s="65">
        <f t="shared" si="22"/>
        <v>54.726935791933919</v>
      </c>
      <c r="AA100" s="65">
        <f>CHOOSE(AA$18,CURVES!F59,CURVES!G59)</f>
        <v>61.06666666666667</v>
      </c>
      <c r="AB100" s="65">
        <f t="shared" si="15"/>
        <v>57.591939984678739</v>
      </c>
      <c r="AD100" s="65"/>
      <c r="AH100" s="46">
        <f t="shared" si="42"/>
        <v>1890.9773416389726</v>
      </c>
      <c r="AI100" s="46">
        <f t="shared" si="42"/>
        <v>0</v>
      </c>
      <c r="AJ100" s="46">
        <f t="shared" si="42"/>
        <v>765.82060543821262</v>
      </c>
      <c r="AK100" s="46">
        <f t="shared" si="42"/>
        <v>570.92254509204622</v>
      </c>
      <c r="AL100" s="46">
        <f t="shared" si="40"/>
        <v>3227.7204921692314</v>
      </c>
      <c r="AM100" s="46">
        <f t="shared" si="43"/>
        <v>2371.5769315068492</v>
      </c>
      <c r="AN100" s="46">
        <f t="shared" si="23"/>
        <v>5599.2974236760801</v>
      </c>
      <c r="AO100" s="10">
        <f t="shared" si="16"/>
        <v>7071.278078616534</v>
      </c>
      <c r="AQ100" s="65">
        <f t="shared" si="17"/>
        <v>43</v>
      </c>
      <c r="AR100" s="65"/>
      <c r="AS100" s="65">
        <f t="shared" si="38"/>
        <v>30</v>
      </c>
      <c r="AT100" s="65">
        <f t="shared" si="38"/>
        <v>38</v>
      </c>
      <c r="AU100" s="65">
        <f t="shared" si="24"/>
        <v>39.031167931908605</v>
      </c>
      <c r="AV100" s="65">
        <f>$Y$18/1000*CURVES!O59+VLOOKUP($B100,$AU$10:$AV$14,2,FALSE)</f>
        <v>75.01511928801915</v>
      </c>
      <c r="AW100" s="65">
        <f t="shared" si="25"/>
        <v>54.272135232514941</v>
      </c>
      <c r="AX100" s="65">
        <f>CHOOSE(AX$18,CURVES!B59,CURVES!C59)</f>
        <v>62.577777777777783</v>
      </c>
      <c r="AY100" s="65">
        <f t="shared" si="26"/>
        <v>58.907402829358908</v>
      </c>
    </row>
    <row r="101" spans="1:51">
      <c r="A101" s="75">
        <v>38626</v>
      </c>
      <c r="B101" s="2">
        <f t="shared" si="34"/>
        <v>2005</v>
      </c>
      <c r="C101" s="2">
        <f t="shared" si="19"/>
        <v>10</v>
      </c>
      <c r="D101" s="43">
        <v>5.6752025260006E-2</v>
      </c>
      <c r="E101" s="44">
        <f t="shared" ca="1" si="35"/>
        <v>0.76200418330402753</v>
      </c>
      <c r="F101" s="44"/>
      <c r="G101" s="10"/>
      <c r="H101" s="10">
        <f t="shared" si="36"/>
        <v>12777.674337426681</v>
      </c>
      <c r="I101" s="10">
        <f t="shared" si="36"/>
        <v>10967.297081279954</v>
      </c>
      <c r="K101" s="46">
        <f t="shared" ref="K101:P101" si="47">K89</f>
        <v>2069.2916666666665</v>
      </c>
      <c r="L101" s="46">
        <f t="shared" si="47"/>
        <v>1227.5241935483871</v>
      </c>
      <c r="M101" s="46">
        <f t="shared" si="47"/>
        <v>369.34005376344084</v>
      </c>
      <c r="N101" s="46">
        <f t="shared" si="47"/>
        <v>3.278225806451613</v>
      </c>
      <c r="O101" s="46">
        <f t="shared" si="39"/>
        <v>3669.4341397849457</v>
      </c>
      <c r="P101" s="46">
        <f t="shared" si="47"/>
        <v>3171.075494984625</v>
      </c>
      <c r="Q101" s="46">
        <f t="shared" si="20"/>
        <v>6840.5096347695708</v>
      </c>
      <c r="R101" s="10">
        <f t="shared" si="11"/>
        <v>5937.16470265711</v>
      </c>
      <c r="T101" s="65">
        <f t="shared" si="12"/>
        <v>48.72</v>
      </c>
      <c r="U101" s="65">
        <f t="shared" si="37"/>
        <v>23</v>
      </c>
      <c r="V101" s="65">
        <f t="shared" si="37"/>
        <v>34</v>
      </c>
      <c r="W101" s="65">
        <f t="shared" si="37"/>
        <v>38</v>
      </c>
      <c r="X101" s="65">
        <f t="shared" si="21"/>
        <v>38.624778497461044</v>
      </c>
      <c r="Y101" s="65">
        <f>$Y$18/1000*CURVES!K60+VLOOKUP($B101,$X$10:$Y$14,2,FALSE)</f>
        <v>75.563132728494622</v>
      </c>
      <c r="Z101" s="65">
        <f t="shared" si="22"/>
        <v>55.7484017625627</v>
      </c>
      <c r="AA101" s="65">
        <f>CHOOSE(AA$18,CURVES!F60,CURVES!G60)</f>
        <v>44.875806451612902</v>
      </c>
      <c r="AB101" s="65">
        <f t="shared" si="15"/>
        <v>50.696434761230705</v>
      </c>
      <c r="AD101" s="65"/>
      <c r="AH101" s="46">
        <f t="shared" si="42"/>
        <v>1913.8399491890309</v>
      </c>
      <c r="AI101" s="46">
        <f t="shared" si="42"/>
        <v>0</v>
      </c>
      <c r="AJ101" s="46">
        <f t="shared" si="42"/>
        <v>1075.3801160883429</v>
      </c>
      <c r="AK101" s="46">
        <f t="shared" si="42"/>
        <v>576.38556050292607</v>
      </c>
      <c r="AL101" s="46">
        <f t="shared" si="40"/>
        <v>3565.6056257802998</v>
      </c>
      <c r="AM101" s="46">
        <f t="shared" si="43"/>
        <v>2259.7132500000002</v>
      </c>
      <c r="AN101" s="46">
        <f t="shared" si="23"/>
        <v>5825.3188757803</v>
      </c>
      <c r="AO101" s="10">
        <f t="shared" si="16"/>
        <v>5141.978205499654</v>
      </c>
      <c r="AQ101" s="65">
        <f t="shared" si="17"/>
        <v>43</v>
      </c>
      <c r="AR101" s="65"/>
      <c r="AS101" s="65">
        <f t="shared" si="38"/>
        <v>30</v>
      </c>
      <c r="AT101" s="65">
        <f t="shared" si="38"/>
        <v>38</v>
      </c>
      <c r="AU101" s="65">
        <f t="shared" si="24"/>
        <v>38.270966258930272</v>
      </c>
      <c r="AV101" s="65">
        <f>$Y$18/1000*CURVES!O60+VLOOKUP($B101,$AU$10:$AV$14,2,FALSE)</f>
        <v>75.330119288019148</v>
      </c>
      <c r="AW101" s="65">
        <f t="shared" si="25"/>
        <v>52.646670133577381</v>
      </c>
      <c r="AX101" s="65">
        <f>CHOOSE(AX$18,CURVES!B60,CURVES!C60)</f>
        <v>43.578494623655914</v>
      </c>
      <c r="AY101" s="65">
        <f t="shared" si="26"/>
        <v>48.395088318104207</v>
      </c>
    </row>
    <row r="102" spans="1:51">
      <c r="A102" s="75">
        <v>38657</v>
      </c>
      <c r="B102" s="2">
        <f t="shared" si="34"/>
        <v>2005</v>
      </c>
      <c r="C102" s="2">
        <f t="shared" si="19"/>
        <v>11</v>
      </c>
      <c r="D102" s="43">
        <v>5.6814464993004E-2</v>
      </c>
      <c r="E102" s="44">
        <f t="shared" ca="1" si="35"/>
        <v>0.75828228021036548</v>
      </c>
      <c r="F102" s="44"/>
      <c r="G102" s="10"/>
      <c r="H102" s="10">
        <f t="shared" si="36"/>
        <v>12499.089522862241</v>
      </c>
      <c r="I102" s="10">
        <f t="shared" si="36"/>
        <v>11133.771006011031</v>
      </c>
      <c r="K102" s="46">
        <f t="shared" ref="K102:P102" si="48">K90</f>
        <v>2201.1583333333333</v>
      </c>
      <c r="L102" s="46">
        <f t="shared" si="48"/>
        <v>1270.0277777777778</v>
      </c>
      <c r="M102" s="46">
        <f t="shared" si="48"/>
        <v>241.3111111111111</v>
      </c>
      <c r="N102" s="46">
        <f t="shared" si="48"/>
        <v>3.1194444444444445</v>
      </c>
      <c r="O102" s="46">
        <f t="shared" si="39"/>
        <v>3715.6166666666668</v>
      </c>
      <c r="P102" s="46">
        <f t="shared" si="48"/>
        <v>3029.0331582980816</v>
      </c>
      <c r="Q102" s="46">
        <f t="shared" si="20"/>
        <v>6744.6498249647484</v>
      </c>
      <c r="R102" s="10">
        <f t="shared" si="11"/>
        <v>5754.4396978974928</v>
      </c>
      <c r="T102" s="65">
        <f t="shared" si="12"/>
        <v>48.72</v>
      </c>
      <c r="U102" s="65">
        <f t="shared" si="37"/>
        <v>23</v>
      </c>
      <c r="V102" s="65">
        <f t="shared" si="37"/>
        <v>34</v>
      </c>
      <c r="W102" s="65">
        <f t="shared" si="37"/>
        <v>38</v>
      </c>
      <c r="X102" s="65">
        <f t="shared" si="21"/>
        <v>38.963704424717896</v>
      </c>
      <c r="Y102" s="65">
        <f>$Y$18/1000*CURVES!K61+VLOOKUP($B102,$X$10:$Y$14,2,FALSE)</f>
        <v>75.77313272849463</v>
      </c>
      <c r="Z102" s="65">
        <f t="shared" si="22"/>
        <v>55.494878283060999</v>
      </c>
      <c r="AA102" s="65">
        <f>CHOOSE(AA$18,CURVES!F61,CURVES!G61)</f>
        <v>36.761111111111106</v>
      </c>
      <c r="AB102" s="65">
        <f t="shared" si="15"/>
        <v>46.870063386883579</v>
      </c>
      <c r="AD102" s="65"/>
      <c r="AH102" s="46">
        <f t="shared" si="42"/>
        <v>1838.7874362867092</v>
      </c>
      <c r="AI102" s="46">
        <f t="shared" si="42"/>
        <v>0</v>
      </c>
      <c r="AJ102" s="46">
        <f t="shared" si="42"/>
        <v>1347.8791847211178</v>
      </c>
      <c r="AK102" s="46">
        <f t="shared" si="42"/>
        <v>499.43911251442188</v>
      </c>
      <c r="AL102" s="46">
        <f t="shared" si="40"/>
        <v>3686.105733522249</v>
      </c>
      <c r="AM102" s="46">
        <f t="shared" si="43"/>
        <v>2451.2376410958905</v>
      </c>
      <c r="AN102" s="46">
        <f t="shared" si="23"/>
        <v>6137.3433746181399</v>
      </c>
      <c r="AO102" s="10">
        <f t="shared" si="16"/>
        <v>4996.4276313928922</v>
      </c>
      <c r="AQ102" s="65">
        <f t="shared" si="17"/>
        <v>43</v>
      </c>
      <c r="AR102" s="65"/>
      <c r="AS102" s="65">
        <f t="shared" si="38"/>
        <v>30</v>
      </c>
      <c r="AT102" s="65">
        <f t="shared" si="38"/>
        <v>38</v>
      </c>
      <c r="AU102" s="65">
        <f t="shared" si="24"/>
        <v>37.568895628282228</v>
      </c>
      <c r="AV102" s="65">
        <f>$Y$18/1000*CURVES!O61+VLOOKUP($B102,$AU$10:$AV$14,2,FALSE)</f>
        <v>75.540119288019156</v>
      </c>
      <c r="AW102" s="65">
        <f t="shared" si="25"/>
        <v>52.734495307477154</v>
      </c>
      <c r="AX102" s="65">
        <f>CHOOSE(AX$18,CURVES!B61,CURVES!C61)</f>
        <v>41.99444444444444</v>
      </c>
      <c r="AY102" s="65">
        <f t="shared" si="26"/>
        <v>47.914754820121154</v>
      </c>
    </row>
    <row r="103" spans="1:51">
      <c r="A103" s="75">
        <v>38687</v>
      </c>
      <c r="B103" s="2">
        <f t="shared" si="34"/>
        <v>2005</v>
      </c>
      <c r="C103" s="2">
        <f t="shared" si="19"/>
        <v>12</v>
      </c>
      <c r="D103" s="43">
        <v>5.6874890542300001E-2</v>
      </c>
      <c r="E103" s="44">
        <f t="shared" ca="1" si="35"/>
        <v>0.75446260708661095</v>
      </c>
      <c r="F103" s="44"/>
      <c r="G103" s="10"/>
      <c r="H103" s="10">
        <f t="shared" si="36"/>
        <v>12409.089621573798</v>
      </c>
      <c r="I103" s="10">
        <f t="shared" si="36"/>
        <v>11108.477017653488</v>
      </c>
      <c r="K103" s="46">
        <f t="shared" ref="K103:P103" si="49">K91</f>
        <v>2256.4126344086021</v>
      </c>
      <c r="L103" s="46">
        <f t="shared" si="49"/>
        <v>1157.2150537634409</v>
      </c>
      <c r="M103" s="46">
        <f t="shared" si="49"/>
        <v>239.86021505376345</v>
      </c>
      <c r="N103" s="46">
        <f t="shared" si="49"/>
        <v>2.9690860215053765</v>
      </c>
      <c r="O103" s="46">
        <f t="shared" si="39"/>
        <v>3656.4569892473123</v>
      </c>
      <c r="P103" s="46">
        <f t="shared" si="49"/>
        <v>2977.5968497309718</v>
      </c>
      <c r="Q103" s="46">
        <f t="shared" si="20"/>
        <v>6634.0538389782841</v>
      </c>
      <c r="R103" s="10">
        <f t="shared" si="11"/>
        <v>5775.0357825955143</v>
      </c>
      <c r="T103" s="65">
        <f t="shared" si="12"/>
        <v>48.72</v>
      </c>
      <c r="U103" s="65">
        <f t="shared" si="37"/>
        <v>23</v>
      </c>
      <c r="V103" s="65">
        <f t="shared" si="37"/>
        <v>34</v>
      </c>
      <c r="W103" s="65">
        <f t="shared" si="37"/>
        <v>38</v>
      </c>
      <c r="X103" s="65">
        <f t="shared" si="21"/>
        <v>39.60567368670241</v>
      </c>
      <c r="Y103" s="65">
        <f>$Y$18/1000*CURVES!K62+VLOOKUP($B103,$X$10:$Y$14,2,FALSE)</f>
        <v>77.08563272849463</v>
      </c>
      <c r="Z103" s="65">
        <f t="shared" si="22"/>
        <v>56.427998419007267</v>
      </c>
      <c r="AA103" s="65">
        <f>CHOOSE(AA$18,CURVES!F62,CURVES!G62)</f>
        <v>36.520967741935479</v>
      </c>
      <c r="AB103" s="65">
        <f t="shared" si="15"/>
        <v>47.16351423916494</v>
      </c>
      <c r="AD103" s="65"/>
      <c r="AH103" s="46">
        <f t="shared" si="42"/>
        <v>1921.095004536046</v>
      </c>
      <c r="AI103" s="46">
        <f t="shared" si="42"/>
        <v>0</v>
      </c>
      <c r="AJ103" s="46">
        <f t="shared" si="42"/>
        <v>1326.4786927345147</v>
      </c>
      <c r="AK103" s="46">
        <f t="shared" si="42"/>
        <v>519.61972313456249</v>
      </c>
      <c r="AL103" s="46">
        <f t="shared" si="40"/>
        <v>3767.1934204051231</v>
      </c>
      <c r="AM103" s="46">
        <f t="shared" si="43"/>
        <v>2024.2479112903225</v>
      </c>
      <c r="AN103" s="46">
        <f t="shared" si="23"/>
        <v>5791.4413316954451</v>
      </c>
      <c r="AO103" s="10">
        <f t="shared" si="16"/>
        <v>5317.0356859580424</v>
      </c>
      <c r="AQ103" s="65">
        <f t="shared" si="17"/>
        <v>43</v>
      </c>
      <c r="AR103" s="65"/>
      <c r="AS103" s="65">
        <f t="shared" si="38"/>
        <v>30</v>
      </c>
      <c r="AT103" s="65">
        <f t="shared" si="38"/>
        <v>38</v>
      </c>
      <c r="AU103" s="65">
        <f t="shared" si="24"/>
        <v>37.732863591833393</v>
      </c>
      <c r="AV103" s="65">
        <f>$Y$18/1000*CURVES!O62+VLOOKUP($B103,$AU$10:$AV$14,2,FALSE)</f>
        <v>76.852619288019156</v>
      </c>
      <c r="AW103" s="65">
        <f t="shared" si="25"/>
        <v>51.406158238679012</v>
      </c>
      <c r="AX103" s="65">
        <f>CHOOSE(AX$18,CURVES!B62,CURVES!C62)</f>
        <v>41.218279569892474</v>
      </c>
      <c r="AY103" s="65">
        <f t="shared" si="26"/>
        <v>46.529763899467312</v>
      </c>
    </row>
    <row r="104" spans="1:51">
      <c r="A104" s="75">
        <v>38718</v>
      </c>
      <c r="B104" s="2">
        <f t="shared" si="34"/>
        <v>2006</v>
      </c>
      <c r="C104" s="2">
        <f t="shared" si="19"/>
        <v>1</v>
      </c>
      <c r="D104" s="43">
        <v>5.6937330277851E-2</v>
      </c>
      <c r="E104" s="44">
        <f t="shared" ca="1" si="35"/>
        <v>0.75064718407743658</v>
      </c>
      <c r="F104" s="44"/>
      <c r="G104" s="10"/>
      <c r="H104" s="10">
        <f t="shared" ref="H104:I123" si="50">(1+$I$17)*H92</f>
        <v>12637.094057693526</v>
      </c>
      <c r="I104" s="10">
        <f t="shared" si="50"/>
        <v>12013.133724596584</v>
      </c>
      <c r="K104" s="46">
        <f t="shared" ref="K104:P104" si="51">K92</f>
        <v>2185.9180107526881</v>
      </c>
      <c r="L104" s="46">
        <f t="shared" si="51"/>
        <v>1282.3306451612902</v>
      </c>
      <c r="M104" s="46">
        <f t="shared" si="51"/>
        <v>142.8521505376344</v>
      </c>
      <c r="N104" s="46">
        <f t="shared" si="51"/>
        <v>3.168010752688172</v>
      </c>
      <c r="O104" s="46">
        <f t="shared" si="39"/>
        <v>3614.2688172043008</v>
      </c>
      <c r="P104" s="46">
        <f t="shared" si="51"/>
        <v>2792.6655547379</v>
      </c>
      <c r="Q104" s="46">
        <f t="shared" si="20"/>
        <v>6406.9343719422013</v>
      </c>
      <c r="R104" s="10">
        <f t="shared" si="11"/>
        <v>6230.1596857513268</v>
      </c>
      <c r="T104" s="65">
        <f t="shared" si="12"/>
        <v>48.72</v>
      </c>
      <c r="U104" s="65">
        <f t="shared" si="37"/>
        <v>23</v>
      </c>
      <c r="V104" s="65">
        <f t="shared" si="37"/>
        <v>34</v>
      </c>
      <c r="W104" s="65">
        <f t="shared" si="37"/>
        <v>38</v>
      </c>
      <c r="X104" s="65">
        <f t="shared" si="21"/>
        <v>39.003431946853418</v>
      </c>
      <c r="Y104" s="65">
        <f>$Y$18/1000*CURVES!K63+$Y$14</f>
        <v>77.967632728494621</v>
      </c>
      <c r="Z104" s="65">
        <f t="shared" si="22"/>
        <v>55.987214685023559</v>
      </c>
      <c r="AA104" s="65">
        <f>CHOOSE(AA$18,CURVES!F63,CURVES!G63)</f>
        <v>37.924193548387095</v>
      </c>
      <c r="AB104" s="65">
        <f t="shared" si="15"/>
        <v>47.082041899684171</v>
      </c>
      <c r="AD104" s="65"/>
      <c r="AH104" s="46">
        <f t="shared" si="42"/>
        <v>1826.0560878589888</v>
      </c>
      <c r="AI104" s="46">
        <f t="shared" si="42"/>
        <v>0</v>
      </c>
      <c r="AJ104" s="46">
        <f t="shared" si="42"/>
        <v>1744.0893186443859</v>
      </c>
      <c r="AK104" s="46">
        <f t="shared" si="42"/>
        <v>538.87289280137145</v>
      </c>
      <c r="AL104" s="46">
        <f t="shared" si="40"/>
        <v>4109.0182993047465</v>
      </c>
      <c r="AM104" s="46">
        <f t="shared" si="43"/>
        <v>2445.3687016129034</v>
      </c>
      <c r="AN104" s="46">
        <f t="shared" si="23"/>
        <v>6554.3870009176499</v>
      </c>
      <c r="AO104" s="10">
        <f t="shared" si="16"/>
        <v>5458.7467236789344</v>
      </c>
      <c r="AQ104" s="65">
        <f t="shared" si="17"/>
        <v>43</v>
      </c>
      <c r="AR104" s="65"/>
      <c r="AS104" s="65">
        <f t="shared" si="38"/>
        <v>30</v>
      </c>
      <c r="AT104" s="65">
        <f t="shared" si="38"/>
        <v>38</v>
      </c>
      <c r="AU104" s="65">
        <f t="shared" si="24"/>
        <v>36.826378040059808</v>
      </c>
      <c r="AV104" s="65">
        <f>$Y$18/1000*CURVES!O63+$AV$14</f>
        <v>77.734619288019161</v>
      </c>
      <c r="AW104" s="65">
        <f t="shared" si="25"/>
        <v>52.088786679004109</v>
      </c>
      <c r="AX104" s="65">
        <f>CHOOSE(AX$18,CURVES!B63,CURVES!C63)</f>
        <v>43.812903225806451</v>
      </c>
      <c r="AY104" s="65">
        <f t="shared" si="26"/>
        <v>48.328239870705886</v>
      </c>
    </row>
    <row r="105" spans="1:51">
      <c r="A105" s="75">
        <v>38749</v>
      </c>
      <c r="B105" s="2">
        <f t="shared" si="34"/>
        <v>2006</v>
      </c>
      <c r="C105" s="2">
        <f t="shared" si="19"/>
        <v>2</v>
      </c>
      <c r="D105" s="43">
        <v>5.6996310371456999E-2</v>
      </c>
      <c r="E105" s="44">
        <f t="shared" ca="1" si="35"/>
        <v>0.74720123963007112</v>
      </c>
      <c r="F105" s="44"/>
      <c r="G105" s="10"/>
      <c r="H105" s="10">
        <f t="shared" si="50"/>
        <v>12671.085338614173</v>
      </c>
      <c r="I105" s="10">
        <f t="shared" si="50"/>
        <v>11997.123057476461</v>
      </c>
      <c r="K105" s="46">
        <f t="shared" ref="K105:P105" si="52">K93</f>
        <v>2261.8764367816093</v>
      </c>
      <c r="L105" s="46">
        <f t="shared" si="52"/>
        <v>1335.9798850574712</v>
      </c>
      <c r="M105" s="46">
        <f t="shared" si="52"/>
        <v>236.0028735632184</v>
      </c>
      <c r="N105" s="46">
        <f t="shared" si="52"/>
        <v>3.8491379310344827</v>
      </c>
      <c r="O105" s="46">
        <f t="shared" si="39"/>
        <v>3837.7083333333335</v>
      </c>
      <c r="P105" s="46">
        <f t="shared" si="52"/>
        <v>3011.7717013676738</v>
      </c>
      <c r="Q105" s="46">
        <f t="shared" si="20"/>
        <v>6849.4800347010078</v>
      </c>
      <c r="R105" s="10">
        <f t="shared" si="11"/>
        <v>5821.6053039131657</v>
      </c>
      <c r="T105" s="65">
        <f t="shared" si="12"/>
        <v>48.72</v>
      </c>
      <c r="U105" s="65">
        <f t="shared" si="37"/>
        <v>23</v>
      </c>
      <c r="V105" s="65">
        <f t="shared" si="37"/>
        <v>34</v>
      </c>
      <c r="W105" s="65">
        <f t="shared" si="37"/>
        <v>38</v>
      </c>
      <c r="X105" s="65">
        <f t="shared" si="21"/>
        <v>38.850404811599958</v>
      </c>
      <c r="Y105" s="65">
        <f>$Y$18/1000*CURVES!K64+$Y$14</f>
        <v>76.959632728494626</v>
      </c>
      <c r="Z105" s="65">
        <f t="shared" si="22"/>
        <v>55.607340173056855</v>
      </c>
      <c r="AA105" s="65">
        <f>CHOOSE(AA$18,CURVES!F64,CURVES!G64)</f>
        <v>37.25</v>
      </c>
      <c r="AB105" s="65">
        <f t="shared" si="15"/>
        <v>47.173241115138723</v>
      </c>
      <c r="AD105" s="65"/>
      <c r="AH105" s="46">
        <f t="shared" si="42"/>
        <v>1925.7468502510062</v>
      </c>
      <c r="AI105" s="46">
        <f t="shared" si="42"/>
        <v>0</v>
      </c>
      <c r="AJ105" s="46">
        <f t="shared" si="42"/>
        <v>2201.9273871825426</v>
      </c>
      <c r="AK105" s="46">
        <f t="shared" si="42"/>
        <v>548.47547775416388</v>
      </c>
      <c r="AL105" s="46">
        <f t="shared" si="40"/>
        <v>4676.1497151877129</v>
      </c>
      <c r="AM105" s="46">
        <f t="shared" si="43"/>
        <v>2161.5456443452381</v>
      </c>
      <c r="AN105" s="46">
        <f t="shared" si="23"/>
        <v>6837.6953595329505</v>
      </c>
      <c r="AO105" s="10">
        <f t="shared" si="16"/>
        <v>5159.4276979435108</v>
      </c>
      <c r="AQ105" s="65">
        <f t="shared" si="17"/>
        <v>43</v>
      </c>
      <c r="AR105" s="65"/>
      <c r="AS105" s="65">
        <f t="shared" si="38"/>
        <v>30</v>
      </c>
      <c r="AT105" s="65">
        <f t="shared" si="38"/>
        <v>38</v>
      </c>
      <c r="AU105" s="65">
        <f t="shared" si="24"/>
        <v>36.29203825098557</v>
      </c>
      <c r="AV105" s="65">
        <f>$Y$18/1000*CURVES!O64+$AV$14</f>
        <v>76.726619288019151</v>
      </c>
      <c r="AW105" s="65">
        <f t="shared" si="25"/>
        <v>49.07429717389472</v>
      </c>
      <c r="AX105" s="65">
        <f>CHOOSE(AX$18,CURVES!B64,CURVES!C64)</f>
        <v>42.764285714285712</v>
      </c>
      <c r="AY105" s="65">
        <f t="shared" si="26"/>
        <v>46.360642596620124</v>
      </c>
    </row>
    <row r="106" spans="1:51">
      <c r="A106" s="75">
        <v>38777</v>
      </c>
      <c r="B106" s="2">
        <f t="shared" si="34"/>
        <v>2006</v>
      </c>
      <c r="C106" s="2">
        <f t="shared" si="19"/>
        <v>3</v>
      </c>
      <c r="D106" s="43">
        <v>5.7047864053552999E-2</v>
      </c>
      <c r="E106" s="44">
        <f t="shared" ca="1" si="35"/>
        <v>0.74344928269745103</v>
      </c>
      <c r="F106" s="44"/>
      <c r="G106" s="10"/>
      <c r="H106" s="10">
        <f t="shared" si="50"/>
        <v>12597.730354378184</v>
      </c>
      <c r="I106" s="10">
        <f t="shared" si="50"/>
        <v>11727.791556244092</v>
      </c>
      <c r="K106" s="46">
        <f t="shared" ref="K106:P106" si="53">K94</f>
        <v>2263.9462365591398</v>
      </c>
      <c r="L106" s="46">
        <f t="shared" si="53"/>
        <v>1258.630376344086</v>
      </c>
      <c r="M106" s="46">
        <f t="shared" si="53"/>
        <v>620.64650537634407</v>
      </c>
      <c r="N106" s="46">
        <f t="shared" si="53"/>
        <v>2.581989247311828</v>
      </c>
      <c r="O106" s="46">
        <f t="shared" si="39"/>
        <v>4145.8051075268813</v>
      </c>
      <c r="P106" s="46">
        <f t="shared" si="53"/>
        <v>2834.3973290285558</v>
      </c>
      <c r="Q106" s="46">
        <f t="shared" si="20"/>
        <v>6980.2024365554371</v>
      </c>
      <c r="R106" s="10">
        <f t="shared" si="11"/>
        <v>5617.5279178227465</v>
      </c>
      <c r="T106" s="65">
        <f t="shared" si="12"/>
        <v>48.72</v>
      </c>
      <c r="U106" s="65">
        <f t="shared" ref="U106:W125" si="54">U$18</f>
        <v>23</v>
      </c>
      <c r="V106" s="65">
        <f t="shared" si="54"/>
        <v>34</v>
      </c>
      <c r="W106" s="65">
        <f t="shared" si="54"/>
        <v>38</v>
      </c>
      <c r="X106" s="65">
        <f t="shared" si="21"/>
        <v>38.701302138870133</v>
      </c>
      <c r="Y106" s="65">
        <f>$Y$18/1000*CURVES!K65+$Y$14</f>
        <v>75.384632728494623</v>
      </c>
      <c r="Z106" s="65">
        <f t="shared" si="22"/>
        <v>53.597021165381975</v>
      </c>
      <c r="AA106" s="65">
        <f>CHOOSE(AA$18,CURVES!F65,CURVES!G65)</f>
        <v>36.927419354838712</v>
      </c>
      <c r="AB106" s="65">
        <f t="shared" si="15"/>
        <v>46.163781135984834</v>
      </c>
      <c r="AD106" s="65"/>
      <c r="AH106" s="46">
        <f t="shared" si="42"/>
        <v>1891.2387324311178</v>
      </c>
      <c r="AI106" s="46">
        <f t="shared" si="42"/>
        <v>0</v>
      </c>
      <c r="AJ106" s="46">
        <f t="shared" si="42"/>
        <v>1966.5504926356311</v>
      </c>
      <c r="AK106" s="46">
        <f t="shared" si="42"/>
        <v>526.07330501492243</v>
      </c>
      <c r="AL106" s="46">
        <f t="shared" si="40"/>
        <v>4383.8625300816711</v>
      </c>
      <c r="AM106" s="46">
        <f t="shared" si="43"/>
        <v>2044.2222728494623</v>
      </c>
      <c r="AN106" s="46">
        <f t="shared" si="23"/>
        <v>6428.0848029311337</v>
      </c>
      <c r="AO106" s="10">
        <f t="shared" si="16"/>
        <v>5299.7067533129584</v>
      </c>
      <c r="AQ106" s="65">
        <f t="shared" si="17"/>
        <v>43</v>
      </c>
      <c r="AR106" s="65"/>
      <c r="AS106" s="65">
        <f t="shared" ref="AS106:AT125" si="55">AS$18</f>
        <v>30</v>
      </c>
      <c r="AT106" s="65">
        <f t="shared" si="55"/>
        <v>38</v>
      </c>
      <c r="AU106" s="65">
        <f t="shared" si="24"/>
        <v>36.56833779894724</v>
      </c>
      <c r="AV106" s="65">
        <f>$Y$18/1000*CURVES!O65+$AV$14</f>
        <v>75.151619288019148</v>
      </c>
      <c r="AW106" s="65">
        <f t="shared" si="25"/>
        <v>48.838369355409604</v>
      </c>
      <c r="AX106" s="65">
        <f>CHOOSE(AX$18,CURVES!B65,CURVES!C65)</f>
        <v>40.801612903225809</v>
      </c>
      <c r="AY106" s="65">
        <f t="shared" si="26"/>
        <v>45.206615479148653</v>
      </c>
    </row>
    <row r="107" spans="1:51">
      <c r="A107" s="75">
        <v>38808</v>
      </c>
      <c r="B107" s="2">
        <f t="shared" si="34"/>
        <v>2006</v>
      </c>
      <c r="C107" s="2">
        <f t="shared" si="19"/>
        <v>4</v>
      </c>
      <c r="D107" s="43">
        <v>5.7104941345478E-2</v>
      </c>
      <c r="E107" s="44">
        <f t="shared" ca="1" si="35"/>
        <v>0.73980263871134677</v>
      </c>
      <c r="F107" s="44"/>
      <c r="G107" s="10"/>
      <c r="H107" s="10">
        <f t="shared" si="50"/>
        <v>12653.630423717512</v>
      </c>
      <c r="I107" s="10">
        <f t="shared" si="50"/>
        <v>11456.842064298926</v>
      </c>
      <c r="K107" s="46">
        <f t="shared" ref="K107:P107" si="56">K95</f>
        <v>2319.8402777777778</v>
      </c>
      <c r="L107" s="46">
        <f t="shared" si="56"/>
        <v>1179.1659722222223</v>
      </c>
      <c r="M107" s="46">
        <f t="shared" si="56"/>
        <v>811.58611111111111</v>
      </c>
      <c r="N107" s="46">
        <f t="shared" si="56"/>
        <v>3.0416666666666665</v>
      </c>
      <c r="O107" s="46">
        <f t="shared" si="39"/>
        <v>4313.6340277777781</v>
      </c>
      <c r="P107" s="46">
        <f t="shared" si="56"/>
        <v>2923.3945906815438</v>
      </c>
      <c r="Q107" s="46">
        <f t="shared" si="20"/>
        <v>7237.0286184593224</v>
      </c>
      <c r="R107" s="10">
        <f t="shared" si="11"/>
        <v>5416.6018052581894</v>
      </c>
      <c r="T107" s="65">
        <f t="shared" si="12"/>
        <v>48.72</v>
      </c>
      <c r="U107" s="65">
        <f t="shared" si="54"/>
        <v>23</v>
      </c>
      <c r="V107" s="65">
        <f t="shared" si="54"/>
        <v>34</v>
      </c>
      <c r="W107" s="65">
        <f t="shared" si="54"/>
        <v>38</v>
      </c>
      <c r="X107" s="65">
        <f t="shared" si="21"/>
        <v>38.912189982891782</v>
      </c>
      <c r="Y107" s="65">
        <f>$Y$18/1000*CURVES!K66+$Y$14</f>
        <v>74.723132728494619</v>
      </c>
      <c r="Z107" s="65">
        <f t="shared" si="22"/>
        <v>53.378004867563178</v>
      </c>
      <c r="AA107" s="65">
        <f>CHOOSE(AA$18,CURVES!F66,CURVES!G66)</f>
        <v>36.305555555555557</v>
      </c>
      <c r="AB107" s="65">
        <f t="shared" si="15"/>
        <v>46.069852450667213</v>
      </c>
      <c r="AD107" s="65"/>
      <c r="AH107" s="46">
        <f t="shared" si="42"/>
        <v>1937.9310849074075</v>
      </c>
      <c r="AI107" s="46">
        <f t="shared" si="42"/>
        <v>0</v>
      </c>
      <c r="AJ107" s="46">
        <f t="shared" si="42"/>
        <v>2070.9500209392572</v>
      </c>
      <c r="AK107" s="46">
        <f t="shared" si="42"/>
        <v>513.91932921853174</v>
      </c>
      <c r="AL107" s="46">
        <f t="shared" si="40"/>
        <v>4522.8004350651963</v>
      </c>
      <c r="AM107" s="46">
        <f t="shared" si="43"/>
        <v>2152.9968589041096</v>
      </c>
      <c r="AN107" s="46">
        <f t="shared" si="23"/>
        <v>6675.7972939693063</v>
      </c>
      <c r="AO107" s="10">
        <f t="shared" si="16"/>
        <v>4781.0447703296195</v>
      </c>
      <c r="AQ107" s="65">
        <f t="shared" si="17"/>
        <v>43</v>
      </c>
      <c r="AR107" s="65"/>
      <c r="AS107" s="65">
        <f t="shared" si="55"/>
        <v>30</v>
      </c>
      <c r="AT107" s="65">
        <f t="shared" si="55"/>
        <v>38</v>
      </c>
      <c r="AU107" s="65">
        <f t="shared" si="24"/>
        <v>36.479272998726103</v>
      </c>
      <c r="AV107" s="65">
        <f>$Y$18/1000*CURVES!O66+$AV$14</f>
        <v>74.490119288019145</v>
      </c>
      <c r="AW107" s="65">
        <f t="shared" si="25"/>
        <v>48.73806832480107</v>
      </c>
      <c r="AX107" s="65">
        <f>CHOOSE(AX$18,CURVES!B66,CURVES!C66)</f>
        <v>38.644444444444446</v>
      </c>
      <c r="AY107" s="65">
        <f t="shared" si="26"/>
        <v>44.525906945948527</v>
      </c>
    </row>
    <row r="108" spans="1:51">
      <c r="A108" s="75">
        <v>38838</v>
      </c>
      <c r="B108" s="2">
        <f t="shared" si="34"/>
        <v>2006</v>
      </c>
      <c r="C108" s="2">
        <f t="shared" si="19"/>
        <v>5</v>
      </c>
      <c r="D108" s="43">
        <v>5.7160177435469001E-2</v>
      </c>
      <c r="E108" s="44">
        <f t="shared" ca="1" si="35"/>
        <v>0.73606075452316544</v>
      </c>
      <c r="F108" s="44"/>
      <c r="G108" s="10"/>
      <c r="H108" s="10">
        <f t="shared" si="50"/>
        <v>13371.076441471256</v>
      </c>
      <c r="I108" s="10">
        <f t="shared" si="50"/>
        <v>12479.574183434705</v>
      </c>
      <c r="K108" s="46">
        <f t="shared" ref="K108:P108" si="57">K96</f>
        <v>2226.0672043010754</v>
      </c>
      <c r="L108" s="46">
        <f t="shared" si="57"/>
        <v>1023.6263440860215</v>
      </c>
      <c r="M108" s="46">
        <f t="shared" si="57"/>
        <v>950.16532258064512</v>
      </c>
      <c r="N108" s="46">
        <f t="shared" si="57"/>
        <v>3.3051075268817205</v>
      </c>
      <c r="O108" s="46">
        <f t="shared" si="39"/>
        <v>4203.1639784946237</v>
      </c>
      <c r="P108" s="46">
        <f t="shared" si="57"/>
        <v>2831.510502104928</v>
      </c>
      <c r="Q108" s="46">
        <f t="shared" si="20"/>
        <v>7034.6744805995513</v>
      </c>
      <c r="R108" s="10">
        <f t="shared" si="11"/>
        <v>6336.4019608717044</v>
      </c>
      <c r="T108" s="65">
        <f t="shared" si="12"/>
        <v>48.72</v>
      </c>
      <c r="U108" s="65">
        <f t="shared" si="54"/>
        <v>23</v>
      </c>
      <c r="V108" s="65">
        <f t="shared" si="54"/>
        <v>34</v>
      </c>
      <c r="W108" s="65">
        <f t="shared" si="54"/>
        <v>38</v>
      </c>
      <c r="X108" s="65">
        <f t="shared" si="21"/>
        <v>39.120199926194871</v>
      </c>
      <c r="Y108" s="65">
        <f>$Y$18/1000*CURVES!K67+$Y$14</f>
        <v>74.46063272849463</v>
      </c>
      <c r="Z108" s="65">
        <f t="shared" si="22"/>
        <v>53.344995530399835</v>
      </c>
      <c r="AA108" s="65">
        <f>CHOOSE(AA$18,CURVES!F67,CURVES!G67)</f>
        <v>35.344623655913978</v>
      </c>
      <c r="AB108" s="65">
        <f t="shared" si="15"/>
        <v>44.814822799642343</v>
      </c>
      <c r="AD108" s="65"/>
      <c r="AH108" s="46">
        <f t="shared" si="42"/>
        <v>1895.2591032026239</v>
      </c>
      <c r="AI108" s="46">
        <f t="shared" si="42"/>
        <v>0</v>
      </c>
      <c r="AJ108" s="46">
        <f t="shared" si="42"/>
        <v>1877.6303324734643</v>
      </c>
      <c r="AK108" s="46">
        <f t="shared" si="42"/>
        <v>570.53181663934993</v>
      </c>
      <c r="AL108" s="46">
        <f t="shared" si="40"/>
        <v>4343.4212523154383</v>
      </c>
      <c r="AM108" s="46">
        <f t="shared" si="43"/>
        <v>2186.8418319892476</v>
      </c>
      <c r="AN108" s="46">
        <f t="shared" si="23"/>
        <v>6530.2630843046863</v>
      </c>
      <c r="AO108" s="10">
        <f t="shared" si="16"/>
        <v>5949.3110991300182</v>
      </c>
      <c r="AQ108" s="65">
        <f t="shared" si="17"/>
        <v>43</v>
      </c>
      <c r="AR108" s="65"/>
      <c r="AS108" s="65">
        <f t="shared" si="55"/>
        <v>30</v>
      </c>
      <c r="AT108" s="65">
        <f t="shared" si="55"/>
        <v>38</v>
      </c>
      <c r="AU108" s="65">
        <f t="shared" si="24"/>
        <v>36.723414833221909</v>
      </c>
      <c r="AV108" s="65">
        <f>$Y$18/1000*CURVES!O67+$AV$14</f>
        <v>74.227619288019156</v>
      </c>
      <c r="AW108" s="65">
        <f t="shared" si="25"/>
        <v>49.282750057303588</v>
      </c>
      <c r="AX108" s="65">
        <f>CHOOSE(AX$18,CURVES!B67,CURVES!C67)</f>
        <v>38.728494623655905</v>
      </c>
      <c r="AY108" s="65">
        <f t="shared" si="26"/>
        <v>44.251284394172139</v>
      </c>
    </row>
    <row r="109" spans="1:51">
      <c r="A109" s="75">
        <v>38869</v>
      </c>
      <c r="B109" s="2">
        <f t="shared" si="34"/>
        <v>2006</v>
      </c>
      <c r="C109" s="2">
        <f t="shared" si="19"/>
        <v>6</v>
      </c>
      <c r="D109" s="43">
        <v>5.7217254729527003E-2</v>
      </c>
      <c r="E109" s="44">
        <f t="shared" ca="1" si="35"/>
        <v>0.73243700635485431</v>
      </c>
      <c r="F109" s="44"/>
      <c r="G109" s="10"/>
      <c r="H109" s="10">
        <f t="shared" si="50"/>
        <v>14776.670560827783</v>
      </c>
      <c r="I109" s="10">
        <f t="shared" si="50"/>
        <v>14072.296432444753</v>
      </c>
      <c r="K109" s="46">
        <f t="shared" ref="K109:P109" si="58">K97</f>
        <v>2252.1333333333332</v>
      </c>
      <c r="L109" s="46">
        <f t="shared" si="58"/>
        <v>1398.3916666666667</v>
      </c>
      <c r="M109" s="46">
        <f t="shared" si="58"/>
        <v>957.04027777777776</v>
      </c>
      <c r="N109" s="46">
        <f t="shared" si="58"/>
        <v>3.526388888888889</v>
      </c>
      <c r="O109" s="46">
        <f t="shared" si="39"/>
        <v>4611.0916666666662</v>
      </c>
      <c r="P109" s="46">
        <f t="shared" si="58"/>
        <v>3175.7411781346573</v>
      </c>
      <c r="Q109" s="46">
        <f t="shared" si="20"/>
        <v>7786.8328448013235</v>
      </c>
      <c r="R109" s="10">
        <f t="shared" ref="R109:R172" si="59">H109-O109-P109</f>
        <v>6989.8377160264599</v>
      </c>
      <c r="T109" s="65">
        <f t="shared" ref="T109:T172" si="60">$T$18</f>
        <v>48.72</v>
      </c>
      <c r="U109" s="65">
        <f t="shared" si="54"/>
        <v>23</v>
      </c>
      <c r="V109" s="65">
        <f t="shared" si="54"/>
        <v>34</v>
      </c>
      <c r="W109" s="65">
        <f t="shared" si="54"/>
        <v>38</v>
      </c>
      <c r="X109" s="65">
        <f t="shared" si="21"/>
        <v>37.856613829094464</v>
      </c>
      <c r="Y109" s="65">
        <f>$Y$18/1000*CURVES!K68+$Y$14</f>
        <v>74.765132728494621</v>
      </c>
      <c r="Z109" s="65">
        <f t="shared" si="22"/>
        <v>52.909191125785739</v>
      </c>
      <c r="AA109" s="65">
        <f>CHOOSE(AA$18,CURVES!F68,CURVES!G68)</f>
        <v>46.525555555555556</v>
      </c>
      <c r="AB109" s="65">
        <f t="shared" ref="AB109:AB172" si="61">(Q109*Z109+R109*AA109)/H109</f>
        <v>49.889527359818729</v>
      </c>
      <c r="AD109" s="65"/>
      <c r="AH109" s="46">
        <f t="shared" si="42"/>
        <v>1881.3705563400365</v>
      </c>
      <c r="AI109" s="46">
        <f t="shared" si="42"/>
        <v>0</v>
      </c>
      <c r="AJ109" s="46">
        <f t="shared" si="42"/>
        <v>1162.1616861734683</v>
      </c>
      <c r="AK109" s="46">
        <f t="shared" si="42"/>
        <v>631.24071210358352</v>
      </c>
      <c r="AL109" s="46">
        <f t="shared" si="40"/>
        <v>3674.7729546170881</v>
      </c>
      <c r="AM109" s="46">
        <f t="shared" si="43"/>
        <v>2754.0461410958906</v>
      </c>
      <c r="AN109" s="46">
        <f t="shared" si="23"/>
        <v>6428.8190957129791</v>
      </c>
      <c r="AO109" s="10">
        <f t="shared" ref="AO109:AO172" si="62">I109-AL109-AM109</f>
        <v>7643.4773367317739</v>
      </c>
      <c r="AQ109" s="65">
        <f t="shared" ref="AQ109:AQ172" si="63">$AQ$18</f>
        <v>43</v>
      </c>
      <c r="AR109" s="65"/>
      <c r="AS109" s="65">
        <f t="shared" si="55"/>
        <v>30</v>
      </c>
      <c r="AT109" s="65">
        <f t="shared" si="55"/>
        <v>38</v>
      </c>
      <c r="AU109" s="65">
        <f t="shared" si="24"/>
        <v>38.029813894263803</v>
      </c>
      <c r="AV109" s="65">
        <f>$Y$18/1000*CURVES!O68+$AV$14</f>
        <v>74.532119288019146</v>
      </c>
      <c r="AW109" s="65">
        <f t="shared" si="25"/>
        <v>53.667061079802565</v>
      </c>
      <c r="AX109" s="65">
        <f>CHOOSE(AX$18,CURVES!B68,CURVES!C68)</f>
        <v>44.093333333333334</v>
      </c>
      <c r="AY109" s="65">
        <f t="shared" si="26"/>
        <v>48.467016338742141</v>
      </c>
    </row>
    <row r="110" spans="1:51">
      <c r="A110" s="75">
        <v>38899</v>
      </c>
      <c r="B110" s="2">
        <f t="shared" si="34"/>
        <v>2006</v>
      </c>
      <c r="C110" s="2">
        <f t="shared" ref="C110:C173" si="64">MONTH(A110)</f>
        <v>7</v>
      </c>
      <c r="D110" s="43">
        <v>5.7272490821582998E-2</v>
      </c>
      <c r="E110" s="44">
        <f t="shared" ca="1" si="35"/>
        <v>0.72871909989459327</v>
      </c>
      <c r="F110" s="44"/>
      <c r="G110" s="10"/>
      <c r="H110" s="10">
        <f t="shared" si="50"/>
        <v>14584.465317375758</v>
      </c>
      <c r="I110" s="10">
        <f t="shared" si="50"/>
        <v>13358.700586159001</v>
      </c>
      <c r="K110" s="46">
        <f t="shared" ref="K110:P110" si="65">K98</f>
        <v>2248.4569892473119</v>
      </c>
      <c r="L110" s="46">
        <f t="shared" si="65"/>
        <v>1358.3225806451612</v>
      </c>
      <c r="M110" s="46">
        <f t="shared" si="65"/>
        <v>653.55107526881716</v>
      </c>
      <c r="N110" s="46">
        <f t="shared" si="65"/>
        <v>3.8373655913978495</v>
      </c>
      <c r="O110" s="46">
        <f t="shared" si="39"/>
        <v>4264.1680107526872</v>
      </c>
      <c r="P110" s="46">
        <f t="shared" si="65"/>
        <v>3349.3895623880758</v>
      </c>
      <c r="Q110" s="46">
        <f t="shared" ref="Q110:Q173" si="66">O110+P110</f>
        <v>7613.5575731407625</v>
      </c>
      <c r="R110" s="10">
        <f t="shared" si="59"/>
        <v>6970.9077442349935</v>
      </c>
      <c r="T110" s="65">
        <f t="shared" si="60"/>
        <v>48.72</v>
      </c>
      <c r="U110" s="65">
        <f t="shared" si="54"/>
        <v>23</v>
      </c>
      <c r="V110" s="65">
        <f t="shared" si="54"/>
        <v>34</v>
      </c>
      <c r="W110" s="65">
        <f t="shared" si="54"/>
        <v>38</v>
      </c>
      <c r="X110" s="65">
        <f t="shared" ref="X110:X173" si="67">SUMPRODUCT(K110:N110,T110:W110)/O110</f>
        <v>38.261344278923424</v>
      </c>
      <c r="Y110" s="65">
        <f>$Y$18/1000*CURVES!K69+$Y$14</f>
        <v>75.080132728494618</v>
      </c>
      <c r="Z110" s="65">
        <f t="shared" ref="Z110:Z173" si="68">(O110*X110+P110*Y110)/Q110</f>
        <v>54.45882680244442</v>
      </c>
      <c r="AA110" s="65">
        <f>CHOOSE(AA$18,CURVES!F69,CURVES!G69)</f>
        <v>58.244623655913969</v>
      </c>
      <c r="AB110" s="65">
        <f t="shared" si="61"/>
        <v>56.268316559501883</v>
      </c>
      <c r="AD110" s="65"/>
      <c r="AH110" s="46">
        <f t="shared" si="42"/>
        <v>1914.3216201186069</v>
      </c>
      <c r="AI110" s="46">
        <f t="shared" si="42"/>
        <v>0</v>
      </c>
      <c r="AJ110" s="46">
        <f t="shared" si="42"/>
        <v>1193.3319743059751</v>
      </c>
      <c r="AK110" s="46">
        <f t="shared" si="42"/>
        <v>610.72305844211053</v>
      </c>
      <c r="AL110" s="46">
        <f t="shared" si="40"/>
        <v>3718.3766528666924</v>
      </c>
      <c r="AM110" s="46">
        <f t="shared" si="43"/>
        <v>2586.7318602150535</v>
      </c>
      <c r="AN110" s="46">
        <f t="shared" ref="AN110:AN173" si="69">AL110+AM110</f>
        <v>6305.1085130817464</v>
      </c>
      <c r="AO110" s="10">
        <f t="shared" si="62"/>
        <v>7053.5920730772541</v>
      </c>
      <c r="AQ110" s="65">
        <f t="shared" si="63"/>
        <v>43</v>
      </c>
      <c r="AR110" s="65"/>
      <c r="AS110" s="65">
        <f t="shared" si="55"/>
        <v>30</v>
      </c>
      <c r="AT110" s="65">
        <f t="shared" si="55"/>
        <v>38</v>
      </c>
      <c r="AU110" s="65">
        <f t="shared" ref="AU110:AU173" si="70">SUMPRODUCT(AH110:AK110,AQ110:AT110)/AL110</f>
        <v>38.006710537547619</v>
      </c>
      <c r="AV110" s="65">
        <f>$Y$18/1000*CURVES!O69+$AV$14</f>
        <v>74.847119288019144</v>
      </c>
      <c r="AW110" s="65">
        <f t="shared" ref="AW110:AW173" si="71">(AL110*AU110+AM110*AV110)/AN110</f>
        <v>53.120845188913378</v>
      </c>
      <c r="AX110" s="65">
        <f>CHOOSE(AX$18,CURVES!B69,CURVES!C69)</f>
        <v>57.455913978494621</v>
      </c>
      <c r="AY110" s="65">
        <f t="shared" ref="AY110:AY173" si="72">(AN110*AW110+AO110*AX110)/I110</f>
        <v>55.40982581642416</v>
      </c>
    </row>
    <row r="111" spans="1:51">
      <c r="A111" s="75">
        <v>38930</v>
      </c>
      <c r="B111" s="2">
        <f t="shared" si="34"/>
        <v>2006</v>
      </c>
      <c r="C111" s="2">
        <f t="shared" si="64"/>
        <v>8</v>
      </c>
      <c r="D111" s="43">
        <v>5.7329568117772997E-2</v>
      </c>
      <c r="E111" s="44">
        <f t="shared" ca="1" si="35"/>
        <v>0.72500608014558754</v>
      </c>
      <c r="F111" s="44"/>
      <c r="G111" s="10"/>
      <c r="H111" s="10">
        <f t="shared" si="50"/>
        <v>15639.969789467954</v>
      </c>
      <c r="I111" s="10">
        <f t="shared" si="50"/>
        <v>13855.182945151591</v>
      </c>
      <c r="K111" s="46">
        <f t="shared" ref="K111:P111" si="73">K99</f>
        <v>2226.0658602150538</v>
      </c>
      <c r="L111" s="46">
        <f t="shared" si="73"/>
        <v>1361.989247311828</v>
      </c>
      <c r="M111" s="46">
        <f t="shared" si="73"/>
        <v>483.36424731182797</v>
      </c>
      <c r="N111" s="46">
        <f t="shared" si="73"/>
        <v>3.924731182795699</v>
      </c>
      <c r="O111" s="46">
        <f t="shared" si="39"/>
        <v>4075.3440860215055</v>
      </c>
      <c r="P111" s="46">
        <f t="shared" si="73"/>
        <v>3426.252928840011</v>
      </c>
      <c r="Q111" s="46">
        <f t="shared" si="66"/>
        <v>7501.5970148615161</v>
      </c>
      <c r="R111" s="10">
        <f t="shared" si="59"/>
        <v>8138.3727746064378</v>
      </c>
      <c r="T111" s="65">
        <f t="shared" si="60"/>
        <v>48.72</v>
      </c>
      <c r="U111" s="65">
        <f t="shared" si="54"/>
        <v>23</v>
      </c>
      <c r="V111" s="65">
        <f t="shared" si="54"/>
        <v>34</v>
      </c>
      <c r="W111" s="65">
        <f t="shared" si="54"/>
        <v>38</v>
      </c>
      <c r="X111" s="65">
        <f t="shared" si="67"/>
        <v>38.368099058856423</v>
      </c>
      <c r="Y111" s="65">
        <f>$Y$18/1000*CURVES!K70+$Y$14</f>
        <v>75.290132728494626</v>
      </c>
      <c r="Z111" s="65">
        <f t="shared" si="68"/>
        <v>55.231738327762521</v>
      </c>
      <c r="AA111" s="65">
        <f>CHOOSE(AA$18,CURVES!F70,CURVES!G70)</f>
        <v>64.846774193548384</v>
      </c>
      <c r="AB111" s="65">
        <f t="shared" si="61"/>
        <v>60.234992628782379</v>
      </c>
      <c r="AD111" s="65"/>
      <c r="AH111" s="46">
        <f t="shared" si="42"/>
        <v>1859.5945026415061</v>
      </c>
      <c r="AI111" s="46">
        <f t="shared" si="42"/>
        <v>0</v>
      </c>
      <c r="AJ111" s="46">
        <f t="shared" si="42"/>
        <v>1584.5088037693729</v>
      </c>
      <c r="AK111" s="46">
        <f t="shared" si="42"/>
        <v>621.50165686237608</v>
      </c>
      <c r="AL111" s="46">
        <f t="shared" si="40"/>
        <v>4065.6049632732547</v>
      </c>
      <c r="AM111" s="46">
        <f t="shared" si="43"/>
        <v>2208.289016129032</v>
      </c>
      <c r="AN111" s="46">
        <f t="shared" si="69"/>
        <v>6273.8939794022863</v>
      </c>
      <c r="AO111" s="10">
        <f t="shared" si="62"/>
        <v>7581.2889657493051</v>
      </c>
      <c r="AQ111" s="65">
        <f t="shared" si="63"/>
        <v>43</v>
      </c>
      <c r="AR111" s="65"/>
      <c r="AS111" s="65">
        <f t="shared" si="55"/>
        <v>30</v>
      </c>
      <c r="AT111" s="65">
        <f t="shared" si="55"/>
        <v>38</v>
      </c>
      <c r="AU111" s="65">
        <f t="shared" si="70"/>
        <v>37.169103258318607</v>
      </c>
      <c r="AV111" s="65">
        <f>$Y$18/1000*CURVES!O70+$AV$14</f>
        <v>75.057119288019152</v>
      </c>
      <c r="AW111" s="65">
        <f t="shared" si="71"/>
        <v>50.504950168705747</v>
      </c>
      <c r="AX111" s="65">
        <f>CHOOSE(AX$18,CURVES!B70,CURVES!C70)</f>
        <v>67.730645161290326</v>
      </c>
      <c r="AY111" s="65">
        <f t="shared" si="72"/>
        <v>59.930518339954141</v>
      </c>
    </row>
    <row r="112" spans="1:51">
      <c r="A112" s="75">
        <v>38961</v>
      </c>
      <c r="B112" s="2">
        <f t="shared" si="34"/>
        <v>2006</v>
      </c>
      <c r="C112" s="2">
        <f t="shared" si="64"/>
        <v>9</v>
      </c>
      <c r="D112" s="43">
        <v>5.7386645415046997E-2</v>
      </c>
      <c r="E112" s="44">
        <f t="shared" ca="1" si="35"/>
        <v>0.72141693360647563</v>
      </c>
      <c r="F112" s="44"/>
      <c r="G112" s="10"/>
      <c r="H112" s="10">
        <f t="shared" si="50"/>
        <v>14166.866835874052</v>
      </c>
      <c r="I112" s="10">
        <f t="shared" si="50"/>
        <v>13050.692767361394</v>
      </c>
      <c r="K112" s="46">
        <f t="shared" ref="K112:P112" si="74">K100</f>
        <v>2263.6333333333332</v>
      </c>
      <c r="L112" s="46">
        <f t="shared" si="74"/>
        <v>1380.7361111111111</v>
      </c>
      <c r="M112" s="46">
        <f t="shared" si="74"/>
        <v>542.60277777777776</v>
      </c>
      <c r="N112" s="46">
        <f t="shared" si="74"/>
        <v>3.4194444444444443</v>
      </c>
      <c r="O112" s="46">
        <f t="shared" si="39"/>
        <v>4190.3916666666673</v>
      </c>
      <c r="P112" s="46">
        <f t="shared" si="74"/>
        <v>3348.1339323547272</v>
      </c>
      <c r="Q112" s="46">
        <f t="shared" si="66"/>
        <v>7538.5255990213946</v>
      </c>
      <c r="R112" s="10">
        <f t="shared" si="59"/>
        <v>6628.3412368526569</v>
      </c>
      <c r="T112" s="65">
        <f t="shared" si="60"/>
        <v>48.72</v>
      </c>
      <c r="U112" s="65">
        <f t="shared" si="54"/>
        <v>23</v>
      </c>
      <c r="V112" s="65">
        <f t="shared" si="54"/>
        <v>34</v>
      </c>
      <c r="W112" s="65">
        <f t="shared" si="54"/>
        <v>38</v>
      </c>
      <c r="X112" s="65">
        <f t="shared" si="67"/>
        <v>38.330445615995849</v>
      </c>
      <c r="Y112" s="65">
        <f>$Y$18/1000*CURVES!K71+$Y$14</f>
        <v>75.510632728494627</v>
      </c>
      <c r="Z112" s="65">
        <f t="shared" si="68"/>
        <v>54.843521607780623</v>
      </c>
      <c r="AA112" s="65">
        <f>CHOOSE(AA$18,CURVES!F71,CURVES!G71)</f>
        <v>58.666666666666664</v>
      </c>
      <c r="AB112" s="65">
        <f t="shared" si="61"/>
        <v>56.632280572050249</v>
      </c>
      <c r="AD112" s="65"/>
      <c r="AH112" s="46">
        <f t="shared" si="42"/>
        <v>1890.9773416389726</v>
      </c>
      <c r="AI112" s="46">
        <f t="shared" si="42"/>
        <v>0</v>
      </c>
      <c r="AJ112" s="46">
        <f t="shared" si="42"/>
        <v>765.82060543821262</v>
      </c>
      <c r="AK112" s="46">
        <f t="shared" si="42"/>
        <v>570.92254509204622</v>
      </c>
      <c r="AL112" s="46">
        <f t="shared" si="40"/>
        <v>3227.7204921692314</v>
      </c>
      <c r="AM112" s="46">
        <f t="shared" si="43"/>
        <v>2371.5769315068492</v>
      </c>
      <c r="AN112" s="46">
        <f t="shared" si="69"/>
        <v>5599.2974236760801</v>
      </c>
      <c r="AO112" s="10">
        <f t="shared" si="62"/>
        <v>7451.3953436853126</v>
      </c>
      <c r="AQ112" s="65">
        <f t="shared" si="63"/>
        <v>43</v>
      </c>
      <c r="AR112" s="65"/>
      <c r="AS112" s="65">
        <f t="shared" si="55"/>
        <v>30</v>
      </c>
      <c r="AT112" s="65">
        <f t="shared" si="55"/>
        <v>38</v>
      </c>
      <c r="AU112" s="65">
        <f t="shared" si="70"/>
        <v>39.031167931908605</v>
      </c>
      <c r="AV112" s="65">
        <f>$Y$18/1000*CURVES!O71+$AV$14</f>
        <v>75.277619288019153</v>
      </c>
      <c r="AW112" s="65">
        <f t="shared" si="71"/>
        <v>54.383316850031484</v>
      </c>
      <c r="AX112" s="65">
        <f>CHOOSE(AX$18,CURVES!B71,CURVES!C71)</f>
        <v>58.855555555555554</v>
      </c>
      <c r="AY112" s="65">
        <f t="shared" si="72"/>
        <v>56.936776598124901</v>
      </c>
    </row>
    <row r="113" spans="1:51">
      <c r="A113" s="75">
        <v>38991</v>
      </c>
      <c r="B113" s="2">
        <f t="shared" si="34"/>
        <v>2006</v>
      </c>
      <c r="C113" s="2">
        <f t="shared" si="64"/>
        <v>10</v>
      </c>
      <c r="D113" s="43">
        <v>5.7441881510215002E-2</v>
      </c>
      <c r="E113" s="44">
        <f t="shared" ca="1" si="35"/>
        <v>0.71773524490165885</v>
      </c>
      <c r="F113" s="44"/>
      <c r="G113" s="10"/>
      <c r="H113" s="10">
        <f t="shared" si="50"/>
        <v>13161.004567549482</v>
      </c>
      <c r="I113" s="10">
        <f t="shared" si="50"/>
        <v>11296.315993718354</v>
      </c>
      <c r="K113" s="46">
        <f t="shared" ref="K113:P113" si="75">K101</f>
        <v>2069.2916666666665</v>
      </c>
      <c r="L113" s="46">
        <f t="shared" si="75"/>
        <v>1227.5241935483871</v>
      </c>
      <c r="M113" s="46">
        <f t="shared" si="75"/>
        <v>369.34005376344084</v>
      </c>
      <c r="N113" s="46">
        <f t="shared" si="75"/>
        <v>3.278225806451613</v>
      </c>
      <c r="O113" s="46">
        <f t="shared" si="39"/>
        <v>3669.4341397849457</v>
      </c>
      <c r="P113" s="46">
        <f t="shared" si="75"/>
        <v>3171.075494984625</v>
      </c>
      <c r="Q113" s="46">
        <f t="shared" si="66"/>
        <v>6840.5096347695708</v>
      </c>
      <c r="R113" s="10">
        <f t="shared" si="59"/>
        <v>6320.4949327799113</v>
      </c>
      <c r="T113" s="65">
        <f t="shared" si="60"/>
        <v>48.72</v>
      </c>
      <c r="U113" s="65">
        <f t="shared" si="54"/>
        <v>23</v>
      </c>
      <c r="V113" s="65">
        <f t="shared" si="54"/>
        <v>34</v>
      </c>
      <c r="W113" s="65">
        <f t="shared" si="54"/>
        <v>38</v>
      </c>
      <c r="X113" s="65">
        <f t="shared" si="67"/>
        <v>38.624778497461044</v>
      </c>
      <c r="Y113" s="65">
        <f>$Y$18/1000*CURVES!K72+$Y$14</f>
        <v>75.825632728494639</v>
      </c>
      <c r="Z113" s="65">
        <f t="shared" si="68"/>
        <v>55.870089672072019</v>
      </c>
      <c r="AA113" s="65">
        <f>CHOOSE(AA$18,CURVES!F72,CURVES!G72)</f>
        <v>44.699462365591394</v>
      </c>
      <c r="AB113" s="65">
        <f t="shared" si="61"/>
        <v>50.505461696737328</v>
      </c>
      <c r="AD113" s="65"/>
      <c r="AH113" s="46">
        <f t="shared" si="42"/>
        <v>1913.8399491890309</v>
      </c>
      <c r="AI113" s="46">
        <f t="shared" si="42"/>
        <v>0</v>
      </c>
      <c r="AJ113" s="46">
        <f t="shared" si="42"/>
        <v>1075.3801160883429</v>
      </c>
      <c r="AK113" s="46">
        <f t="shared" si="42"/>
        <v>576.38556050292607</v>
      </c>
      <c r="AL113" s="46">
        <f t="shared" si="40"/>
        <v>3565.6056257802998</v>
      </c>
      <c r="AM113" s="46">
        <f t="shared" si="43"/>
        <v>2259.7132500000002</v>
      </c>
      <c r="AN113" s="46">
        <f t="shared" si="69"/>
        <v>5825.3188757803</v>
      </c>
      <c r="AO113" s="10">
        <f t="shared" si="62"/>
        <v>5470.9971179380536</v>
      </c>
      <c r="AQ113" s="65">
        <f t="shared" si="63"/>
        <v>43</v>
      </c>
      <c r="AR113" s="65"/>
      <c r="AS113" s="65">
        <f t="shared" si="55"/>
        <v>30</v>
      </c>
      <c r="AT113" s="65">
        <f t="shared" si="55"/>
        <v>38</v>
      </c>
      <c r="AU113" s="65">
        <f t="shared" si="70"/>
        <v>38.270966258930272</v>
      </c>
      <c r="AV113" s="65">
        <f>$Y$18/1000*CURVES!O72+$AV$14</f>
        <v>75.592619288019165</v>
      </c>
      <c r="AW113" s="65">
        <f t="shared" si="71"/>
        <v>52.748497130652375</v>
      </c>
      <c r="AX113" s="65">
        <f>CHOOSE(AX$18,CURVES!B72,CURVES!C72)</f>
        <v>42.975268817204302</v>
      </c>
      <c r="AY113" s="65">
        <f t="shared" si="72"/>
        <v>48.01515716693693</v>
      </c>
    </row>
    <row r="114" spans="1:51">
      <c r="A114" s="75">
        <v>39022</v>
      </c>
      <c r="B114" s="2">
        <f t="shared" si="34"/>
        <v>2006</v>
      </c>
      <c r="C114" s="2">
        <f t="shared" si="64"/>
        <v>11</v>
      </c>
      <c r="D114" s="43">
        <v>5.7498958809623003E-2</v>
      </c>
      <c r="E114" s="44">
        <f t="shared" ca="1" si="35"/>
        <v>0.71416908303800897</v>
      </c>
      <c r="F114" s="44"/>
      <c r="G114" s="10"/>
      <c r="H114" s="10">
        <f t="shared" si="50"/>
        <v>12874.062208548108</v>
      </c>
      <c r="I114" s="10">
        <f t="shared" si="50"/>
        <v>11467.784136191362</v>
      </c>
      <c r="K114" s="46">
        <f t="shared" ref="K114:P114" si="76">K102</f>
        <v>2201.1583333333333</v>
      </c>
      <c r="L114" s="46">
        <f t="shared" si="76"/>
        <v>1270.0277777777778</v>
      </c>
      <c r="M114" s="46">
        <f t="shared" si="76"/>
        <v>241.3111111111111</v>
      </c>
      <c r="N114" s="46">
        <f t="shared" si="76"/>
        <v>3.1194444444444445</v>
      </c>
      <c r="O114" s="46">
        <f t="shared" si="39"/>
        <v>3715.6166666666668</v>
      </c>
      <c r="P114" s="46">
        <f t="shared" si="76"/>
        <v>3029.0331582980816</v>
      </c>
      <c r="Q114" s="46">
        <f t="shared" si="66"/>
        <v>6744.6498249647484</v>
      </c>
      <c r="R114" s="10">
        <f t="shared" si="59"/>
        <v>6129.4123835833598</v>
      </c>
      <c r="T114" s="65">
        <f t="shared" si="60"/>
        <v>48.72</v>
      </c>
      <c r="U114" s="65">
        <f t="shared" si="54"/>
        <v>23</v>
      </c>
      <c r="V114" s="65">
        <f t="shared" si="54"/>
        <v>34</v>
      </c>
      <c r="W114" s="65">
        <f t="shared" si="54"/>
        <v>38</v>
      </c>
      <c r="X114" s="65">
        <f t="shared" si="67"/>
        <v>38.963704424717896</v>
      </c>
      <c r="Y114" s="65">
        <f>$Y$18/1000*CURVES!K73+$Y$14</f>
        <v>76.035632728494619</v>
      </c>
      <c r="Z114" s="65">
        <f t="shared" si="68"/>
        <v>55.61276745813872</v>
      </c>
      <c r="AA114" s="65">
        <f>CHOOSE(AA$18,CURVES!F73,CURVES!G73)</f>
        <v>36.583333333333329</v>
      </c>
      <c r="AB114" s="65">
        <f t="shared" si="61"/>
        <v>46.552748383528382</v>
      </c>
      <c r="AD114" s="65"/>
      <c r="AH114" s="46">
        <f t="shared" si="42"/>
        <v>1838.7874362867092</v>
      </c>
      <c r="AI114" s="46">
        <f t="shared" si="42"/>
        <v>0</v>
      </c>
      <c r="AJ114" s="46">
        <f t="shared" si="42"/>
        <v>1347.8791847211178</v>
      </c>
      <c r="AK114" s="46">
        <f t="shared" si="42"/>
        <v>499.43911251442188</v>
      </c>
      <c r="AL114" s="46">
        <f t="shared" si="40"/>
        <v>3686.105733522249</v>
      </c>
      <c r="AM114" s="46">
        <f t="shared" si="43"/>
        <v>2451.2376410958905</v>
      </c>
      <c r="AN114" s="46">
        <f t="shared" si="69"/>
        <v>6137.3433746181399</v>
      </c>
      <c r="AO114" s="10">
        <f t="shared" si="62"/>
        <v>5330.4407615732225</v>
      </c>
      <c r="AQ114" s="65">
        <f t="shared" si="63"/>
        <v>43</v>
      </c>
      <c r="AR114" s="65"/>
      <c r="AS114" s="65">
        <f t="shared" si="55"/>
        <v>30</v>
      </c>
      <c r="AT114" s="65">
        <f t="shared" si="55"/>
        <v>38</v>
      </c>
      <c r="AU114" s="65">
        <f t="shared" si="70"/>
        <v>37.568895628282228</v>
      </c>
      <c r="AV114" s="65">
        <f>$Y$18/1000*CURVES!O73+$AV$14</f>
        <v>75.802619288019145</v>
      </c>
      <c r="AW114" s="65">
        <f t="shared" si="71"/>
        <v>52.839337067423116</v>
      </c>
      <c r="AX114" s="65">
        <f>CHOOSE(AX$18,CURVES!B73,CURVES!C73)</f>
        <v>41.394444444444446</v>
      </c>
      <c r="AY114" s="65">
        <f t="shared" si="72"/>
        <v>47.519536709756515</v>
      </c>
    </row>
    <row r="115" spans="1:51">
      <c r="A115" s="75">
        <v>39052</v>
      </c>
      <c r="B115" s="2">
        <f t="shared" si="34"/>
        <v>2006</v>
      </c>
      <c r="C115" s="2">
        <f t="shared" si="64"/>
        <v>12</v>
      </c>
      <c r="D115" s="43">
        <v>5.7554194906853998E-2</v>
      </c>
      <c r="E115" s="44">
        <f t="shared" ca="1" si="35"/>
        <v>0.71051144022804946</v>
      </c>
      <c r="F115" s="44"/>
      <c r="G115" s="10"/>
      <c r="H115" s="10">
        <f t="shared" si="50"/>
        <v>12781.362310221011</v>
      </c>
      <c r="I115" s="10">
        <f t="shared" si="50"/>
        <v>11441.731328183092</v>
      </c>
      <c r="K115" s="46">
        <f t="shared" ref="K115:P115" si="77">K103</f>
        <v>2256.4126344086021</v>
      </c>
      <c r="L115" s="46">
        <f t="shared" si="77"/>
        <v>1157.2150537634409</v>
      </c>
      <c r="M115" s="46">
        <f t="shared" si="77"/>
        <v>239.86021505376345</v>
      </c>
      <c r="N115" s="46">
        <f t="shared" si="77"/>
        <v>2.9690860215053765</v>
      </c>
      <c r="O115" s="46">
        <f t="shared" si="39"/>
        <v>3656.4569892473123</v>
      </c>
      <c r="P115" s="46">
        <f t="shared" si="77"/>
        <v>2977.5968497309718</v>
      </c>
      <c r="Q115" s="46">
        <f t="shared" si="66"/>
        <v>6634.0538389782841</v>
      </c>
      <c r="R115" s="10">
        <f t="shared" si="59"/>
        <v>6147.308471242728</v>
      </c>
      <c r="T115" s="65">
        <f t="shared" si="60"/>
        <v>48.72</v>
      </c>
      <c r="U115" s="65">
        <f t="shared" si="54"/>
        <v>23</v>
      </c>
      <c r="V115" s="65">
        <f t="shared" si="54"/>
        <v>34</v>
      </c>
      <c r="W115" s="65">
        <f t="shared" si="54"/>
        <v>38</v>
      </c>
      <c r="X115" s="65">
        <f t="shared" si="67"/>
        <v>39.60567368670241</v>
      </c>
      <c r="Y115" s="65">
        <f>$Y$18/1000*CURVES!K74+$Y$14</f>
        <v>77.348132728494619</v>
      </c>
      <c r="Z115" s="65">
        <f t="shared" si="68"/>
        <v>56.545817657745118</v>
      </c>
      <c r="AA115" s="65">
        <f>CHOOSE(AA$18,CURVES!F74,CURVES!G74)</f>
        <v>36.11021505376344</v>
      </c>
      <c r="AB115" s="65">
        <f t="shared" si="61"/>
        <v>46.717135084374405</v>
      </c>
      <c r="AD115" s="65"/>
      <c r="AH115" s="46">
        <f t="shared" si="42"/>
        <v>1921.095004536046</v>
      </c>
      <c r="AI115" s="46">
        <f t="shared" si="42"/>
        <v>0</v>
      </c>
      <c r="AJ115" s="46">
        <f t="shared" si="42"/>
        <v>1326.4786927345147</v>
      </c>
      <c r="AK115" s="46">
        <f t="shared" si="42"/>
        <v>519.61972313456249</v>
      </c>
      <c r="AL115" s="46">
        <f t="shared" si="40"/>
        <v>3767.1934204051231</v>
      </c>
      <c r="AM115" s="46">
        <f t="shared" si="43"/>
        <v>2024.2479112903225</v>
      </c>
      <c r="AN115" s="46">
        <f t="shared" si="69"/>
        <v>5791.4413316954451</v>
      </c>
      <c r="AO115" s="10">
        <f t="shared" si="62"/>
        <v>5650.2899964876469</v>
      </c>
      <c r="AQ115" s="65">
        <f t="shared" si="63"/>
        <v>43</v>
      </c>
      <c r="AR115" s="65"/>
      <c r="AS115" s="65">
        <f t="shared" si="55"/>
        <v>30</v>
      </c>
      <c r="AT115" s="65">
        <f t="shared" si="55"/>
        <v>38</v>
      </c>
      <c r="AU115" s="65">
        <f t="shared" si="70"/>
        <v>37.732863591833393</v>
      </c>
      <c r="AV115" s="65">
        <f>$Y$18/1000*CURVES!O74+$AV$14</f>
        <v>77.115119288019145</v>
      </c>
      <c r="AW115" s="65">
        <f t="shared" si="71"/>
        <v>51.497908296441928</v>
      </c>
      <c r="AX115" s="65">
        <f>CHOOSE(AX$18,CURVES!B74,CURVES!C74)</f>
        <v>40.291397849462363</v>
      </c>
      <c r="AY115" s="65">
        <f t="shared" si="72"/>
        <v>45.963777835072506</v>
      </c>
    </row>
    <row r="116" spans="1:51">
      <c r="A116" s="75">
        <v>39083</v>
      </c>
      <c r="B116" s="2">
        <f t="shared" si="34"/>
        <v>2007</v>
      </c>
      <c r="C116" s="2">
        <f t="shared" si="64"/>
        <v>1</v>
      </c>
      <c r="D116" s="43">
        <v>5.7611272208394002E-2</v>
      </c>
      <c r="E116" s="44">
        <f t="shared" ca="1" si="35"/>
        <v>0.7068583669485009</v>
      </c>
      <c r="F116" s="44"/>
      <c r="G116" s="10"/>
      <c r="H116" s="10">
        <f t="shared" si="50"/>
        <v>13016.206879424333</v>
      </c>
      <c r="I116" s="10">
        <f t="shared" si="50"/>
        <v>12373.527736334481</v>
      </c>
      <c r="K116" s="46">
        <f t="shared" ref="K116:P116" si="78">K104</f>
        <v>2185.9180107526881</v>
      </c>
      <c r="L116" s="46">
        <f t="shared" si="78"/>
        <v>1282.3306451612902</v>
      </c>
      <c r="M116" s="46">
        <f t="shared" si="78"/>
        <v>142.8521505376344</v>
      </c>
      <c r="N116" s="46">
        <f t="shared" si="78"/>
        <v>3.168010752688172</v>
      </c>
      <c r="O116" s="46">
        <f t="shared" si="39"/>
        <v>3614.2688172043008</v>
      </c>
      <c r="P116" s="46">
        <f t="shared" si="78"/>
        <v>2792.6655547379</v>
      </c>
      <c r="Q116" s="46">
        <f t="shared" si="66"/>
        <v>6406.9343719422013</v>
      </c>
      <c r="R116" s="10">
        <f t="shared" si="59"/>
        <v>6609.2725074821337</v>
      </c>
      <c r="T116" s="65">
        <f t="shared" si="60"/>
        <v>48.72</v>
      </c>
      <c r="U116" s="65">
        <f t="shared" si="54"/>
        <v>23</v>
      </c>
      <c r="V116" s="65">
        <f t="shared" si="54"/>
        <v>34</v>
      </c>
      <c r="W116" s="65">
        <f t="shared" si="54"/>
        <v>38</v>
      </c>
      <c r="X116" s="65">
        <f t="shared" si="67"/>
        <v>39.003431946853418</v>
      </c>
      <c r="Y116" s="65">
        <f>$Y$18/1000*CURVES!K75+$Y$14</f>
        <v>78.335132728494614</v>
      </c>
      <c r="Z116" s="65">
        <f t="shared" si="68"/>
        <v>56.147401216020448</v>
      </c>
      <c r="AA116" s="65">
        <f>CHOOSE(AA$18,CURVES!F75,CURVES!G75)</f>
        <v>38.334946236559141</v>
      </c>
      <c r="AB116" s="65">
        <f t="shared" si="61"/>
        <v>47.10272559914646</v>
      </c>
      <c r="AD116" s="65"/>
      <c r="AH116" s="46">
        <f t="shared" si="42"/>
        <v>1826.0560878589888</v>
      </c>
      <c r="AI116" s="46">
        <f t="shared" si="42"/>
        <v>0</v>
      </c>
      <c r="AJ116" s="46">
        <f t="shared" si="42"/>
        <v>1744.0893186443859</v>
      </c>
      <c r="AK116" s="46">
        <f t="shared" si="42"/>
        <v>538.87289280137145</v>
      </c>
      <c r="AL116" s="46">
        <f t="shared" si="40"/>
        <v>4109.0182993047465</v>
      </c>
      <c r="AM116" s="46">
        <f t="shared" si="43"/>
        <v>2445.3687016129034</v>
      </c>
      <c r="AN116" s="46">
        <f t="shared" si="69"/>
        <v>6554.3870009176499</v>
      </c>
      <c r="AO116" s="10">
        <f t="shared" si="62"/>
        <v>5819.1407354168305</v>
      </c>
      <c r="AQ116" s="65">
        <f t="shared" si="63"/>
        <v>43</v>
      </c>
      <c r="AR116" s="65"/>
      <c r="AS116" s="65">
        <f t="shared" si="55"/>
        <v>30</v>
      </c>
      <c r="AT116" s="65">
        <f t="shared" si="55"/>
        <v>38</v>
      </c>
      <c r="AU116" s="65">
        <f t="shared" si="70"/>
        <v>36.826378040059808</v>
      </c>
      <c r="AV116" s="65">
        <f>$Y$18/1000*CURVES!O75+$AV$14</f>
        <v>78.102119288019153</v>
      </c>
      <c r="AW116" s="65">
        <f t="shared" si="71"/>
        <v>52.225896830985825</v>
      </c>
      <c r="AX116" s="65">
        <f>CHOOSE(AX$18,CURVES!B75,CURVES!C75)</f>
        <v>44.07741935483871</v>
      </c>
      <c r="AY116" s="65">
        <f t="shared" si="72"/>
        <v>48.393753062169168</v>
      </c>
    </row>
    <row r="117" spans="1:51">
      <c r="A117" s="75">
        <v>39114</v>
      </c>
      <c r="B117" s="2">
        <f t="shared" si="34"/>
        <v>2007</v>
      </c>
      <c r="C117" s="2">
        <f t="shared" si="64"/>
        <v>2</v>
      </c>
      <c r="D117" s="43">
        <v>5.7668349511017E-2</v>
      </c>
      <c r="E117" s="44">
        <f t="shared" ca="1" si="35"/>
        <v>0.70354591220704665</v>
      </c>
      <c r="F117" s="44"/>
      <c r="G117" s="10"/>
      <c r="H117" s="10">
        <f t="shared" si="50"/>
        <v>13051.217898772598</v>
      </c>
      <c r="I117" s="10">
        <f t="shared" si="50"/>
        <v>12357.036749200755</v>
      </c>
      <c r="K117" s="46">
        <f t="shared" ref="K117:P117" si="79">K105</f>
        <v>2261.8764367816093</v>
      </c>
      <c r="L117" s="46">
        <f t="shared" si="79"/>
        <v>1335.9798850574712</v>
      </c>
      <c r="M117" s="46">
        <f t="shared" si="79"/>
        <v>236.0028735632184</v>
      </c>
      <c r="N117" s="46">
        <f t="shared" si="79"/>
        <v>3.8491379310344827</v>
      </c>
      <c r="O117" s="46">
        <f t="shared" si="39"/>
        <v>3837.7083333333335</v>
      </c>
      <c r="P117" s="46">
        <f t="shared" si="79"/>
        <v>3011.7717013676738</v>
      </c>
      <c r="Q117" s="46">
        <f t="shared" si="66"/>
        <v>6849.4800347010078</v>
      </c>
      <c r="R117" s="10">
        <f t="shared" si="59"/>
        <v>6201.7378640715906</v>
      </c>
      <c r="T117" s="65">
        <f t="shared" si="60"/>
        <v>48.72</v>
      </c>
      <c r="U117" s="65">
        <f t="shared" si="54"/>
        <v>23</v>
      </c>
      <c r="V117" s="65">
        <f t="shared" si="54"/>
        <v>34</v>
      </c>
      <c r="W117" s="65">
        <f t="shared" si="54"/>
        <v>38</v>
      </c>
      <c r="X117" s="65">
        <f t="shared" si="67"/>
        <v>38.850404811599958</v>
      </c>
      <c r="Y117" s="65">
        <f>$Y$18/1000*CURVES!K76+$Y$14</f>
        <v>77.327132728494632</v>
      </c>
      <c r="Z117" s="65">
        <f t="shared" si="68"/>
        <v>55.768932891722379</v>
      </c>
      <c r="AA117" s="65">
        <f>CHOOSE(AA$18,CURVES!F76,CURVES!G76)</f>
        <v>37.392857142857139</v>
      </c>
      <c r="AB117" s="65">
        <f t="shared" si="61"/>
        <v>47.036904536307134</v>
      </c>
      <c r="AD117" s="65"/>
      <c r="AH117" s="46">
        <f t="shared" ref="AH117:AK136" si="80">AH105</f>
        <v>1925.7468502510062</v>
      </c>
      <c r="AI117" s="46">
        <f t="shared" si="80"/>
        <v>0</v>
      </c>
      <c r="AJ117" s="46">
        <f t="shared" si="80"/>
        <v>2201.9273871825426</v>
      </c>
      <c r="AK117" s="46">
        <f t="shared" si="80"/>
        <v>548.47547775416388</v>
      </c>
      <c r="AL117" s="46">
        <f t="shared" si="40"/>
        <v>4676.1497151877129</v>
      </c>
      <c r="AM117" s="46">
        <f t="shared" si="43"/>
        <v>2161.5456443452381</v>
      </c>
      <c r="AN117" s="46">
        <f t="shared" si="69"/>
        <v>6837.6953595329505</v>
      </c>
      <c r="AO117" s="10">
        <f t="shared" si="62"/>
        <v>5519.3413896678048</v>
      </c>
      <c r="AQ117" s="65">
        <f t="shared" si="63"/>
        <v>43</v>
      </c>
      <c r="AR117" s="65"/>
      <c r="AS117" s="65">
        <f t="shared" si="55"/>
        <v>30</v>
      </c>
      <c r="AT117" s="65">
        <f t="shared" si="55"/>
        <v>38</v>
      </c>
      <c r="AU117" s="65">
        <f t="shared" si="70"/>
        <v>36.29203825098557</v>
      </c>
      <c r="AV117" s="65">
        <f>$Y$18/1000*CURVES!O76+$AV$14</f>
        <v>77.094119288019158</v>
      </c>
      <c r="AW117" s="65">
        <f t="shared" si="71"/>
        <v>49.190471993410384</v>
      </c>
      <c r="AX117" s="65">
        <f>CHOOSE(AX$18,CURVES!B76,CURVES!C76)</f>
        <v>42.764285714285712</v>
      </c>
      <c r="AY117" s="65">
        <f t="shared" si="72"/>
        <v>46.320179007482167</v>
      </c>
    </row>
    <row r="118" spans="1:51">
      <c r="A118" s="75">
        <v>39142</v>
      </c>
      <c r="B118" s="2">
        <f t="shared" si="34"/>
        <v>2007</v>
      </c>
      <c r="C118" s="2">
        <f t="shared" si="64"/>
        <v>3</v>
      </c>
      <c r="D118" s="43">
        <v>5.7719903204641002E-2</v>
      </c>
      <c r="E118" s="44">
        <f t="shared" ca="1" si="35"/>
        <v>0.69993936083768704</v>
      </c>
      <c r="F118" s="44"/>
      <c r="G118" s="10"/>
      <c r="H118" s="10">
        <f t="shared" si="50"/>
        <v>12975.662265009529</v>
      </c>
      <c r="I118" s="10">
        <f t="shared" si="50"/>
        <v>12079.625302931416</v>
      </c>
      <c r="K118" s="46">
        <f t="shared" ref="K118:P118" si="81">K106</f>
        <v>2263.9462365591398</v>
      </c>
      <c r="L118" s="46">
        <f t="shared" si="81"/>
        <v>1258.630376344086</v>
      </c>
      <c r="M118" s="46">
        <f t="shared" si="81"/>
        <v>620.64650537634407</v>
      </c>
      <c r="N118" s="46">
        <f t="shared" si="81"/>
        <v>2.581989247311828</v>
      </c>
      <c r="O118" s="46">
        <f t="shared" si="39"/>
        <v>4145.8051075268813</v>
      </c>
      <c r="P118" s="46">
        <f t="shared" si="81"/>
        <v>2834.3973290285558</v>
      </c>
      <c r="Q118" s="46">
        <f t="shared" si="66"/>
        <v>6980.2024365554371</v>
      </c>
      <c r="R118" s="10">
        <f t="shared" si="59"/>
        <v>5995.4598284540916</v>
      </c>
      <c r="T118" s="65">
        <f t="shared" si="60"/>
        <v>48.72</v>
      </c>
      <c r="U118" s="65">
        <f t="shared" si="54"/>
        <v>23</v>
      </c>
      <c r="V118" s="65">
        <f t="shared" si="54"/>
        <v>34</v>
      </c>
      <c r="W118" s="65">
        <f t="shared" si="54"/>
        <v>38</v>
      </c>
      <c r="X118" s="65">
        <f t="shared" si="67"/>
        <v>38.701302138870133</v>
      </c>
      <c r="Y118" s="65">
        <f>$Y$18/1000*CURVES!K77+$Y$14</f>
        <v>75.75213272849463</v>
      </c>
      <c r="Z118" s="65">
        <f t="shared" si="68"/>
        <v>53.746249075014354</v>
      </c>
      <c r="AA118" s="65">
        <f>CHOOSE(AA$18,CURVES!F77,CURVES!G77)</f>
        <v>37.072580645161295</v>
      </c>
      <c r="AB118" s="65">
        <f t="shared" si="61"/>
        <v>46.04210980085039</v>
      </c>
      <c r="AD118" s="65"/>
      <c r="AH118" s="46">
        <f t="shared" si="80"/>
        <v>1891.2387324311178</v>
      </c>
      <c r="AI118" s="46">
        <f t="shared" si="80"/>
        <v>0</v>
      </c>
      <c r="AJ118" s="46">
        <f t="shared" si="80"/>
        <v>1966.5504926356311</v>
      </c>
      <c r="AK118" s="46">
        <f t="shared" si="80"/>
        <v>526.07330501492243</v>
      </c>
      <c r="AL118" s="46">
        <f t="shared" si="40"/>
        <v>4383.8625300816711</v>
      </c>
      <c r="AM118" s="46">
        <f t="shared" si="43"/>
        <v>2044.2222728494623</v>
      </c>
      <c r="AN118" s="46">
        <f t="shared" si="69"/>
        <v>6428.0848029311337</v>
      </c>
      <c r="AO118" s="10">
        <f t="shared" si="62"/>
        <v>5651.540500000282</v>
      </c>
      <c r="AQ118" s="65">
        <f t="shared" si="63"/>
        <v>43</v>
      </c>
      <c r="AR118" s="65"/>
      <c r="AS118" s="65">
        <f t="shared" si="55"/>
        <v>30</v>
      </c>
      <c r="AT118" s="65">
        <f t="shared" si="55"/>
        <v>38</v>
      </c>
      <c r="AU118" s="65">
        <f t="shared" si="70"/>
        <v>36.56833779894724</v>
      </c>
      <c r="AV118" s="65">
        <f>$Y$18/1000*CURVES!O77+$AV$14</f>
        <v>75.519119288019141</v>
      </c>
      <c r="AW118" s="65">
        <f t="shared" si="71"/>
        <v>48.955239575436813</v>
      </c>
      <c r="AX118" s="65">
        <f>CHOOSE(AX$18,CURVES!B77,CURVES!C77)</f>
        <v>40.801612903225809</v>
      </c>
      <c r="AY118" s="65">
        <f t="shared" si="72"/>
        <v>45.140506071352014</v>
      </c>
    </row>
    <row r="119" spans="1:51">
      <c r="A119" s="75">
        <v>39173</v>
      </c>
      <c r="B119" s="2">
        <f t="shared" si="34"/>
        <v>2007</v>
      </c>
      <c r="C119" s="2">
        <f t="shared" si="64"/>
        <v>4</v>
      </c>
      <c r="D119" s="43">
        <v>5.7776980509325997E-2</v>
      </c>
      <c r="E119" s="44">
        <f t="shared" ca="1" si="35"/>
        <v>0.69643021995459164</v>
      </c>
      <c r="F119" s="44"/>
      <c r="G119" s="10"/>
      <c r="H119" s="10">
        <f t="shared" si="50"/>
        <v>13033.239336429038</v>
      </c>
      <c r="I119" s="10">
        <f t="shared" si="50"/>
        <v>11800.547326227894</v>
      </c>
      <c r="K119" s="46">
        <f t="shared" ref="K119:P119" si="82">K107</f>
        <v>2319.8402777777778</v>
      </c>
      <c r="L119" s="46">
        <f t="shared" si="82"/>
        <v>1179.1659722222223</v>
      </c>
      <c r="M119" s="46">
        <f t="shared" si="82"/>
        <v>811.58611111111111</v>
      </c>
      <c r="N119" s="46">
        <f t="shared" si="82"/>
        <v>3.0416666666666665</v>
      </c>
      <c r="O119" s="46">
        <f t="shared" si="39"/>
        <v>4313.6340277777781</v>
      </c>
      <c r="P119" s="46">
        <f t="shared" si="82"/>
        <v>2923.3945906815438</v>
      </c>
      <c r="Q119" s="46">
        <f t="shared" si="66"/>
        <v>7237.0286184593224</v>
      </c>
      <c r="R119" s="10">
        <f t="shared" si="59"/>
        <v>5796.2107179697159</v>
      </c>
      <c r="T119" s="65">
        <f t="shared" si="60"/>
        <v>48.72</v>
      </c>
      <c r="U119" s="65">
        <f t="shared" si="54"/>
        <v>23</v>
      </c>
      <c r="V119" s="65">
        <f t="shared" si="54"/>
        <v>34</v>
      </c>
      <c r="W119" s="65">
        <f t="shared" si="54"/>
        <v>38</v>
      </c>
      <c r="X119" s="65">
        <f t="shared" si="67"/>
        <v>38.912189982891782</v>
      </c>
      <c r="Y119" s="65">
        <f>$Y$18/1000*CURVES!K78+$Y$14</f>
        <v>75.090632728494626</v>
      </c>
      <c r="Z119" s="65">
        <f t="shared" si="68"/>
        <v>53.526456334140946</v>
      </c>
      <c r="AA119" s="65">
        <f>CHOOSE(AA$18,CURVES!F78,CURVES!G78)</f>
        <v>36.444444444444443</v>
      </c>
      <c r="AB119" s="65">
        <f t="shared" si="61"/>
        <v>45.929654200476385</v>
      </c>
      <c r="AD119" s="65"/>
      <c r="AH119" s="46">
        <f t="shared" si="80"/>
        <v>1937.9310849074075</v>
      </c>
      <c r="AI119" s="46">
        <f t="shared" si="80"/>
        <v>0</v>
      </c>
      <c r="AJ119" s="46">
        <f t="shared" si="80"/>
        <v>2070.9500209392572</v>
      </c>
      <c r="AK119" s="46">
        <f t="shared" si="80"/>
        <v>513.91932921853174</v>
      </c>
      <c r="AL119" s="46">
        <f t="shared" si="40"/>
        <v>4522.8004350651963</v>
      </c>
      <c r="AM119" s="46">
        <f t="shared" si="43"/>
        <v>2152.9968589041096</v>
      </c>
      <c r="AN119" s="46">
        <f t="shared" si="69"/>
        <v>6675.7972939693063</v>
      </c>
      <c r="AO119" s="10">
        <f t="shared" si="62"/>
        <v>5124.7500322585875</v>
      </c>
      <c r="AQ119" s="65">
        <f t="shared" si="63"/>
        <v>43</v>
      </c>
      <c r="AR119" s="65"/>
      <c r="AS119" s="65">
        <f t="shared" si="55"/>
        <v>30</v>
      </c>
      <c r="AT119" s="65">
        <f t="shared" si="55"/>
        <v>38</v>
      </c>
      <c r="AU119" s="65">
        <f t="shared" si="70"/>
        <v>36.479272998726103</v>
      </c>
      <c r="AV119" s="65">
        <f>$Y$18/1000*CURVES!O78+$AV$14</f>
        <v>74.857619288019151</v>
      </c>
      <c r="AW119" s="65">
        <f t="shared" si="71"/>
        <v>48.85658995012993</v>
      </c>
      <c r="AX119" s="65">
        <f>CHOOSE(AX$18,CURVES!B78,CURVES!C78)</f>
        <v>38.644444444444446</v>
      </c>
      <c r="AY119" s="65">
        <f t="shared" si="72"/>
        <v>44.421652183017045</v>
      </c>
    </row>
    <row r="120" spans="1:51">
      <c r="A120" s="75">
        <v>39203</v>
      </c>
      <c r="B120" s="2">
        <f t="shared" si="34"/>
        <v>2007</v>
      </c>
      <c r="C120" s="2">
        <f t="shared" si="64"/>
        <v>5</v>
      </c>
      <c r="D120" s="43">
        <v>5.7832216611667001E-2</v>
      </c>
      <c r="E120" s="44">
        <f t="shared" ca="1" si="35"/>
        <v>0.69283218964077342</v>
      </c>
      <c r="F120" s="44"/>
      <c r="G120" s="10"/>
      <c r="H120" s="10">
        <f t="shared" si="50"/>
        <v>13772.208734715394</v>
      </c>
      <c r="I120" s="10">
        <f t="shared" si="50"/>
        <v>12853.961408937746</v>
      </c>
      <c r="K120" s="46">
        <f t="shared" ref="K120:P120" si="83">K108</f>
        <v>2226.0672043010754</v>
      </c>
      <c r="L120" s="46">
        <f t="shared" si="83"/>
        <v>1023.6263440860215</v>
      </c>
      <c r="M120" s="46">
        <f t="shared" si="83"/>
        <v>950.16532258064512</v>
      </c>
      <c r="N120" s="46">
        <f t="shared" si="83"/>
        <v>3.3051075268817205</v>
      </c>
      <c r="O120" s="46">
        <f t="shared" si="39"/>
        <v>4203.1639784946237</v>
      </c>
      <c r="P120" s="46">
        <f t="shared" si="83"/>
        <v>2831.510502104928</v>
      </c>
      <c r="Q120" s="46">
        <f t="shared" si="66"/>
        <v>7034.6744805995513</v>
      </c>
      <c r="R120" s="10">
        <f t="shared" si="59"/>
        <v>6737.5342541158425</v>
      </c>
      <c r="T120" s="65">
        <f t="shared" si="60"/>
        <v>48.72</v>
      </c>
      <c r="U120" s="65">
        <f t="shared" si="54"/>
        <v>23</v>
      </c>
      <c r="V120" s="65">
        <f t="shared" si="54"/>
        <v>34</v>
      </c>
      <c r="W120" s="65">
        <f t="shared" si="54"/>
        <v>38</v>
      </c>
      <c r="X120" s="65">
        <f t="shared" si="67"/>
        <v>39.120199926194871</v>
      </c>
      <c r="Y120" s="65">
        <f>$Y$18/1000*CURVES!K79+$Y$14</f>
        <v>74.828132728494623</v>
      </c>
      <c r="Z120" s="65">
        <f t="shared" si="68"/>
        <v>53.492917102662091</v>
      </c>
      <c r="AA120" s="65">
        <f>CHOOSE(AA$18,CURVES!F79,CURVES!G79)</f>
        <v>35.484408602150538</v>
      </c>
      <c r="AB120" s="65">
        <f t="shared" si="61"/>
        <v>44.682932791148509</v>
      </c>
      <c r="AD120" s="65"/>
      <c r="AH120" s="46">
        <f t="shared" si="80"/>
        <v>1895.2591032026239</v>
      </c>
      <c r="AI120" s="46">
        <f t="shared" si="80"/>
        <v>0</v>
      </c>
      <c r="AJ120" s="46">
        <f t="shared" si="80"/>
        <v>1877.6303324734643</v>
      </c>
      <c r="AK120" s="46">
        <f t="shared" si="80"/>
        <v>570.53181663934993</v>
      </c>
      <c r="AL120" s="46">
        <f t="shared" si="40"/>
        <v>4343.4212523154383</v>
      </c>
      <c r="AM120" s="46">
        <f t="shared" si="43"/>
        <v>2186.8418319892476</v>
      </c>
      <c r="AN120" s="46">
        <f t="shared" si="69"/>
        <v>6530.2630843046863</v>
      </c>
      <c r="AO120" s="10">
        <f t="shared" si="62"/>
        <v>6323.6983246330601</v>
      </c>
      <c r="AQ120" s="65">
        <f t="shared" si="63"/>
        <v>43</v>
      </c>
      <c r="AR120" s="65"/>
      <c r="AS120" s="65">
        <f t="shared" si="55"/>
        <v>30</v>
      </c>
      <c r="AT120" s="65">
        <f t="shared" si="55"/>
        <v>38</v>
      </c>
      <c r="AU120" s="65">
        <f t="shared" si="70"/>
        <v>36.723414833221909</v>
      </c>
      <c r="AV120" s="65">
        <f>$Y$18/1000*CURVES!O79+$AV$14</f>
        <v>74.595119288019148</v>
      </c>
      <c r="AW120" s="65">
        <f t="shared" si="71"/>
        <v>49.405817744298865</v>
      </c>
      <c r="AX120" s="65">
        <f>CHOOSE(AX$18,CURVES!B79,CURVES!C79)</f>
        <v>38.728494623655905</v>
      </c>
      <c r="AY120" s="65">
        <f t="shared" si="72"/>
        <v>44.152949139712355</v>
      </c>
    </row>
    <row r="121" spans="1:51">
      <c r="A121" s="75">
        <v>39234</v>
      </c>
      <c r="B121" s="2">
        <f t="shared" si="34"/>
        <v>2007</v>
      </c>
      <c r="C121" s="2">
        <f t="shared" si="64"/>
        <v>6</v>
      </c>
      <c r="D121" s="43">
        <v>5.7889293918483999E-2</v>
      </c>
      <c r="E121" s="44">
        <f t="shared" ca="1" si="35"/>
        <v>0.68934612664987283</v>
      </c>
      <c r="F121" s="44"/>
      <c r="G121" s="10"/>
      <c r="H121" s="10">
        <f t="shared" si="50"/>
        <v>15219.970677652616</v>
      </c>
      <c r="I121" s="10">
        <f t="shared" si="50"/>
        <v>14494.465325418096</v>
      </c>
      <c r="K121" s="46">
        <f t="shared" ref="K121:P121" si="84">K109</f>
        <v>2252.1333333333332</v>
      </c>
      <c r="L121" s="46">
        <f t="shared" si="84"/>
        <v>1398.3916666666667</v>
      </c>
      <c r="M121" s="46">
        <f t="shared" si="84"/>
        <v>957.04027777777776</v>
      </c>
      <c r="N121" s="46">
        <f t="shared" si="84"/>
        <v>3.526388888888889</v>
      </c>
      <c r="O121" s="46">
        <f t="shared" si="39"/>
        <v>4611.0916666666662</v>
      </c>
      <c r="P121" s="46">
        <f t="shared" si="84"/>
        <v>3175.7411781346573</v>
      </c>
      <c r="Q121" s="46">
        <f t="shared" si="66"/>
        <v>7786.8328448013235</v>
      </c>
      <c r="R121" s="10">
        <f t="shared" si="59"/>
        <v>7433.1378328512938</v>
      </c>
      <c r="T121" s="65">
        <f t="shared" si="60"/>
        <v>48.72</v>
      </c>
      <c r="U121" s="65">
        <f t="shared" si="54"/>
        <v>23</v>
      </c>
      <c r="V121" s="65">
        <f t="shared" si="54"/>
        <v>34</v>
      </c>
      <c r="W121" s="65">
        <f t="shared" si="54"/>
        <v>38</v>
      </c>
      <c r="X121" s="65">
        <f t="shared" si="67"/>
        <v>37.856613829094464</v>
      </c>
      <c r="Y121" s="65">
        <f>$Y$18/1000*CURVES!K80+$Y$14</f>
        <v>75.132632728494627</v>
      </c>
      <c r="Z121" s="65">
        <f t="shared" si="68"/>
        <v>53.059070403564725</v>
      </c>
      <c r="AA121" s="65">
        <f>CHOOSE(AA$18,CURVES!F80,CURVES!G80)</f>
        <v>46.67</v>
      </c>
      <c r="AB121" s="65">
        <f t="shared" si="61"/>
        <v>49.938772609350316</v>
      </c>
      <c r="AD121" s="65"/>
      <c r="AH121" s="46">
        <f t="shared" si="80"/>
        <v>1881.3705563400365</v>
      </c>
      <c r="AI121" s="46">
        <f t="shared" si="80"/>
        <v>0</v>
      </c>
      <c r="AJ121" s="46">
        <f t="shared" si="80"/>
        <v>1162.1616861734683</v>
      </c>
      <c r="AK121" s="46">
        <f t="shared" si="80"/>
        <v>631.24071210358352</v>
      </c>
      <c r="AL121" s="46">
        <f t="shared" si="40"/>
        <v>3674.7729546170881</v>
      </c>
      <c r="AM121" s="46">
        <f t="shared" si="43"/>
        <v>2754.0461410958906</v>
      </c>
      <c r="AN121" s="46">
        <f t="shared" si="69"/>
        <v>6428.8190957129791</v>
      </c>
      <c r="AO121" s="10">
        <f t="shared" si="62"/>
        <v>8065.6462297051166</v>
      </c>
      <c r="AQ121" s="65">
        <f t="shared" si="63"/>
        <v>43</v>
      </c>
      <c r="AR121" s="65"/>
      <c r="AS121" s="65">
        <f t="shared" si="55"/>
        <v>30</v>
      </c>
      <c r="AT121" s="65">
        <f t="shared" si="55"/>
        <v>38</v>
      </c>
      <c r="AU121" s="65">
        <f t="shared" si="70"/>
        <v>38.029813894263803</v>
      </c>
      <c r="AV121" s="65">
        <f>$Y$18/1000*CURVES!O80+$AV$14</f>
        <v>70.279619288019148</v>
      </c>
      <c r="AW121" s="65">
        <f t="shared" si="71"/>
        <v>51.845329741488804</v>
      </c>
      <c r="AX121" s="65">
        <f>CHOOSE(AX$18,CURVES!B80,CURVES!C80)</f>
        <v>44.093333333333334</v>
      </c>
      <c r="AY121" s="65">
        <f t="shared" si="72"/>
        <v>47.531623840762641</v>
      </c>
    </row>
    <row r="122" spans="1:51">
      <c r="A122" s="75">
        <v>39264</v>
      </c>
      <c r="B122" s="2">
        <f t="shared" si="34"/>
        <v>2007</v>
      </c>
      <c r="C122" s="2">
        <f t="shared" si="64"/>
        <v>7</v>
      </c>
      <c r="D122" s="43">
        <v>5.7944530022887998E-2</v>
      </c>
      <c r="E122" s="44">
        <f t="shared" ca="1" si="35"/>
        <v>0.68577220683348894</v>
      </c>
      <c r="F122" s="44"/>
      <c r="G122" s="10"/>
      <c r="H122" s="10">
        <f t="shared" si="50"/>
        <v>15021.999276897031</v>
      </c>
      <c r="I122" s="10">
        <f t="shared" si="50"/>
        <v>13759.461603743772</v>
      </c>
      <c r="K122" s="46">
        <f t="shared" ref="K122:P122" si="85">K110</f>
        <v>2248.4569892473119</v>
      </c>
      <c r="L122" s="46">
        <f t="shared" si="85"/>
        <v>1358.3225806451612</v>
      </c>
      <c r="M122" s="46">
        <f t="shared" si="85"/>
        <v>653.55107526881716</v>
      </c>
      <c r="N122" s="46">
        <f t="shared" si="85"/>
        <v>3.8373655913978495</v>
      </c>
      <c r="O122" s="46">
        <f t="shared" si="39"/>
        <v>4264.1680107526872</v>
      </c>
      <c r="P122" s="46">
        <f t="shared" si="85"/>
        <v>3349.3895623880758</v>
      </c>
      <c r="Q122" s="46">
        <f t="shared" si="66"/>
        <v>7613.5575731407625</v>
      </c>
      <c r="R122" s="10">
        <f t="shared" si="59"/>
        <v>7408.4417037562689</v>
      </c>
      <c r="T122" s="65">
        <f t="shared" si="60"/>
        <v>48.72</v>
      </c>
      <c r="U122" s="65">
        <f t="shared" si="54"/>
        <v>23</v>
      </c>
      <c r="V122" s="65">
        <f t="shared" si="54"/>
        <v>34</v>
      </c>
      <c r="W122" s="65">
        <f t="shared" si="54"/>
        <v>38</v>
      </c>
      <c r="X122" s="65">
        <f t="shared" si="67"/>
        <v>38.261344278923424</v>
      </c>
      <c r="Y122" s="65">
        <f>$Y$18/1000*CURVES!K81+$Y$14</f>
        <v>75.447632728494625</v>
      </c>
      <c r="Z122" s="65">
        <f t="shared" si="68"/>
        <v>54.620499010522288</v>
      </c>
      <c r="AA122" s="65">
        <f>CHOOSE(AA$18,CURVES!F81,CURVES!G81)</f>
        <v>57.975806451612897</v>
      </c>
      <c r="AB122" s="65">
        <f t="shared" si="61"/>
        <v>56.275245433904757</v>
      </c>
      <c r="AD122" s="65"/>
      <c r="AH122" s="46">
        <f t="shared" si="80"/>
        <v>1914.3216201186069</v>
      </c>
      <c r="AI122" s="46">
        <f t="shared" si="80"/>
        <v>0</v>
      </c>
      <c r="AJ122" s="46">
        <f t="shared" si="80"/>
        <v>1193.3319743059751</v>
      </c>
      <c r="AK122" s="46">
        <f t="shared" si="80"/>
        <v>610.72305844211053</v>
      </c>
      <c r="AL122" s="46">
        <f t="shared" si="40"/>
        <v>3718.3766528666924</v>
      </c>
      <c r="AM122" s="46">
        <f t="shared" si="43"/>
        <v>2586.7318602150535</v>
      </c>
      <c r="AN122" s="46">
        <f t="shared" si="69"/>
        <v>6305.1085130817464</v>
      </c>
      <c r="AO122" s="10">
        <f t="shared" si="62"/>
        <v>7454.3530906620254</v>
      </c>
      <c r="AQ122" s="65">
        <f t="shared" si="63"/>
        <v>43</v>
      </c>
      <c r="AR122" s="65"/>
      <c r="AS122" s="65">
        <f t="shared" si="55"/>
        <v>30</v>
      </c>
      <c r="AT122" s="65">
        <f t="shared" si="55"/>
        <v>38</v>
      </c>
      <c r="AU122" s="65">
        <f t="shared" si="70"/>
        <v>38.006710537547619</v>
      </c>
      <c r="AV122" s="65">
        <f>$Y$18/1000*CURVES!O81+$AV$14</f>
        <v>70.594619288019146</v>
      </c>
      <c r="AW122" s="65">
        <f t="shared" si="71"/>
        <v>51.376215859736625</v>
      </c>
      <c r="AX122" s="65">
        <f>CHOOSE(AX$18,CURVES!B81,CURVES!C81)</f>
        <v>55.955913978494614</v>
      </c>
      <c r="AY122" s="65">
        <f t="shared" si="72"/>
        <v>53.857322156553792</v>
      </c>
    </row>
    <row r="123" spans="1:51">
      <c r="A123" s="75">
        <v>39295</v>
      </c>
      <c r="B123" s="2">
        <f t="shared" si="34"/>
        <v>2007</v>
      </c>
      <c r="C123" s="2">
        <f t="shared" si="64"/>
        <v>8</v>
      </c>
      <c r="D123" s="43">
        <v>5.8001607331837998E-2</v>
      </c>
      <c r="E123" s="44">
        <f t="shared" ca="1" si="35"/>
        <v>0.6822024414736434</v>
      </c>
      <c r="F123" s="44"/>
      <c r="G123" s="10"/>
      <c r="H123" s="10">
        <f t="shared" si="50"/>
        <v>16109.168883151993</v>
      </c>
      <c r="I123" s="10">
        <f t="shared" si="50"/>
        <v>14270.83843350614</v>
      </c>
      <c r="K123" s="46">
        <f t="shared" ref="K123:P123" si="86">K111</f>
        <v>2226.0658602150538</v>
      </c>
      <c r="L123" s="46">
        <f t="shared" si="86"/>
        <v>1361.989247311828</v>
      </c>
      <c r="M123" s="46">
        <f t="shared" si="86"/>
        <v>483.36424731182797</v>
      </c>
      <c r="N123" s="46">
        <f t="shared" si="86"/>
        <v>3.924731182795699</v>
      </c>
      <c r="O123" s="46">
        <f t="shared" si="39"/>
        <v>4075.3440860215055</v>
      </c>
      <c r="P123" s="46">
        <f t="shared" si="86"/>
        <v>3426.252928840011</v>
      </c>
      <c r="Q123" s="46">
        <f t="shared" si="66"/>
        <v>7501.5970148615161</v>
      </c>
      <c r="R123" s="10">
        <f t="shared" si="59"/>
        <v>8607.5718682904771</v>
      </c>
      <c r="T123" s="65">
        <f t="shared" si="60"/>
        <v>48.72</v>
      </c>
      <c r="U123" s="65">
        <f t="shared" si="54"/>
        <v>23</v>
      </c>
      <c r="V123" s="65">
        <f t="shared" si="54"/>
        <v>34</v>
      </c>
      <c r="W123" s="65">
        <f t="shared" si="54"/>
        <v>38</v>
      </c>
      <c r="X123" s="65">
        <f t="shared" si="67"/>
        <v>38.368099058856423</v>
      </c>
      <c r="Y123" s="65">
        <f>$Y$18/1000*CURVES!K82+$Y$14</f>
        <v>75.657632728494633</v>
      </c>
      <c r="Z123" s="65">
        <f t="shared" si="68"/>
        <v>55.399588979944212</v>
      </c>
      <c r="AA123" s="65">
        <f>CHOOSE(AA$18,CURVES!F82,CURVES!G82)</f>
        <v>64.556451612903231</v>
      </c>
      <c r="AB123" s="65">
        <f t="shared" si="61"/>
        <v>60.292352459734389</v>
      </c>
      <c r="AD123" s="65"/>
      <c r="AH123" s="46">
        <f t="shared" si="80"/>
        <v>1859.5945026415061</v>
      </c>
      <c r="AI123" s="46">
        <f t="shared" si="80"/>
        <v>0</v>
      </c>
      <c r="AJ123" s="46">
        <f t="shared" si="80"/>
        <v>1584.5088037693729</v>
      </c>
      <c r="AK123" s="46">
        <f t="shared" si="80"/>
        <v>621.50165686237608</v>
      </c>
      <c r="AL123" s="46">
        <f t="shared" si="40"/>
        <v>4065.6049632732547</v>
      </c>
      <c r="AM123" s="46">
        <f t="shared" si="43"/>
        <v>2208.289016129032</v>
      </c>
      <c r="AN123" s="46">
        <f t="shared" si="69"/>
        <v>6273.8939794022863</v>
      </c>
      <c r="AO123" s="10">
        <f t="shared" si="62"/>
        <v>7996.944454103852</v>
      </c>
      <c r="AQ123" s="65">
        <f t="shared" si="63"/>
        <v>43</v>
      </c>
      <c r="AR123" s="65"/>
      <c r="AS123" s="65">
        <f t="shared" si="55"/>
        <v>30</v>
      </c>
      <c r="AT123" s="65">
        <f t="shared" si="55"/>
        <v>38</v>
      </c>
      <c r="AU123" s="65">
        <f t="shared" si="70"/>
        <v>37.169103258318607</v>
      </c>
      <c r="AV123" s="65">
        <f>$Y$18/1000*CURVES!O82+$AV$14</f>
        <v>70.804619288019154</v>
      </c>
      <c r="AW123" s="65">
        <f t="shared" si="71"/>
        <v>49.008152634045558</v>
      </c>
      <c r="AX123" s="65">
        <f>CHOOSE(AX$18,CURVES!B82,CURVES!C82)</f>
        <v>66.230645161290326</v>
      </c>
      <c r="AY123" s="65">
        <f t="shared" si="72"/>
        <v>58.65911440082084</v>
      </c>
    </row>
    <row r="124" spans="1:51">
      <c r="A124" s="75">
        <v>39326</v>
      </c>
      <c r="B124" s="2">
        <f t="shared" si="34"/>
        <v>2007</v>
      </c>
      <c r="C124" s="2">
        <f t="shared" si="64"/>
        <v>9</v>
      </c>
      <c r="D124" s="43">
        <v>5.8058684641871999E-2</v>
      </c>
      <c r="E124" s="44">
        <f t="shared" ca="1" si="35"/>
        <v>0.67875122240348429</v>
      </c>
      <c r="F124" s="44"/>
      <c r="G124" s="10"/>
      <c r="H124" s="10">
        <f t="shared" ref="H124:I143" si="87">(1+$I$17)*H112</f>
        <v>14591.872840950275</v>
      </c>
      <c r="I124" s="10">
        <f t="shared" si="87"/>
        <v>13442.213550382236</v>
      </c>
      <c r="K124" s="46">
        <f t="shared" ref="K124:P124" si="88">K112</f>
        <v>2263.6333333333332</v>
      </c>
      <c r="L124" s="46">
        <f t="shared" si="88"/>
        <v>1380.7361111111111</v>
      </c>
      <c r="M124" s="46">
        <f t="shared" si="88"/>
        <v>542.60277777777776</v>
      </c>
      <c r="N124" s="46">
        <f t="shared" si="88"/>
        <v>3.4194444444444443</v>
      </c>
      <c r="O124" s="46">
        <f t="shared" si="39"/>
        <v>4190.3916666666673</v>
      </c>
      <c r="P124" s="46">
        <f t="shared" si="88"/>
        <v>3348.1339323547272</v>
      </c>
      <c r="Q124" s="46">
        <f t="shared" si="66"/>
        <v>7538.5255990213946</v>
      </c>
      <c r="R124" s="10">
        <f t="shared" si="59"/>
        <v>7053.3472419288792</v>
      </c>
      <c r="T124" s="65">
        <f t="shared" si="60"/>
        <v>48.72</v>
      </c>
      <c r="U124" s="65">
        <f t="shared" si="54"/>
        <v>23</v>
      </c>
      <c r="V124" s="65">
        <f t="shared" si="54"/>
        <v>34</v>
      </c>
      <c r="W124" s="65">
        <f t="shared" si="54"/>
        <v>38</v>
      </c>
      <c r="X124" s="65">
        <f t="shared" si="67"/>
        <v>38.330445615995849</v>
      </c>
      <c r="Y124" s="65">
        <f>$Y$18/1000*CURVES!K83+$Y$14</f>
        <v>75.87813272849462</v>
      </c>
      <c r="Z124" s="65">
        <f t="shared" si="68"/>
        <v>55.006741749965997</v>
      </c>
      <c r="AA124" s="65">
        <f>CHOOSE(AA$18,CURVES!F83,CURVES!G83)</f>
        <v>57.783333333333331</v>
      </c>
      <c r="AB124" s="65">
        <f t="shared" si="61"/>
        <v>56.348876841189252</v>
      </c>
      <c r="AD124" s="65"/>
      <c r="AH124" s="46">
        <f t="shared" si="80"/>
        <v>1890.9773416389726</v>
      </c>
      <c r="AI124" s="46">
        <f t="shared" si="80"/>
        <v>0</v>
      </c>
      <c r="AJ124" s="46">
        <f t="shared" si="80"/>
        <v>765.82060543821262</v>
      </c>
      <c r="AK124" s="46">
        <f t="shared" si="80"/>
        <v>570.92254509204622</v>
      </c>
      <c r="AL124" s="46">
        <f t="shared" si="40"/>
        <v>3227.7204921692314</v>
      </c>
      <c r="AM124" s="46">
        <f t="shared" si="43"/>
        <v>2371.5769315068492</v>
      </c>
      <c r="AN124" s="46">
        <f t="shared" si="69"/>
        <v>5599.2974236760801</v>
      </c>
      <c r="AO124" s="10">
        <f t="shared" si="62"/>
        <v>7842.9161267061545</v>
      </c>
      <c r="AQ124" s="65">
        <f t="shared" si="63"/>
        <v>43</v>
      </c>
      <c r="AR124" s="65"/>
      <c r="AS124" s="65">
        <f t="shared" si="55"/>
        <v>30</v>
      </c>
      <c r="AT124" s="65">
        <f t="shared" si="55"/>
        <v>38</v>
      </c>
      <c r="AU124" s="65">
        <f t="shared" si="70"/>
        <v>39.031167931908605</v>
      </c>
      <c r="AV124" s="65">
        <f>$Y$18/1000*CURVES!O83+$AV$14</f>
        <v>71.02511928801917</v>
      </c>
      <c r="AW124" s="65">
        <f t="shared" si="71"/>
        <v>52.582174646263411</v>
      </c>
      <c r="AX124" s="65">
        <f>CHOOSE(AX$18,CURVES!B83,CURVES!C83)</f>
        <v>56.573333333333331</v>
      </c>
      <c r="AY124" s="65">
        <f t="shared" si="72"/>
        <v>54.91083299659693</v>
      </c>
    </row>
    <row r="125" spans="1:51">
      <c r="A125" s="75">
        <v>39356</v>
      </c>
      <c r="B125" s="2">
        <f t="shared" si="34"/>
        <v>2007</v>
      </c>
      <c r="C125" s="2">
        <f t="shared" si="64"/>
        <v>10</v>
      </c>
      <c r="D125" s="43">
        <v>5.8113920749388003E-2</v>
      </c>
      <c r="E125" s="44">
        <f t="shared" ca="1" si="35"/>
        <v>0.67521368834174889</v>
      </c>
      <c r="F125" s="44"/>
      <c r="G125" s="10"/>
      <c r="H125" s="10">
        <f t="shared" si="87"/>
        <v>13555.834704575967</v>
      </c>
      <c r="I125" s="10">
        <f t="shared" si="87"/>
        <v>11635.205473529904</v>
      </c>
      <c r="K125" s="46">
        <f t="shared" ref="K125:P125" si="89">K113</f>
        <v>2069.2916666666665</v>
      </c>
      <c r="L125" s="46">
        <f t="shared" si="89"/>
        <v>1227.5241935483871</v>
      </c>
      <c r="M125" s="46">
        <f t="shared" si="89"/>
        <v>369.34005376344084</v>
      </c>
      <c r="N125" s="46">
        <f t="shared" si="89"/>
        <v>3.278225806451613</v>
      </c>
      <c r="O125" s="46">
        <f t="shared" si="39"/>
        <v>3669.4341397849457</v>
      </c>
      <c r="P125" s="46">
        <f t="shared" si="89"/>
        <v>3171.075494984625</v>
      </c>
      <c r="Q125" s="46">
        <f t="shared" si="66"/>
        <v>6840.5096347695708</v>
      </c>
      <c r="R125" s="10">
        <f t="shared" si="59"/>
        <v>6715.3250698063966</v>
      </c>
      <c r="T125" s="65">
        <f t="shared" si="60"/>
        <v>48.72</v>
      </c>
      <c r="U125" s="65">
        <f t="shared" si="54"/>
        <v>23</v>
      </c>
      <c r="V125" s="65">
        <f t="shared" si="54"/>
        <v>34</v>
      </c>
      <c r="W125" s="65">
        <f t="shared" si="54"/>
        <v>38</v>
      </c>
      <c r="X125" s="65">
        <f t="shared" si="67"/>
        <v>38.624778497461044</v>
      </c>
      <c r="Y125" s="65">
        <f>$Y$18/1000*CURVES!K84+$Y$14</f>
        <v>76.193132728494618</v>
      </c>
      <c r="Z125" s="65">
        <f t="shared" si="68"/>
        <v>56.040452745385053</v>
      </c>
      <c r="AA125" s="65">
        <f>CHOOSE(AA$18,CURVES!F84,CURVES!G84)</f>
        <v>45.208064516129035</v>
      </c>
      <c r="AB125" s="65">
        <f t="shared" si="61"/>
        <v>50.674275757608477</v>
      </c>
      <c r="AD125" s="65"/>
      <c r="AH125" s="46">
        <f t="shared" si="80"/>
        <v>1913.8399491890309</v>
      </c>
      <c r="AI125" s="46">
        <f t="shared" si="80"/>
        <v>0</v>
      </c>
      <c r="AJ125" s="46">
        <f t="shared" si="80"/>
        <v>1075.3801160883429</v>
      </c>
      <c r="AK125" s="46">
        <f t="shared" si="80"/>
        <v>576.38556050292607</v>
      </c>
      <c r="AL125" s="46">
        <f t="shared" si="40"/>
        <v>3565.6056257802998</v>
      </c>
      <c r="AM125" s="46">
        <f t="shared" si="43"/>
        <v>2259.7132500000002</v>
      </c>
      <c r="AN125" s="46">
        <f t="shared" si="69"/>
        <v>5825.3188757803</v>
      </c>
      <c r="AO125" s="10">
        <f t="shared" si="62"/>
        <v>5809.8865977496043</v>
      </c>
      <c r="AQ125" s="65">
        <f t="shared" si="63"/>
        <v>43</v>
      </c>
      <c r="AR125" s="65"/>
      <c r="AS125" s="65">
        <f t="shared" si="55"/>
        <v>30</v>
      </c>
      <c r="AT125" s="65">
        <f t="shared" si="55"/>
        <v>38</v>
      </c>
      <c r="AU125" s="65">
        <f t="shared" si="70"/>
        <v>38.270966258930272</v>
      </c>
      <c r="AV125" s="65">
        <f>$Y$18/1000*CURVES!O84+$AV$14</f>
        <v>71.340119288019153</v>
      </c>
      <c r="AW125" s="65">
        <f t="shared" si="71"/>
        <v>51.098899778037442</v>
      </c>
      <c r="AX125" s="65">
        <f>CHOOSE(AX$18,CURVES!B84,CURVES!C84)</f>
        <v>43.293548387096777</v>
      </c>
      <c r="AY125" s="65">
        <f t="shared" si="72"/>
        <v>47.201400370732642</v>
      </c>
    </row>
    <row r="126" spans="1:51">
      <c r="A126" s="75">
        <v>39387</v>
      </c>
      <c r="B126" s="2">
        <f t="shared" si="34"/>
        <v>2007</v>
      </c>
      <c r="C126" s="2">
        <f t="shared" si="64"/>
        <v>11</v>
      </c>
      <c r="D126" s="43">
        <v>5.8170998061553E-2</v>
      </c>
      <c r="E126" s="44">
        <f t="shared" ca="1" si="35"/>
        <v>0.67178559339578836</v>
      </c>
      <c r="F126" s="44"/>
      <c r="G126" s="10"/>
      <c r="H126" s="10">
        <f t="shared" si="87"/>
        <v>13260.284074804551</v>
      </c>
      <c r="I126" s="10">
        <f t="shared" si="87"/>
        <v>11811.817660277102</v>
      </c>
      <c r="K126" s="46">
        <f t="shared" ref="K126:P126" si="90">K114</f>
        <v>2201.1583333333333</v>
      </c>
      <c r="L126" s="46">
        <f t="shared" si="90"/>
        <v>1270.0277777777778</v>
      </c>
      <c r="M126" s="46">
        <f t="shared" si="90"/>
        <v>241.3111111111111</v>
      </c>
      <c r="N126" s="46">
        <f t="shared" si="90"/>
        <v>3.1194444444444445</v>
      </c>
      <c r="O126" s="46">
        <f t="shared" si="39"/>
        <v>3715.6166666666668</v>
      </c>
      <c r="P126" s="46">
        <f t="shared" si="90"/>
        <v>3029.0331582980816</v>
      </c>
      <c r="Q126" s="46">
        <f t="shared" si="66"/>
        <v>6744.6498249647484</v>
      </c>
      <c r="R126" s="10">
        <f t="shared" si="59"/>
        <v>6515.6342498398026</v>
      </c>
      <c r="T126" s="65">
        <f t="shared" si="60"/>
        <v>48.72</v>
      </c>
      <c r="U126" s="65">
        <f t="shared" ref="U126:W145" si="91">U$18</f>
        <v>23</v>
      </c>
      <c r="V126" s="65">
        <f t="shared" si="91"/>
        <v>34</v>
      </c>
      <c r="W126" s="65">
        <f t="shared" si="91"/>
        <v>38</v>
      </c>
      <c r="X126" s="65">
        <f t="shared" si="67"/>
        <v>38.963704424717896</v>
      </c>
      <c r="Y126" s="65">
        <f>$Y$18/1000*CURVES!K85+$Y$14</f>
        <v>76.403132728494626</v>
      </c>
      <c r="Z126" s="65">
        <f t="shared" si="68"/>
        <v>55.777812303247551</v>
      </c>
      <c r="AA126" s="65">
        <f>CHOOSE(AA$18,CURVES!F85,CURVES!G85)</f>
        <v>36.722222222222221</v>
      </c>
      <c r="AB126" s="65">
        <f t="shared" si="61"/>
        <v>46.414569805392823</v>
      </c>
      <c r="AD126" s="65"/>
      <c r="AH126" s="46">
        <f t="shared" si="80"/>
        <v>1838.7874362867092</v>
      </c>
      <c r="AI126" s="46">
        <f t="shared" si="80"/>
        <v>0</v>
      </c>
      <c r="AJ126" s="46">
        <f t="shared" si="80"/>
        <v>1347.8791847211178</v>
      </c>
      <c r="AK126" s="46">
        <f t="shared" si="80"/>
        <v>499.43911251442188</v>
      </c>
      <c r="AL126" s="46">
        <f t="shared" si="40"/>
        <v>3686.105733522249</v>
      </c>
      <c r="AM126" s="46">
        <f t="shared" si="43"/>
        <v>2451.2376410958905</v>
      </c>
      <c r="AN126" s="46">
        <f t="shared" si="69"/>
        <v>6137.3433746181399</v>
      </c>
      <c r="AO126" s="10">
        <f t="shared" si="62"/>
        <v>5674.4742856589628</v>
      </c>
      <c r="AQ126" s="65">
        <f t="shared" si="63"/>
        <v>43</v>
      </c>
      <c r="AR126" s="65"/>
      <c r="AS126" s="65">
        <f t="shared" ref="AS126:AT145" si="92">AS$18</f>
        <v>30</v>
      </c>
      <c r="AT126" s="65">
        <f t="shared" si="92"/>
        <v>38</v>
      </c>
      <c r="AU126" s="65">
        <f t="shared" si="70"/>
        <v>37.568895628282228</v>
      </c>
      <c r="AV126" s="65">
        <f>$Y$18/1000*CURVES!O85+$AV$14</f>
        <v>72.810119288019152</v>
      </c>
      <c r="AW126" s="65">
        <f t="shared" si="71"/>
        <v>51.644141004039128</v>
      </c>
      <c r="AX126" s="65">
        <f>CHOOSE(AX$18,CURVES!B85,CURVES!C85)</f>
        <v>41.394444444444446</v>
      </c>
      <c r="AY126" s="65">
        <f t="shared" si="72"/>
        <v>46.720119889251393</v>
      </c>
    </row>
    <row r="127" spans="1:51">
      <c r="A127" s="75">
        <v>39417</v>
      </c>
      <c r="B127" s="2">
        <f t="shared" si="34"/>
        <v>2007</v>
      </c>
      <c r="C127" s="2">
        <f t="shared" si="64"/>
        <v>12</v>
      </c>
      <c r="D127" s="43">
        <v>5.8226234171131999E-2</v>
      </c>
      <c r="E127" s="44">
        <f t="shared" ca="1" si="35"/>
        <v>0.66827219547269234</v>
      </c>
      <c r="F127" s="44"/>
      <c r="G127" s="10"/>
      <c r="H127" s="10">
        <f t="shared" si="87"/>
        <v>13164.803179527642</v>
      </c>
      <c r="I127" s="10">
        <f t="shared" si="87"/>
        <v>11784.983268028585</v>
      </c>
      <c r="K127" s="46">
        <f t="shared" ref="K127:P127" si="93">K115</f>
        <v>2256.4126344086021</v>
      </c>
      <c r="L127" s="46">
        <f t="shared" si="93"/>
        <v>1157.2150537634409</v>
      </c>
      <c r="M127" s="46">
        <f t="shared" si="93"/>
        <v>239.86021505376345</v>
      </c>
      <c r="N127" s="46">
        <f t="shared" si="93"/>
        <v>2.9690860215053765</v>
      </c>
      <c r="O127" s="46">
        <f t="shared" si="39"/>
        <v>3656.4569892473123</v>
      </c>
      <c r="P127" s="46">
        <f t="shared" si="93"/>
        <v>2977.5968497309718</v>
      </c>
      <c r="Q127" s="46">
        <f t="shared" si="66"/>
        <v>6634.0538389782841</v>
      </c>
      <c r="R127" s="10">
        <f t="shared" si="59"/>
        <v>6530.7493405493587</v>
      </c>
      <c r="T127" s="65">
        <f t="shared" si="60"/>
        <v>48.72</v>
      </c>
      <c r="U127" s="65">
        <f t="shared" si="91"/>
        <v>23</v>
      </c>
      <c r="V127" s="65">
        <f t="shared" si="91"/>
        <v>34</v>
      </c>
      <c r="W127" s="65">
        <f t="shared" si="91"/>
        <v>38</v>
      </c>
      <c r="X127" s="65">
        <f t="shared" si="67"/>
        <v>39.60567368670241</v>
      </c>
      <c r="Y127" s="65">
        <f>$Y$18/1000*CURVES!K86+$Y$14</f>
        <v>77.715632728494626</v>
      </c>
      <c r="Z127" s="65">
        <f t="shared" si="68"/>
        <v>56.710764591978119</v>
      </c>
      <c r="AA127" s="65">
        <f>CHOOSE(AA$18,CURVES!F86,CURVES!G86)</f>
        <v>36.244623655913976</v>
      </c>
      <c r="AB127" s="65">
        <f t="shared" si="61"/>
        <v>46.557993251678688</v>
      </c>
      <c r="AD127" s="65"/>
      <c r="AH127" s="46">
        <f t="shared" si="80"/>
        <v>1921.095004536046</v>
      </c>
      <c r="AI127" s="46">
        <f t="shared" si="80"/>
        <v>0</v>
      </c>
      <c r="AJ127" s="46">
        <f t="shared" si="80"/>
        <v>1326.4786927345147</v>
      </c>
      <c r="AK127" s="46">
        <f t="shared" si="80"/>
        <v>519.61972313456249</v>
      </c>
      <c r="AL127" s="46">
        <f t="shared" si="40"/>
        <v>3767.1934204051231</v>
      </c>
      <c r="AM127" s="46">
        <f t="shared" si="43"/>
        <v>2024.2479112903225</v>
      </c>
      <c r="AN127" s="46">
        <f t="shared" si="69"/>
        <v>5791.4413316954451</v>
      </c>
      <c r="AO127" s="10">
        <f t="shared" si="62"/>
        <v>5993.5419363331403</v>
      </c>
      <c r="AQ127" s="65">
        <f t="shared" si="63"/>
        <v>43</v>
      </c>
      <c r="AR127" s="65"/>
      <c r="AS127" s="65">
        <f t="shared" si="92"/>
        <v>30</v>
      </c>
      <c r="AT127" s="65">
        <f t="shared" si="92"/>
        <v>38</v>
      </c>
      <c r="AU127" s="65">
        <f t="shared" si="70"/>
        <v>37.732863591833393</v>
      </c>
      <c r="AV127" s="65">
        <f>$Y$18/1000*CURVES!O86+$AV$14</f>
        <v>74.122619288019152</v>
      </c>
      <c r="AW127" s="65">
        <f t="shared" si="71"/>
        <v>50.451957637944474</v>
      </c>
      <c r="AX127" s="65">
        <f>CHOOSE(AX$18,CURVES!B86,CURVES!C86)</f>
        <v>40.291397849462363</v>
      </c>
      <c r="AY127" s="65">
        <f t="shared" si="72"/>
        <v>45.284556055449492</v>
      </c>
    </row>
    <row r="128" spans="1:51">
      <c r="A128" s="75">
        <v>39448</v>
      </c>
      <c r="B128" s="2">
        <f t="shared" si="34"/>
        <v>2008</v>
      </c>
      <c r="C128" s="2">
        <f t="shared" si="64"/>
        <v>1</v>
      </c>
      <c r="D128" s="43">
        <v>5.8283311485429E-2</v>
      </c>
      <c r="E128" s="44">
        <f t="shared" ca="1" si="35"/>
        <v>0.66476266943746243</v>
      </c>
      <c r="F128" s="44"/>
      <c r="G128" s="10"/>
      <c r="H128" s="10">
        <f t="shared" si="87"/>
        <v>13406.693085807063</v>
      </c>
      <c r="I128" s="10">
        <f t="shared" si="87"/>
        <v>12744.733568424515</v>
      </c>
      <c r="K128" s="46">
        <f t="shared" ref="K128:P128" si="94">K116</f>
        <v>2185.9180107526881</v>
      </c>
      <c r="L128" s="46">
        <f t="shared" si="94"/>
        <v>1282.3306451612902</v>
      </c>
      <c r="M128" s="46">
        <f t="shared" si="94"/>
        <v>142.8521505376344</v>
      </c>
      <c r="N128" s="46">
        <f t="shared" si="94"/>
        <v>3.168010752688172</v>
      </c>
      <c r="O128" s="46">
        <f t="shared" si="39"/>
        <v>3614.2688172043008</v>
      </c>
      <c r="P128" s="46">
        <f t="shared" si="94"/>
        <v>2792.6655547379</v>
      </c>
      <c r="Q128" s="46">
        <f t="shared" si="66"/>
        <v>6406.9343719422013</v>
      </c>
      <c r="R128" s="10">
        <f t="shared" si="59"/>
        <v>6999.7587138648614</v>
      </c>
      <c r="T128" s="65">
        <f t="shared" si="60"/>
        <v>48.72</v>
      </c>
      <c r="U128" s="65">
        <f t="shared" si="91"/>
        <v>23</v>
      </c>
      <c r="V128" s="65">
        <f t="shared" si="91"/>
        <v>34</v>
      </c>
      <c r="W128" s="65">
        <f t="shared" si="91"/>
        <v>38</v>
      </c>
      <c r="X128" s="65">
        <f t="shared" si="67"/>
        <v>39.003431946853418</v>
      </c>
      <c r="Y128" s="65">
        <f>$Y$18/1000*CURVES!K87+$Y$14</f>
        <v>78.807632728494625</v>
      </c>
      <c r="Z128" s="65">
        <f t="shared" si="68"/>
        <v>56.353355327302182</v>
      </c>
      <c r="AA128" s="65">
        <f>CHOOSE(AA$18,CURVES!F87,CURVES!G87)</f>
        <v>38.584946236559134</v>
      </c>
      <c r="AB128" s="65">
        <f t="shared" si="61"/>
        <v>47.076304262702742</v>
      </c>
      <c r="AD128" s="65"/>
      <c r="AH128" s="46">
        <f t="shared" si="80"/>
        <v>1826.0560878589888</v>
      </c>
      <c r="AI128" s="46">
        <f t="shared" si="80"/>
        <v>0</v>
      </c>
      <c r="AJ128" s="46">
        <f t="shared" si="80"/>
        <v>1744.0893186443859</v>
      </c>
      <c r="AK128" s="46">
        <f t="shared" si="80"/>
        <v>538.87289280137145</v>
      </c>
      <c r="AL128" s="46">
        <f t="shared" si="40"/>
        <v>4109.0182993047465</v>
      </c>
      <c r="AM128" s="46">
        <f t="shared" si="43"/>
        <v>2445.3687016129034</v>
      </c>
      <c r="AN128" s="46">
        <f t="shared" si="69"/>
        <v>6554.3870009176499</v>
      </c>
      <c r="AO128" s="10">
        <f t="shared" si="62"/>
        <v>6190.3465675068664</v>
      </c>
      <c r="AQ128" s="65">
        <f t="shared" si="63"/>
        <v>43</v>
      </c>
      <c r="AR128" s="65"/>
      <c r="AS128" s="65">
        <f t="shared" si="92"/>
        <v>30</v>
      </c>
      <c r="AT128" s="65">
        <f t="shared" si="92"/>
        <v>38</v>
      </c>
      <c r="AU128" s="65">
        <f t="shared" si="70"/>
        <v>36.826378040059808</v>
      </c>
      <c r="AV128" s="65">
        <f>$Y$18/1000*CURVES!O87+$AV$14</f>
        <v>75.214619288019151</v>
      </c>
      <c r="AW128" s="65">
        <f t="shared" si="71"/>
        <v>51.148602779700973</v>
      </c>
      <c r="AX128" s="65">
        <f>CHOOSE(AX$18,CURVES!B87,CURVES!C87)</f>
        <v>44.381720430107521</v>
      </c>
      <c r="AY128" s="65">
        <f t="shared" si="72"/>
        <v>47.861806182453087</v>
      </c>
    </row>
    <row r="129" spans="1:51">
      <c r="A129" s="75">
        <v>39479</v>
      </c>
      <c r="B129" s="2">
        <f t="shared" si="34"/>
        <v>2008</v>
      </c>
      <c r="C129" s="2">
        <f t="shared" si="64"/>
        <v>2</v>
      </c>
      <c r="D129" s="43">
        <v>5.8341521263720997E-2</v>
      </c>
      <c r="E129" s="44">
        <f t="shared" ca="1" si="35"/>
        <v>0.66146837960681404</v>
      </c>
      <c r="F129" s="44"/>
      <c r="G129" s="10"/>
      <c r="H129" s="10">
        <f t="shared" si="87"/>
        <v>13442.754435735776</v>
      </c>
      <c r="I129" s="10">
        <f t="shared" si="87"/>
        <v>12727.747851676779</v>
      </c>
      <c r="K129" s="46">
        <f t="shared" ref="K129:P129" si="95">K117</f>
        <v>2261.8764367816093</v>
      </c>
      <c r="L129" s="46">
        <f t="shared" si="95"/>
        <v>1335.9798850574712</v>
      </c>
      <c r="M129" s="46">
        <f t="shared" si="95"/>
        <v>236.0028735632184</v>
      </c>
      <c r="N129" s="46">
        <f t="shared" si="95"/>
        <v>3.8491379310344827</v>
      </c>
      <c r="O129" s="46">
        <f t="shared" si="39"/>
        <v>3837.7083333333335</v>
      </c>
      <c r="P129" s="46">
        <f t="shared" si="95"/>
        <v>3011.7717013676738</v>
      </c>
      <c r="Q129" s="46">
        <f t="shared" si="66"/>
        <v>6849.4800347010078</v>
      </c>
      <c r="R129" s="10">
        <f t="shared" si="59"/>
        <v>6593.2744010347687</v>
      </c>
      <c r="T129" s="65">
        <f t="shared" si="60"/>
        <v>48.72</v>
      </c>
      <c r="U129" s="65">
        <f t="shared" si="91"/>
        <v>23</v>
      </c>
      <c r="V129" s="65">
        <f t="shared" si="91"/>
        <v>34</v>
      </c>
      <c r="W129" s="65">
        <f t="shared" si="91"/>
        <v>38</v>
      </c>
      <c r="X129" s="65">
        <f t="shared" si="67"/>
        <v>38.850404811599958</v>
      </c>
      <c r="Y129" s="65">
        <f>$Y$18/1000*CURVES!K88+$Y$14</f>
        <v>77.799632728494629</v>
      </c>
      <c r="Z129" s="65">
        <f t="shared" si="68"/>
        <v>55.976694958578065</v>
      </c>
      <c r="AA129" s="65">
        <f>CHOOSE(AA$18,CURVES!F88,CURVES!G88)</f>
        <v>37.678160919540225</v>
      </c>
      <c r="AB129" s="65">
        <f t="shared" si="61"/>
        <v>47.001803939567345</v>
      </c>
      <c r="AD129" s="65"/>
      <c r="AH129" s="46">
        <f t="shared" si="80"/>
        <v>1925.7468502510062</v>
      </c>
      <c r="AI129" s="46">
        <f t="shared" si="80"/>
        <v>0</v>
      </c>
      <c r="AJ129" s="46">
        <f t="shared" si="80"/>
        <v>2201.9273871825426</v>
      </c>
      <c r="AK129" s="46">
        <f t="shared" si="80"/>
        <v>548.47547775416388</v>
      </c>
      <c r="AL129" s="46">
        <f t="shared" si="40"/>
        <v>4676.1497151877129</v>
      </c>
      <c r="AM129" s="46">
        <f t="shared" ref="AM129:AM160" si="96">AM117</f>
        <v>2161.5456443452381</v>
      </c>
      <c r="AN129" s="46">
        <f t="shared" si="69"/>
        <v>6837.6953595329505</v>
      </c>
      <c r="AO129" s="10">
        <f t="shared" si="62"/>
        <v>5890.0524921438282</v>
      </c>
      <c r="AQ129" s="65">
        <f t="shared" si="63"/>
        <v>43</v>
      </c>
      <c r="AR129" s="65"/>
      <c r="AS129" s="65">
        <f t="shared" si="92"/>
        <v>30</v>
      </c>
      <c r="AT129" s="65">
        <f t="shared" si="92"/>
        <v>38</v>
      </c>
      <c r="AU129" s="65">
        <f t="shared" si="70"/>
        <v>36.29203825098557</v>
      </c>
      <c r="AV129" s="65">
        <f>$Y$18/1000*CURVES!O88+$AV$14</f>
        <v>74.206619288019141</v>
      </c>
      <c r="AW129" s="65">
        <f t="shared" si="71"/>
        <v>48.277669840072967</v>
      </c>
      <c r="AX129" s="65">
        <f>CHOOSE(AX$18,CURVES!B88,CURVES!C88)</f>
        <v>43.099425287356318</v>
      </c>
      <c r="AY129" s="65">
        <f t="shared" si="72"/>
        <v>45.881320337545645</v>
      </c>
    </row>
    <row r="130" spans="1:51">
      <c r="A130" s="75">
        <v>39508</v>
      </c>
      <c r="B130" s="2">
        <f t="shared" si="34"/>
        <v>2008</v>
      </c>
      <c r="C130" s="2">
        <f t="shared" si="64"/>
        <v>3</v>
      </c>
      <c r="D130" s="43">
        <v>5.8396740696269003E-2</v>
      </c>
      <c r="E130" s="44">
        <f t="shared" ca="1" si="35"/>
        <v>0.65799098608815032</v>
      </c>
      <c r="F130" s="44"/>
      <c r="G130" s="10"/>
      <c r="H130" s="10">
        <f t="shared" si="87"/>
        <v>13364.932132959815</v>
      </c>
      <c r="I130" s="10">
        <f t="shared" si="87"/>
        <v>12442.014062019358</v>
      </c>
      <c r="K130" s="46">
        <f t="shared" ref="K130:P130" si="97">K118</f>
        <v>2263.9462365591398</v>
      </c>
      <c r="L130" s="46">
        <f t="shared" si="97"/>
        <v>1258.630376344086</v>
      </c>
      <c r="M130" s="46">
        <f t="shared" si="97"/>
        <v>620.64650537634407</v>
      </c>
      <c r="N130" s="46">
        <f t="shared" si="97"/>
        <v>2.581989247311828</v>
      </c>
      <c r="O130" s="46">
        <f t="shared" si="39"/>
        <v>4145.8051075268813</v>
      </c>
      <c r="P130" s="46">
        <f t="shared" si="97"/>
        <v>2834.3973290285558</v>
      </c>
      <c r="Q130" s="46">
        <f t="shared" si="66"/>
        <v>6980.2024365554371</v>
      </c>
      <c r="R130" s="10">
        <f t="shared" si="59"/>
        <v>6384.729696404378</v>
      </c>
      <c r="T130" s="65">
        <f t="shared" si="60"/>
        <v>48.72</v>
      </c>
      <c r="U130" s="65">
        <f t="shared" si="91"/>
        <v>23</v>
      </c>
      <c r="V130" s="65">
        <f t="shared" si="91"/>
        <v>34</v>
      </c>
      <c r="W130" s="65">
        <f t="shared" si="91"/>
        <v>38</v>
      </c>
      <c r="X130" s="65">
        <f t="shared" si="67"/>
        <v>38.701302138870133</v>
      </c>
      <c r="Y130" s="65">
        <f>$Y$18/1000*CURVES!K89+$Y$14</f>
        <v>76.224632728494626</v>
      </c>
      <c r="Z130" s="65">
        <f t="shared" si="68"/>
        <v>53.938113530255983</v>
      </c>
      <c r="AA130" s="65">
        <f>CHOOSE(AA$18,CURVES!F89,CURVES!G89)</f>
        <v>37.069892473118273</v>
      </c>
      <c r="AB130" s="65">
        <f t="shared" si="61"/>
        <v>45.879783653412112</v>
      </c>
      <c r="AD130" s="65"/>
      <c r="AH130" s="46">
        <f t="shared" si="80"/>
        <v>1891.2387324311178</v>
      </c>
      <c r="AI130" s="46">
        <f t="shared" si="80"/>
        <v>0</v>
      </c>
      <c r="AJ130" s="46">
        <f t="shared" si="80"/>
        <v>1966.5504926356311</v>
      </c>
      <c r="AK130" s="46">
        <f t="shared" si="80"/>
        <v>526.07330501492243</v>
      </c>
      <c r="AL130" s="46">
        <f t="shared" si="40"/>
        <v>4383.8625300816711</v>
      </c>
      <c r="AM130" s="46">
        <f t="shared" si="96"/>
        <v>2044.2222728494623</v>
      </c>
      <c r="AN130" s="46">
        <f t="shared" si="69"/>
        <v>6428.0848029311337</v>
      </c>
      <c r="AO130" s="10">
        <f t="shared" si="62"/>
        <v>6013.9292590882242</v>
      </c>
      <c r="AQ130" s="65">
        <f t="shared" si="63"/>
        <v>43</v>
      </c>
      <c r="AR130" s="65"/>
      <c r="AS130" s="65">
        <f t="shared" si="92"/>
        <v>30</v>
      </c>
      <c r="AT130" s="65">
        <f t="shared" si="92"/>
        <v>38</v>
      </c>
      <c r="AU130" s="65">
        <f t="shared" si="70"/>
        <v>36.56833779894724</v>
      </c>
      <c r="AV130" s="65">
        <f>$Y$18/1000*CURVES!O89+$AV$14</f>
        <v>72.631619288019152</v>
      </c>
      <c r="AW130" s="65">
        <f t="shared" si="71"/>
        <v>48.036973560937255</v>
      </c>
      <c r="AX130" s="65">
        <f>CHOOSE(AX$18,CURVES!B89,CURVES!C89)</f>
        <v>40.852150537634408</v>
      </c>
      <c r="AY130" s="65">
        <f t="shared" si="72"/>
        <v>44.564142137838964</v>
      </c>
    </row>
    <row r="131" spans="1:51">
      <c r="A131" s="75">
        <v>39539</v>
      </c>
      <c r="B131" s="2">
        <f t="shared" si="34"/>
        <v>2008</v>
      </c>
      <c r="C131" s="2">
        <f t="shared" si="64"/>
        <v>4</v>
      </c>
      <c r="D131" s="43">
        <v>5.8455768366667001E-2</v>
      </c>
      <c r="E131" s="44">
        <f t="shared" ca="1" si="35"/>
        <v>0.65461135934455317</v>
      </c>
      <c r="F131" s="44"/>
      <c r="G131" s="10"/>
      <c r="H131" s="10">
        <f t="shared" si="87"/>
        <v>13424.236516521909</v>
      </c>
      <c r="I131" s="10">
        <f t="shared" si="87"/>
        <v>12154.563746014732</v>
      </c>
      <c r="K131" s="46">
        <f t="shared" ref="K131:P131" si="98">K119</f>
        <v>2319.8402777777778</v>
      </c>
      <c r="L131" s="46">
        <f t="shared" si="98"/>
        <v>1179.1659722222223</v>
      </c>
      <c r="M131" s="46">
        <f t="shared" si="98"/>
        <v>811.58611111111111</v>
      </c>
      <c r="N131" s="46">
        <f t="shared" si="98"/>
        <v>3.0416666666666665</v>
      </c>
      <c r="O131" s="46">
        <f t="shared" si="39"/>
        <v>4313.6340277777781</v>
      </c>
      <c r="P131" s="46">
        <f t="shared" si="98"/>
        <v>2923.3945906815438</v>
      </c>
      <c r="Q131" s="46">
        <f t="shared" si="66"/>
        <v>7237.0286184593224</v>
      </c>
      <c r="R131" s="10">
        <f t="shared" si="59"/>
        <v>6187.2078980625865</v>
      </c>
      <c r="T131" s="65">
        <f t="shared" si="60"/>
        <v>48.72</v>
      </c>
      <c r="U131" s="65">
        <f t="shared" si="91"/>
        <v>23</v>
      </c>
      <c r="V131" s="65">
        <f t="shared" si="91"/>
        <v>34</v>
      </c>
      <c r="W131" s="65">
        <f t="shared" si="91"/>
        <v>38</v>
      </c>
      <c r="X131" s="65">
        <f t="shared" si="67"/>
        <v>38.912189982891782</v>
      </c>
      <c r="Y131" s="65">
        <f>$Y$18/1000*CURVES!K90+$Y$14</f>
        <v>75.563132728494622</v>
      </c>
      <c r="Z131" s="65">
        <f t="shared" si="68"/>
        <v>53.717322505455201</v>
      </c>
      <c r="AA131" s="65">
        <f>CHOOSE(AA$18,CURVES!F90,CURVES!G90)</f>
        <v>36.94222222222222</v>
      </c>
      <c r="AB131" s="65">
        <f t="shared" si="61"/>
        <v>45.985707166626064</v>
      </c>
      <c r="AD131" s="65"/>
      <c r="AH131" s="46">
        <f t="shared" si="80"/>
        <v>1937.9310849074075</v>
      </c>
      <c r="AI131" s="46">
        <f t="shared" si="80"/>
        <v>0</v>
      </c>
      <c r="AJ131" s="46">
        <f t="shared" si="80"/>
        <v>2070.9500209392572</v>
      </c>
      <c r="AK131" s="46">
        <f t="shared" si="80"/>
        <v>513.91932921853174</v>
      </c>
      <c r="AL131" s="46">
        <f t="shared" si="40"/>
        <v>4522.8004350651963</v>
      </c>
      <c r="AM131" s="46">
        <f t="shared" si="96"/>
        <v>2152.9968589041096</v>
      </c>
      <c r="AN131" s="46">
        <f t="shared" si="69"/>
        <v>6675.7972939693063</v>
      </c>
      <c r="AO131" s="10">
        <f t="shared" si="62"/>
        <v>5478.7664520454255</v>
      </c>
      <c r="AQ131" s="65">
        <f t="shared" si="63"/>
        <v>43</v>
      </c>
      <c r="AR131" s="65"/>
      <c r="AS131" s="65">
        <f t="shared" si="92"/>
        <v>30</v>
      </c>
      <c r="AT131" s="65">
        <f t="shared" si="92"/>
        <v>38</v>
      </c>
      <c r="AU131" s="65">
        <f t="shared" si="70"/>
        <v>36.479272998726103</v>
      </c>
      <c r="AV131" s="65">
        <f>$Y$18/1000*CURVES!O90+$AV$14</f>
        <v>70.710119288019158</v>
      </c>
      <c r="AW131" s="65">
        <f t="shared" si="71"/>
        <v>47.518988749989916</v>
      </c>
      <c r="AX131" s="65">
        <f>CHOOSE(AX$18,CURVES!B90,CURVES!C90)</f>
        <v>39.18</v>
      </c>
      <c r="AY131" s="65">
        <f t="shared" si="72"/>
        <v>43.760123128637687</v>
      </c>
    </row>
    <row r="132" spans="1:51">
      <c r="A132" s="75">
        <v>39569</v>
      </c>
      <c r="B132" s="2">
        <f t="shared" si="34"/>
        <v>2008</v>
      </c>
      <c r="C132" s="2">
        <f t="shared" si="64"/>
        <v>5</v>
      </c>
      <c r="D132" s="43">
        <v>5.8512891919768002E-2</v>
      </c>
      <c r="E132" s="44">
        <f t="shared" ca="1" si="35"/>
        <v>0.6511490974833225</v>
      </c>
      <c r="F132" s="44"/>
      <c r="G132" s="10"/>
      <c r="H132" s="10">
        <f t="shared" si="87"/>
        <v>14185.374996756856</v>
      </c>
      <c r="I132" s="10">
        <f t="shared" si="87"/>
        <v>13239.58025120588</v>
      </c>
      <c r="K132" s="46">
        <f t="shared" ref="K132:P132" si="99">K120</f>
        <v>2226.0672043010754</v>
      </c>
      <c r="L132" s="46">
        <f t="shared" si="99"/>
        <v>1023.6263440860215</v>
      </c>
      <c r="M132" s="46">
        <f t="shared" si="99"/>
        <v>950.16532258064512</v>
      </c>
      <c r="N132" s="46">
        <f t="shared" si="99"/>
        <v>3.3051075268817205</v>
      </c>
      <c r="O132" s="46">
        <f t="shared" si="39"/>
        <v>4203.1639784946237</v>
      </c>
      <c r="P132" s="46">
        <f t="shared" si="99"/>
        <v>2831.510502104928</v>
      </c>
      <c r="Q132" s="46">
        <f t="shared" si="66"/>
        <v>7034.6744805995513</v>
      </c>
      <c r="R132" s="10">
        <f t="shared" si="59"/>
        <v>7150.7005161573052</v>
      </c>
      <c r="T132" s="65">
        <f t="shared" si="60"/>
        <v>48.72</v>
      </c>
      <c r="U132" s="65">
        <f t="shared" si="91"/>
        <v>23</v>
      </c>
      <c r="V132" s="65">
        <f t="shared" si="91"/>
        <v>34</v>
      </c>
      <c r="W132" s="65">
        <f t="shared" si="91"/>
        <v>38</v>
      </c>
      <c r="X132" s="65">
        <f t="shared" si="67"/>
        <v>39.120199926194871</v>
      </c>
      <c r="Y132" s="65">
        <f>$Y$18/1000*CURVES!K91+$Y$14</f>
        <v>75.300632728494634</v>
      </c>
      <c r="Z132" s="65">
        <f t="shared" si="68"/>
        <v>53.68310198128502</v>
      </c>
      <c r="AA132" s="65">
        <f>CHOOSE(AA$18,CURVES!F91,CURVES!G91)</f>
        <v>35.734408602150538</v>
      </c>
      <c r="AB132" s="65">
        <f t="shared" si="61"/>
        <v>44.635351672261166</v>
      </c>
      <c r="AD132" s="65"/>
      <c r="AH132" s="46">
        <f t="shared" si="80"/>
        <v>1895.2591032026239</v>
      </c>
      <c r="AI132" s="46">
        <f t="shared" si="80"/>
        <v>0</v>
      </c>
      <c r="AJ132" s="46">
        <f t="shared" si="80"/>
        <v>1877.6303324734643</v>
      </c>
      <c r="AK132" s="46">
        <f t="shared" si="80"/>
        <v>570.53181663934993</v>
      </c>
      <c r="AL132" s="46">
        <f t="shared" si="40"/>
        <v>4343.4212523154383</v>
      </c>
      <c r="AM132" s="46">
        <f t="shared" si="96"/>
        <v>2186.8418319892476</v>
      </c>
      <c r="AN132" s="46">
        <f t="shared" si="69"/>
        <v>6530.2630843046863</v>
      </c>
      <c r="AO132" s="10">
        <f t="shared" si="62"/>
        <v>6709.3171669011936</v>
      </c>
      <c r="AQ132" s="65">
        <f t="shared" si="63"/>
        <v>43</v>
      </c>
      <c r="AR132" s="65"/>
      <c r="AS132" s="65">
        <f t="shared" si="92"/>
        <v>30</v>
      </c>
      <c r="AT132" s="65">
        <f t="shared" si="92"/>
        <v>38</v>
      </c>
      <c r="AU132" s="65">
        <f t="shared" si="70"/>
        <v>36.723414833221909</v>
      </c>
      <c r="AV132" s="65">
        <f>$Y$18/1000*CURVES!O91+$AV$14</f>
        <v>70.447619288019155</v>
      </c>
      <c r="AW132" s="65">
        <f t="shared" si="71"/>
        <v>48.01691099106641</v>
      </c>
      <c r="AX132" s="65">
        <f>CHOOSE(AX$18,CURVES!B91,CURVES!C91)</f>
        <v>39.03279569892473</v>
      </c>
      <c r="AY132" s="65">
        <f t="shared" si="72"/>
        <v>43.464102079054598</v>
      </c>
    </row>
    <row r="133" spans="1:51">
      <c r="A133" s="75">
        <v>39600</v>
      </c>
      <c r="B133" s="2">
        <f t="shared" si="34"/>
        <v>2008</v>
      </c>
      <c r="C133" s="2">
        <f t="shared" si="64"/>
        <v>6</v>
      </c>
      <c r="D133" s="43">
        <v>5.8571919592445003E-2</v>
      </c>
      <c r="E133" s="44">
        <f t="shared" ca="1" si="35"/>
        <v>0.64779241893802519</v>
      </c>
      <c r="F133" s="44"/>
      <c r="G133" s="10"/>
      <c r="H133" s="10">
        <f t="shared" si="87"/>
        <v>15676.569797982194</v>
      </c>
      <c r="I133" s="10">
        <f t="shared" si="87"/>
        <v>14929.299285180639</v>
      </c>
      <c r="K133" s="46">
        <f t="shared" ref="K133:P133" si="100">K121</f>
        <v>2252.1333333333332</v>
      </c>
      <c r="L133" s="46">
        <f t="shared" si="100"/>
        <v>1398.3916666666667</v>
      </c>
      <c r="M133" s="46">
        <f t="shared" si="100"/>
        <v>957.04027777777776</v>
      </c>
      <c r="N133" s="46">
        <f t="shared" si="100"/>
        <v>3.526388888888889</v>
      </c>
      <c r="O133" s="46">
        <f t="shared" si="39"/>
        <v>4611.0916666666662</v>
      </c>
      <c r="P133" s="46">
        <f t="shared" si="100"/>
        <v>3175.7411781346573</v>
      </c>
      <c r="Q133" s="46">
        <f t="shared" si="66"/>
        <v>7786.8328448013235</v>
      </c>
      <c r="R133" s="10">
        <f t="shared" si="59"/>
        <v>7889.7369531808718</v>
      </c>
      <c r="T133" s="65">
        <f t="shared" si="60"/>
        <v>48.72</v>
      </c>
      <c r="U133" s="65">
        <f t="shared" si="91"/>
        <v>23</v>
      </c>
      <c r="V133" s="65">
        <f t="shared" si="91"/>
        <v>34</v>
      </c>
      <c r="W133" s="65">
        <f t="shared" si="91"/>
        <v>38</v>
      </c>
      <c r="X133" s="65">
        <f t="shared" si="67"/>
        <v>37.856613829094464</v>
      </c>
      <c r="Y133" s="65">
        <f>$Y$18/1000*CURVES!K92+$Y$14</f>
        <v>75.605132728494624</v>
      </c>
      <c r="Z133" s="65">
        <f t="shared" si="68"/>
        <v>53.251772332137698</v>
      </c>
      <c r="AA133" s="65">
        <f>CHOOSE(AA$18,CURVES!F92,CURVES!G92)</f>
        <v>46.25</v>
      </c>
      <c r="AB133" s="65">
        <f t="shared" si="61"/>
        <v>49.727905656040186</v>
      </c>
      <c r="AD133" s="65"/>
      <c r="AH133" s="46">
        <f t="shared" si="80"/>
        <v>1881.3705563400365</v>
      </c>
      <c r="AI133" s="46">
        <f t="shared" si="80"/>
        <v>0</v>
      </c>
      <c r="AJ133" s="46">
        <f t="shared" si="80"/>
        <v>1162.1616861734683</v>
      </c>
      <c r="AK133" s="46">
        <f t="shared" si="80"/>
        <v>631.24071210358352</v>
      </c>
      <c r="AL133" s="46">
        <f t="shared" si="40"/>
        <v>3674.7729546170881</v>
      </c>
      <c r="AM133" s="46">
        <f t="shared" si="96"/>
        <v>2754.0461410958906</v>
      </c>
      <c r="AN133" s="46">
        <f t="shared" si="69"/>
        <v>6428.8190957129791</v>
      </c>
      <c r="AO133" s="10">
        <f t="shared" si="62"/>
        <v>8500.4801894676602</v>
      </c>
      <c r="AQ133" s="65">
        <f t="shared" si="63"/>
        <v>43</v>
      </c>
      <c r="AR133" s="65"/>
      <c r="AS133" s="65">
        <f t="shared" si="92"/>
        <v>30</v>
      </c>
      <c r="AT133" s="65">
        <f t="shared" si="92"/>
        <v>38</v>
      </c>
      <c r="AU133" s="65">
        <f t="shared" si="70"/>
        <v>38.029813894263803</v>
      </c>
      <c r="AV133" s="65">
        <f>$Y$18/1000*CURVES!O92+$AV$14</f>
        <v>70.752119288019145</v>
      </c>
      <c r="AW133" s="65">
        <f t="shared" si="71"/>
        <v>52.047744334634771</v>
      </c>
      <c r="AX133" s="65">
        <f>CHOOSE(AX$18,CURVES!B92,CURVES!C92)</f>
        <v>43.922222222222224</v>
      </c>
      <c r="AY133" s="65">
        <f t="shared" si="72"/>
        <v>47.421215089942997</v>
      </c>
    </row>
    <row r="134" spans="1:51">
      <c r="A134" s="75">
        <v>39630</v>
      </c>
      <c r="B134" s="2">
        <f t="shared" si="34"/>
        <v>2008</v>
      </c>
      <c r="C134" s="2">
        <f t="shared" si="64"/>
        <v>7</v>
      </c>
      <c r="D134" s="43">
        <v>5.8629043147751997E-2</v>
      </c>
      <c r="E134" s="44">
        <f t="shared" ca="1" si="35"/>
        <v>0.64435409375388852</v>
      </c>
      <c r="F134" s="44"/>
      <c r="G134" s="10"/>
      <c r="H134" s="10">
        <f t="shared" si="87"/>
        <v>15472.659255203942</v>
      </c>
      <c r="I134" s="10">
        <f t="shared" si="87"/>
        <v>14172.245451856084</v>
      </c>
      <c r="K134" s="46">
        <f t="shared" ref="K134:P134" si="101">K122</f>
        <v>2248.4569892473119</v>
      </c>
      <c r="L134" s="46">
        <f t="shared" si="101"/>
        <v>1358.3225806451612</v>
      </c>
      <c r="M134" s="46">
        <f t="shared" si="101"/>
        <v>653.55107526881716</v>
      </c>
      <c r="N134" s="46">
        <f t="shared" si="101"/>
        <v>3.8373655913978495</v>
      </c>
      <c r="O134" s="46">
        <f t="shared" si="39"/>
        <v>4264.1680107526872</v>
      </c>
      <c r="P134" s="46">
        <f t="shared" si="101"/>
        <v>3349.3895623880758</v>
      </c>
      <c r="Q134" s="46">
        <f t="shared" si="66"/>
        <v>7613.5575731407625</v>
      </c>
      <c r="R134" s="10">
        <f t="shared" si="59"/>
        <v>7859.1016820631794</v>
      </c>
      <c r="T134" s="65">
        <f t="shared" si="60"/>
        <v>48.72</v>
      </c>
      <c r="U134" s="65">
        <f t="shared" si="91"/>
        <v>23</v>
      </c>
      <c r="V134" s="65">
        <f t="shared" si="91"/>
        <v>34</v>
      </c>
      <c r="W134" s="65">
        <f t="shared" si="91"/>
        <v>38</v>
      </c>
      <c r="X134" s="65">
        <f t="shared" si="67"/>
        <v>38.261344278923424</v>
      </c>
      <c r="Y134" s="65">
        <f>$Y$18/1000*CURVES!K93+$Y$14</f>
        <v>75.920132728494622</v>
      </c>
      <c r="Z134" s="65">
        <f t="shared" si="68"/>
        <v>54.828363278050965</v>
      </c>
      <c r="AA134" s="65">
        <f>CHOOSE(AA$18,CURVES!F93,CURVES!G93)</f>
        <v>58.854838709677423</v>
      </c>
      <c r="AB134" s="65">
        <f t="shared" si="61"/>
        <v>56.873550166454685</v>
      </c>
      <c r="AD134" s="65"/>
      <c r="AH134" s="46">
        <f t="shared" si="80"/>
        <v>1914.3216201186069</v>
      </c>
      <c r="AI134" s="46">
        <f t="shared" si="80"/>
        <v>0</v>
      </c>
      <c r="AJ134" s="46">
        <f t="shared" si="80"/>
        <v>1193.3319743059751</v>
      </c>
      <c r="AK134" s="46">
        <f t="shared" si="80"/>
        <v>610.72305844211053</v>
      </c>
      <c r="AL134" s="46">
        <f t="shared" si="40"/>
        <v>3718.3766528666924</v>
      </c>
      <c r="AM134" s="46">
        <f t="shared" si="96"/>
        <v>2586.7318602150535</v>
      </c>
      <c r="AN134" s="46">
        <f t="shared" si="69"/>
        <v>6305.1085130817464</v>
      </c>
      <c r="AO134" s="10">
        <f t="shared" si="62"/>
        <v>7867.136938774338</v>
      </c>
      <c r="AQ134" s="65">
        <f t="shared" si="63"/>
        <v>43</v>
      </c>
      <c r="AR134" s="65"/>
      <c r="AS134" s="65">
        <f t="shared" si="92"/>
        <v>30</v>
      </c>
      <c r="AT134" s="65">
        <f t="shared" si="92"/>
        <v>38</v>
      </c>
      <c r="AU134" s="65">
        <f t="shared" si="70"/>
        <v>38.006710537547619</v>
      </c>
      <c r="AV134" s="65">
        <f>$Y$18/1000*CURVES!O93+$AV$14</f>
        <v>71.067119288019157</v>
      </c>
      <c r="AW134" s="65">
        <f t="shared" si="71"/>
        <v>51.57006356297849</v>
      </c>
      <c r="AX134" s="65">
        <f>CHOOSE(AX$18,CURVES!B93,CURVES!C93)</f>
        <v>56.36344086021505</v>
      </c>
      <c r="AY134" s="65">
        <f t="shared" si="72"/>
        <v>54.230909067290106</v>
      </c>
    </row>
    <row r="135" spans="1:51">
      <c r="A135" s="75">
        <v>39661</v>
      </c>
      <c r="B135" s="2">
        <f t="shared" si="34"/>
        <v>2008</v>
      </c>
      <c r="C135" s="2">
        <f t="shared" si="64"/>
        <v>8</v>
      </c>
      <c r="D135" s="43">
        <v>5.8688070822709E-2</v>
      </c>
      <c r="E135" s="44">
        <f t="shared" ca="1" si="35"/>
        <v>0.64091887001637515</v>
      </c>
      <c r="F135" s="44"/>
      <c r="G135" s="10"/>
      <c r="H135" s="10">
        <f t="shared" si="87"/>
        <v>16592.443949646553</v>
      </c>
      <c r="I135" s="10">
        <f t="shared" si="87"/>
        <v>14698.963586511325</v>
      </c>
      <c r="K135" s="46">
        <f t="shared" ref="K135:P135" si="102">K123</f>
        <v>2226.0658602150538</v>
      </c>
      <c r="L135" s="46">
        <f t="shared" si="102"/>
        <v>1361.989247311828</v>
      </c>
      <c r="M135" s="46">
        <f t="shared" si="102"/>
        <v>483.36424731182797</v>
      </c>
      <c r="N135" s="46">
        <f t="shared" si="102"/>
        <v>3.924731182795699</v>
      </c>
      <c r="O135" s="46">
        <f t="shared" si="39"/>
        <v>4075.3440860215055</v>
      </c>
      <c r="P135" s="46">
        <f t="shared" si="102"/>
        <v>3426.252928840011</v>
      </c>
      <c r="Q135" s="46">
        <f t="shared" si="66"/>
        <v>7501.5970148615161</v>
      </c>
      <c r="R135" s="10">
        <f t="shared" si="59"/>
        <v>9090.8469347850369</v>
      </c>
      <c r="T135" s="65">
        <f t="shared" si="60"/>
        <v>48.72</v>
      </c>
      <c r="U135" s="65">
        <f t="shared" si="91"/>
        <v>23</v>
      </c>
      <c r="V135" s="65">
        <f t="shared" si="91"/>
        <v>34</v>
      </c>
      <c r="W135" s="65">
        <f t="shared" si="91"/>
        <v>38</v>
      </c>
      <c r="X135" s="65">
        <f t="shared" si="67"/>
        <v>38.368099058856423</v>
      </c>
      <c r="Y135" s="65">
        <f>$Y$18/1000*CURVES!K94+$Y$14</f>
        <v>76.13013272849463</v>
      </c>
      <c r="Z135" s="65">
        <f t="shared" si="68"/>
        <v>55.615396961320663</v>
      </c>
      <c r="AA135" s="65">
        <f>CHOOSE(AA$18,CURVES!F94,CURVES!G94)</f>
        <v>64.091397849462368</v>
      </c>
      <c r="AB135" s="65">
        <f t="shared" si="61"/>
        <v>60.259319636427222</v>
      </c>
      <c r="AD135" s="65"/>
      <c r="AH135" s="46">
        <f t="shared" si="80"/>
        <v>1859.5945026415061</v>
      </c>
      <c r="AI135" s="46">
        <f t="shared" si="80"/>
        <v>0</v>
      </c>
      <c r="AJ135" s="46">
        <f t="shared" si="80"/>
        <v>1584.5088037693729</v>
      </c>
      <c r="AK135" s="46">
        <f t="shared" si="80"/>
        <v>621.50165686237608</v>
      </c>
      <c r="AL135" s="46">
        <f t="shared" si="40"/>
        <v>4065.6049632732547</v>
      </c>
      <c r="AM135" s="46">
        <f t="shared" si="96"/>
        <v>2208.289016129032</v>
      </c>
      <c r="AN135" s="46">
        <f t="shared" si="69"/>
        <v>6273.8939794022863</v>
      </c>
      <c r="AO135" s="10">
        <f t="shared" si="62"/>
        <v>8425.069607109037</v>
      </c>
      <c r="AQ135" s="65">
        <f t="shared" si="63"/>
        <v>43</v>
      </c>
      <c r="AR135" s="65"/>
      <c r="AS135" s="65">
        <f t="shared" si="92"/>
        <v>30</v>
      </c>
      <c r="AT135" s="65">
        <f t="shared" si="92"/>
        <v>38</v>
      </c>
      <c r="AU135" s="65">
        <f t="shared" si="70"/>
        <v>37.169103258318607</v>
      </c>
      <c r="AV135" s="65">
        <f>$Y$18/1000*CURVES!O94+$AV$14</f>
        <v>71.277119288019151</v>
      </c>
      <c r="AW135" s="65">
        <f t="shared" si="71"/>
        <v>49.174463471230027</v>
      </c>
      <c r="AX135" s="65">
        <f>CHOOSE(AX$18,CURVES!B94,CURVES!C94)</f>
        <v>64.903763440860217</v>
      </c>
      <c r="AY135" s="65">
        <f t="shared" si="72"/>
        <v>58.190095514623977</v>
      </c>
    </row>
    <row r="136" spans="1:51">
      <c r="A136" s="75">
        <v>39692</v>
      </c>
      <c r="B136" s="2">
        <f t="shared" si="34"/>
        <v>2008</v>
      </c>
      <c r="C136" s="2">
        <f t="shared" si="64"/>
        <v>9</v>
      </c>
      <c r="D136" s="43">
        <v>5.8747098498824001E-2</v>
      </c>
      <c r="E136" s="44">
        <f t="shared" ca="1" si="35"/>
        <v>0.63759682921463845</v>
      </c>
      <c r="F136" s="44"/>
      <c r="G136" s="10"/>
      <c r="H136" s="10">
        <f t="shared" si="87"/>
        <v>15029.629026178784</v>
      </c>
      <c r="I136" s="10">
        <f t="shared" si="87"/>
        <v>13845.479956893703</v>
      </c>
      <c r="K136" s="46">
        <f t="shared" ref="K136:P136" si="103">K124</f>
        <v>2263.6333333333332</v>
      </c>
      <c r="L136" s="46">
        <f t="shared" si="103"/>
        <v>1380.7361111111111</v>
      </c>
      <c r="M136" s="46">
        <f t="shared" si="103"/>
        <v>542.60277777777776</v>
      </c>
      <c r="N136" s="46">
        <f t="shared" si="103"/>
        <v>3.4194444444444443</v>
      </c>
      <c r="O136" s="46">
        <f t="shared" si="39"/>
        <v>4190.3916666666673</v>
      </c>
      <c r="P136" s="46">
        <f t="shared" si="103"/>
        <v>3348.1339323547272</v>
      </c>
      <c r="Q136" s="46">
        <f t="shared" si="66"/>
        <v>7538.5255990213946</v>
      </c>
      <c r="R136" s="10">
        <f t="shared" si="59"/>
        <v>7491.1034271573899</v>
      </c>
      <c r="T136" s="65">
        <f t="shared" si="60"/>
        <v>48.72</v>
      </c>
      <c r="U136" s="65">
        <f t="shared" si="91"/>
        <v>23</v>
      </c>
      <c r="V136" s="65">
        <f t="shared" si="91"/>
        <v>34</v>
      </c>
      <c r="W136" s="65">
        <f t="shared" si="91"/>
        <v>38</v>
      </c>
      <c r="X136" s="65">
        <f t="shared" si="67"/>
        <v>38.330445615995849</v>
      </c>
      <c r="Y136" s="65">
        <f>$Y$18/1000*CURVES!K95+$Y$14</f>
        <v>76.350632728494631</v>
      </c>
      <c r="Z136" s="65">
        <f t="shared" si="68"/>
        <v>55.216596218490039</v>
      </c>
      <c r="AA136" s="65">
        <f>CHOOSE(AA$18,CURVES!F95,CURVES!G95)</f>
        <v>58.638888888888886</v>
      </c>
      <c r="AB136" s="65">
        <f t="shared" si="61"/>
        <v>56.922343466629442</v>
      </c>
      <c r="AD136" s="65"/>
      <c r="AH136" s="46">
        <f t="shared" si="80"/>
        <v>1890.9773416389726</v>
      </c>
      <c r="AI136" s="46">
        <f t="shared" si="80"/>
        <v>0</v>
      </c>
      <c r="AJ136" s="46">
        <f t="shared" si="80"/>
        <v>765.82060543821262</v>
      </c>
      <c r="AK136" s="46">
        <f t="shared" si="80"/>
        <v>570.92254509204622</v>
      </c>
      <c r="AL136" s="46">
        <f t="shared" si="40"/>
        <v>3227.7204921692314</v>
      </c>
      <c r="AM136" s="46">
        <f t="shared" si="96"/>
        <v>2371.5769315068492</v>
      </c>
      <c r="AN136" s="46">
        <f t="shared" si="69"/>
        <v>5599.2974236760801</v>
      </c>
      <c r="AO136" s="10">
        <f t="shared" si="62"/>
        <v>8246.1825332176231</v>
      </c>
      <c r="AQ136" s="65">
        <f t="shared" si="63"/>
        <v>43</v>
      </c>
      <c r="AR136" s="65"/>
      <c r="AS136" s="65">
        <f t="shared" si="92"/>
        <v>30</v>
      </c>
      <c r="AT136" s="65">
        <f t="shared" si="92"/>
        <v>38</v>
      </c>
      <c r="AU136" s="65">
        <f t="shared" si="70"/>
        <v>39.031167931908605</v>
      </c>
      <c r="AV136" s="65">
        <f>$Y$18/1000*CURVES!O95+$AV$14</f>
        <v>71.497619288019152</v>
      </c>
      <c r="AW136" s="65">
        <f t="shared" si="71"/>
        <v>52.782301557793183</v>
      </c>
      <c r="AX136" s="65">
        <f>CHOOSE(AX$18,CURVES!B95,CURVES!C95)</f>
        <v>57.022222222222219</v>
      </c>
      <c r="AY136" s="65">
        <f t="shared" si="72"/>
        <v>55.307541551935451</v>
      </c>
    </row>
    <row r="137" spans="1:51">
      <c r="A137" s="75">
        <v>39722</v>
      </c>
      <c r="B137" s="2">
        <f t="shared" si="34"/>
        <v>2008</v>
      </c>
      <c r="C137" s="2">
        <f t="shared" si="64"/>
        <v>10</v>
      </c>
      <c r="D137" s="43">
        <v>5.8804222057458E-2</v>
      </c>
      <c r="E137" s="44">
        <f t="shared" ca="1" si="35"/>
        <v>0.63419461716832692</v>
      </c>
      <c r="F137" s="44"/>
      <c r="G137" s="10"/>
      <c r="H137" s="10">
        <f t="shared" si="87"/>
        <v>13962.509745713247</v>
      </c>
      <c r="I137" s="10">
        <f t="shared" si="87"/>
        <v>11984.261637735803</v>
      </c>
      <c r="K137" s="46">
        <f t="shared" ref="K137:P137" si="104">K125</f>
        <v>2069.2916666666665</v>
      </c>
      <c r="L137" s="46">
        <f t="shared" si="104"/>
        <v>1227.5241935483871</v>
      </c>
      <c r="M137" s="46">
        <f t="shared" si="104"/>
        <v>369.34005376344084</v>
      </c>
      <c r="N137" s="46">
        <f t="shared" si="104"/>
        <v>3.278225806451613</v>
      </c>
      <c r="O137" s="46">
        <f t="shared" si="39"/>
        <v>3669.4341397849457</v>
      </c>
      <c r="P137" s="46">
        <f t="shared" si="104"/>
        <v>3171.075494984625</v>
      </c>
      <c r="Q137" s="46">
        <f t="shared" si="66"/>
        <v>6840.5096347695708</v>
      </c>
      <c r="R137" s="10">
        <f t="shared" si="59"/>
        <v>7122.0001109436762</v>
      </c>
      <c r="T137" s="65">
        <f t="shared" si="60"/>
        <v>48.72</v>
      </c>
      <c r="U137" s="65">
        <f t="shared" si="91"/>
        <v>23</v>
      </c>
      <c r="V137" s="65">
        <f t="shared" si="91"/>
        <v>34</v>
      </c>
      <c r="W137" s="65">
        <f t="shared" si="91"/>
        <v>38</v>
      </c>
      <c r="X137" s="65">
        <f t="shared" si="67"/>
        <v>38.624778497461044</v>
      </c>
      <c r="Y137" s="65">
        <f>$Y$18/1000*CURVES!K96+$Y$14</f>
        <v>76.665632728494614</v>
      </c>
      <c r="Z137" s="65">
        <f t="shared" si="68"/>
        <v>56.259490982501831</v>
      </c>
      <c r="AA137" s="65">
        <f>CHOOSE(AA$18,CURVES!F96,CURVES!G96)</f>
        <v>45.458064516129035</v>
      </c>
      <c r="AB137" s="65">
        <f t="shared" si="61"/>
        <v>50.749896941539724</v>
      </c>
      <c r="AD137" s="65"/>
      <c r="AH137" s="46">
        <f t="shared" ref="AH137:AK156" si="105">AH125</f>
        <v>1913.8399491890309</v>
      </c>
      <c r="AI137" s="46">
        <f t="shared" si="105"/>
        <v>0</v>
      </c>
      <c r="AJ137" s="46">
        <f t="shared" si="105"/>
        <v>1075.3801160883429</v>
      </c>
      <c r="AK137" s="46">
        <f t="shared" si="105"/>
        <v>576.38556050292607</v>
      </c>
      <c r="AL137" s="46">
        <f t="shared" si="40"/>
        <v>3565.6056257802998</v>
      </c>
      <c r="AM137" s="46">
        <f t="shared" si="96"/>
        <v>2259.7132500000002</v>
      </c>
      <c r="AN137" s="46">
        <f t="shared" si="69"/>
        <v>5825.3188757803</v>
      </c>
      <c r="AO137" s="10">
        <f t="shared" si="62"/>
        <v>6158.9427619555026</v>
      </c>
      <c r="AQ137" s="65">
        <f t="shared" si="63"/>
        <v>43</v>
      </c>
      <c r="AR137" s="65"/>
      <c r="AS137" s="65">
        <f t="shared" si="92"/>
        <v>30</v>
      </c>
      <c r="AT137" s="65">
        <f t="shared" si="92"/>
        <v>38</v>
      </c>
      <c r="AU137" s="65">
        <f t="shared" si="70"/>
        <v>38.270966258930272</v>
      </c>
      <c r="AV137" s="65">
        <f>$Y$18/1000*CURVES!O96+$AV$14</f>
        <v>71.81261928801915</v>
      </c>
      <c r="AW137" s="65">
        <f t="shared" si="71"/>
        <v>51.282188372772438</v>
      </c>
      <c r="AX137" s="65">
        <f>CHOOSE(AX$18,CURVES!B96,CURVES!C96)</f>
        <v>43.590322580645164</v>
      </c>
      <c r="AY137" s="65">
        <f t="shared" si="72"/>
        <v>47.329190467821341</v>
      </c>
    </row>
    <row r="138" spans="1:51">
      <c r="A138" s="75">
        <v>39753</v>
      </c>
      <c r="B138" s="2">
        <f t="shared" si="34"/>
        <v>2008</v>
      </c>
      <c r="C138" s="2">
        <f t="shared" si="64"/>
        <v>11</v>
      </c>
      <c r="D138" s="43">
        <v>5.8863249735853003E-2</v>
      </c>
      <c r="E138" s="44">
        <f t="shared" ca="1" si="35"/>
        <v>0.63089555675251574</v>
      </c>
      <c r="F138" s="44"/>
      <c r="G138" s="10"/>
      <c r="H138" s="10">
        <f t="shared" si="87"/>
        <v>13658.092597048688</v>
      </c>
      <c r="I138" s="10">
        <f t="shared" si="87"/>
        <v>12166.172190085415</v>
      </c>
      <c r="K138" s="46">
        <f t="shared" ref="K138:P138" si="106">K126</f>
        <v>2201.1583333333333</v>
      </c>
      <c r="L138" s="46">
        <f t="shared" si="106"/>
        <v>1270.0277777777778</v>
      </c>
      <c r="M138" s="46">
        <f t="shared" si="106"/>
        <v>241.3111111111111</v>
      </c>
      <c r="N138" s="46">
        <f t="shared" si="106"/>
        <v>3.1194444444444445</v>
      </c>
      <c r="O138" s="46">
        <f t="shared" si="39"/>
        <v>3715.6166666666668</v>
      </c>
      <c r="P138" s="46">
        <f t="shared" si="106"/>
        <v>3029.0331582980816</v>
      </c>
      <c r="Q138" s="46">
        <f t="shared" si="66"/>
        <v>6744.6498249647484</v>
      </c>
      <c r="R138" s="10">
        <f t="shared" si="59"/>
        <v>6913.4427720839394</v>
      </c>
      <c r="T138" s="65">
        <f t="shared" si="60"/>
        <v>48.72</v>
      </c>
      <c r="U138" s="65">
        <f t="shared" si="91"/>
        <v>23</v>
      </c>
      <c r="V138" s="65">
        <f t="shared" si="91"/>
        <v>34</v>
      </c>
      <c r="W138" s="65">
        <f t="shared" si="91"/>
        <v>38</v>
      </c>
      <c r="X138" s="65">
        <f t="shared" si="67"/>
        <v>38.963704424717896</v>
      </c>
      <c r="Y138" s="65">
        <f>$Y$18/1000*CURVES!K97+$Y$14</f>
        <v>76.875632728494622</v>
      </c>
      <c r="Z138" s="65">
        <f t="shared" si="68"/>
        <v>55.990012818387456</v>
      </c>
      <c r="AA138" s="65">
        <f>CHOOSE(AA$18,CURVES!F97,CURVES!G97)</f>
        <v>36.713333333333338</v>
      </c>
      <c r="AB138" s="65">
        <f t="shared" si="61"/>
        <v>46.232558070678138</v>
      </c>
      <c r="AD138" s="65"/>
      <c r="AH138" s="46">
        <f t="shared" si="105"/>
        <v>1838.7874362867092</v>
      </c>
      <c r="AI138" s="46">
        <f t="shared" si="105"/>
        <v>0</v>
      </c>
      <c r="AJ138" s="46">
        <f t="shared" si="105"/>
        <v>1347.8791847211178</v>
      </c>
      <c r="AK138" s="46">
        <f t="shared" si="105"/>
        <v>499.43911251442188</v>
      </c>
      <c r="AL138" s="46">
        <f t="shared" si="40"/>
        <v>3686.105733522249</v>
      </c>
      <c r="AM138" s="46">
        <f t="shared" si="96"/>
        <v>2451.2376410958905</v>
      </c>
      <c r="AN138" s="46">
        <f t="shared" si="69"/>
        <v>6137.3433746181399</v>
      </c>
      <c r="AO138" s="10">
        <f t="shared" si="62"/>
        <v>6028.8288154672764</v>
      </c>
      <c r="AQ138" s="65">
        <f t="shared" si="63"/>
        <v>43</v>
      </c>
      <c r="AR138" s="65"/>
      <c r="AS138" s="65">
        <f t="shared" si="92"/>
        <v>30</v>
      </c>
      <c r="AT138" s="65">
        <f t="shared" si="92"/>
        <v>38</v>
      </c>
      <c r="AU138" s="65">
        <f t="shared" si="70"/>
        <v>37.568895628282228</v>
      </c>
      <c r="AV138" s="65">
        <f>$Y$18/1000*CURVES!O97+$AV$14</f>
        <v>73.282619288019148</v>
      </c>
      <c r="AW138" s="65">
        <f t="shared" si="71"/>
        <v>51.832856171941856</v>
      </c>
      <c r="AX138" s="65">
        <f>CHOOSE(AX$18,CURVES!B97,CURVES!C97)</f>
        <v>41.34</v>
      </c>
      <c r="AY138" s="65">
        <f t="shared" si="72"/>
        <v>46.633222905407216</v>
      </c>
    </row>
    <row r="139" spans="1:51">
      <c r="A139" s="75">
        <v>39783</v>
      </c>
      <c r="B139" s="2">
        <f t="shared" si="34"/>
        <v>2008</v>
      </c>
      <c r="C139" s="2">
        <f t="shared" si="64"/>
        <v>12</v>
      </c>
      <c r="D139" s="43">
        <v>5.8920373296692002E-2</v>
      </c>
      <c r="E139" s="44">
        <f t="shared" ca="1" si="35"/>
        <v>0.62751729313183857</v>
      </c>
      <c r="F139" s="44"/>
      <c r="G139" s="10"/>
      <c r="H139" s="10">
        <f t="shared" si="87"/>
        <v>13559.747274913472</v>
      </c>
      <c r="I139" s="10">
        <f t="shared" si="87"/>
        <v>12138.532766069444</v>
      </c>
      <c r="K139" s="46">
        <f t="shared" ref="K139:P139" si="107">K127</f>
        <v>2256.4126344086021</v>
      </c>
      <c r="L139" s="46">
        <f t="shared" si="107"/>
        <v>1157.2150537634409</v>
      </c>
      <c r="M139" s="46">
        <f t="shared" si="107"/>
        <v>239.86021505376345</v>
      </c>
      <c r="N139" s="46">
        <f t="shared" si="107"/>
        <v>2.9690860215053765</v>
      </c>
      <c r="O139" s="46">
        <f t="shared" si="39"/>
        <v>3656.4569892473123</v>
      </c>
      <c r="P139" s="46">
        <f t="shared" si="107"/>
        <v>2977.5968497309718</v>
      </c>
      <c r="Q139" s="46">
        <f t="shared" si="66"/>
        <v>6634.0538389782841</v>
      </c>
      <c r="R139" s="10">
        <f t="shared" si="59"/>
        <v>6925.693435935189</v>
      </c>
      <c r="T139" s="65">
        <f t="shared" si="60"/>
        <v>48.72</v>
      </c>
      <c r="U139" s="65">
        <f t="shared" si="91"/>
        <v>23</v>
      </c>
      <c r="V139" s="65">
        <f t="shared" si="91"/>
        <v>34</v>
      </c>
      <c r="W139" s="65">
        <f t="shared" si="91"/>
        <v>38</v>
      </c>
      <c r="X139" s="65">
        <f t="shared" si="67"/>
        <v>39.60567368670241</v>
      </c>
      <c r="Y139" s="65">
        <f>$Y$18/1000*CURVES!K98+$Y$14</f>
        <v>78.188132728494622</v>
      </c>
      <c r="Z139" s="65">
        <f t="shared" si="68"/>
        <v>56.922839221706255</v>
      </c>
      <c r="AA139" s="65">
        <f>CHOOSE(AA$18,CURVES!F98,CURVES!G98)</f>
        <v>36.734408602150538</v>
      </c>
      <c r="AB139" s="65">
        <f t="shared" si="61"/>
        <v>46.61152009540033</v>
      </c>
      <c r="AD139" s="65"/>
      <c r="AH139" s="46">
        <f t="shared" si="105"/>
        <v>1921.095004536046</v>
      </c>
      <c r="AI139" s="46">
        <f t="shared" si="105"/>
        <v>0</v>
      </c>
      <c r="AJ139" s="46">
        <f t="shared" si="105"/>
        <v>1326.4786927345147</v>
      </c>
      <c r="AK139" s="46">
        <f t="shared" si="105"/>
        <v>519.61972313456249</v>
      </c>
      <c r="AL139" s="46">
        <f t="shared" si="40"/>
        <v>3767.1934204051231</v>
      </c>
      <c r="AM139" s="46">
        <f t="shared" si="96"/>
        <v>2024.2479112903225</v>
      </c>
      <c r="AN139" s="46">
        <f t="shared" si="69"/>
        <v>5791.4413316954451</v>
      </c>
      <c r="AO139" s="10">
        <f t="shared" si="62"/>
        <v>6347.0914343739987</v>
      </c>
      <c r="AQ139" s="65">
        <f t="shared" si="63"/>
        <v>43</v>
      </c>
      <c r="AR139" s="65"/>
      <c r="AS139" s="65">
        <f t="shared" si="92"/>
        <v>30</v>
      </c>
      <c r="AT139" s="65">
        <f t="shared" si="92"/>
        <v>38</v>
      </c>
      <c r="AU139" s="65">
        <f t="shared" si="70"/>
        <v>37.732863591833393</v>
      </c>
      <c r="AV139" s="65">
        <f>$Y$18/1000*CURVES!O98+$AV$14</f>
        <v>74.595119288019148</v>
      </c>
      <c r="AW139" s="65">
        <f t="shared" si="71"/>
        <v>50.617107741917764</v>
      </c>
      <c r="AX139" s="65">
        <f>CHOOSE(AX$18,CURVES!B98,CURVES!C98)</f>
        <v>40.91935483870968</v>
      </c>
      <c r="AY139" s="65">
        <f t="shared" si="72"/>
        <v>45.546270469337017</v>
      </c>
    </row>
    <row r="140" spans="1:51">
      <c r="A140" s="75">
        <v>39814</v>
      </c>
      <c r="B140" s="2">
        <f t="shared" si="34"/>
        <v>2009</v>
      </c>
      <c r="C140" s="2">
        <f t="shared" si="64"/>
        <v>1</v>
      </c>
      <c r="D140" s="43">
        <v>5.8979400977367001E-2</v>
      </c>
      <c r="E140" s="44">
        <f t="shared" ca="1" si="35"/>
        <v>0.6241418862260274</v>
      </c>
      <c r="F140" s="44"/>
      <c r="G140" s="10"/>
      <c r="H140" s="10">
        <f t="shared" si="87"/>
        <v>13808.893878381275</v>
      </c>
      <c r="I140" s="10">
        <f t="shared" si="87"/>
        <v>13127.075575477251</v>
      </c>
      <c r="K140" s="46">
        <f t="shared" ref="K140:P140" si="108">K128</f>
        <v>2185.9180107526881</v>
      </c>
      <c r="L140" s="46">
        <f t="shared" si="108"/>
        <v>1282.3306451612902</v>
      </c>
      <c r="M140" s="46">
        <f t="shared" si="108"/>
        <v>142.8521505376344</v>
      </c>
      <c r="N140" s="46">
        <f t="shared" si="108"/>
        <v>3.168010752688172</v>
      </c>
      <c r="O140" s="46">
        <f t="shared" si="39"/>
        <v>3614.2688172043008</v>
      </c>
      <c r="P140" s="46">
        <f t="shared" si="108"/>
        <v>2792.6655547379</v>
      </c>
      <c r="Q140" s="46">
        <f t="shared" si="66"/>
        <v>6406.9343719422013</v>
      </c>
      <c r="R140" s="10">
        <f t="shared" si="59"/>
        <v>7401.959506439076</v>
      </c>
      <c r="T140" s="65">
        <f t="shared" si="60"/>
        <v>48.72</v>
      </c>
      <c r="U140" s="65">
        <f t="shared" si="91"/>
        <v>23</v>
      </c>
      <c r="V140" s="65">
        <f t="shared" si="91"/>
        <v>34</v>
      </c>
      <c r="W140" s="65">
        <f t="shared" si="91"/>
        <v>38</v>
      </c>
      <c r="X140" s="65">
        <f t="shared" si="67"/>
        <v>39.003431946853418</v>
      </c>
      <c r="Y140" s="65">
        <f>$Y$18/1000*CURVES!K99+$Y$14</f>
        <v>79.385132728494625</v>
      </c>
      <c r="Z140" s="65">
        <f t="shared" si="68"/>
        <v>56.605077018868727</v>
      </c>
      <c r="AA140" s="65">
        <f>CHOOSE(AA$18,CURVES!F99,CURVES!G99)</f>
        <v>38.856989247311823</v>
      </c>
      <c r="AB140" s="65">
        <f t="shared" si="61"/>
        <v>47.091597651237414</v>
      </c>
      <c r="AD140" s="65"/>
      <c r="AH140" s="46">
        <f t="shared" si="105"/>
        <v>1826.0560878589888</v>
      </c>
      <c r="AI140" s="46">
        <f t="shared" si="105"/>
        <v>0</v>
      </c>
      <c r="AJ140" s="46">
        <f t="shared" si="105"/>
        <v>1744.0893186443859</v>
      </c>
      <c r="AK140" s="46">
        <f t="shared" si="105"/>
        <v>538.87289280137145</v>
      </c>
      <c r="AL140" s="46">
        <f t="shared" si="40"/>
        <v>4109.0182993047465</v>
      </c>
      <c r="AM140" s="46">
        <f t="shared" si="96"/>
        <v>2445.3687016129034</v>
      </c>
      <c r="AN140" s="46">
        <f t="shared" si="69"/>
        <v>6554.3870009176499</v>
      </c>
      <c r="AO140" s="10">
        <f t="shared" si="62"/>
        <v>6572.6885745596019</v>
      </c>
      <c r="AQ140" s="65">
        <f t="shared" si="63"/>
        <v>43</v>
      </c>
      <c r="AR140" s="65"/>
      <c r="AS140" s="65">
        <f t="shared" si="92"/>
        <v>30</v>
      </c>
      <c r="AT140" s="65">
        <f t="shared" si="92"/>
        <v>38</v>
      </c>
      <c r="AU140" s="65">
        <f t="shared" si="70"/>
        <v>36.826378040059808</v>
      </c>
      <c r="AV140" s="65">
        <f>$Y$18/1000*CURVES!O99+$AV$14</f>
        <v>75.792119288019165</v>
      </c>
      <c r="AW140" s="65">
        <f t="shared" si="71"/>
        <v>51.364061589957956</v>
      </c>
      <c r="AX140" s="65">
        <f>CHOOSE(AX$18,CURVES!B99,CURVES!C99)</f>
        <v>44.909677419354836</v>
      </c>
      <c r="AY140" s="65">
        <f t="shared" si="72"/>
        <v>48.132370201421168</v>
      </c>
    </row>
    <row r="141" spans="1:51">
      <c r="A141" s="75">
        <v>39845</v>
      </c>
      <c r="B141" s="2">
        <f t="shared" si="34"/>
        <v>2009</v>
      </c>
      <c r="C141" s="2">
        <f t="shared" si="64"/>
        <v>2</v>
      </c>
      <c r="D141" s="43">
        <v>5.9038428659197999E-2</v>
      </c>
      <c r="E141" s="44">
        <f t="shared" ca="1" si="35"/>
        <v>0.62107534037928402</v>
      </c>
      <c r="F141" s="44"/>
      <c r="G141" s="10"/>
      <c r="H141" s="10">
        <f t="shared" si="87"/>
        <v>13846.037068807851</v>
      </c>
      <c r="I141" s="10">
        <f t="shared" si="87"/>
        <v>13109.580287227083</v>
      </c>
      <c r="K141" s="46">
        <f t="shared" ref="K141:P141" si="109">K129</f>
        <v>2261.8764367816093</v>
      </c>
      <c r="L141" s="46">
        <f t="shared" si="109"/>
        <v>1335.9798850574712</v>
      </c>
      <c r="M141" s="46">
        <f t="shared" si="109"/>
        <v>236.0028735632184</v>
      </c>
      <c r="N141" s="46">
        <f t="shared" si="109"/>
        <v>3.8491379310344827</v>
      </c>
      <c r="O141" s="46">
        <f t="shared" si="39"/>
        <v>3837.7083333333335</v>
      </c>
      <c r="P141" s="46">
        <f t="shared" si="109"/>
        <v>3011.7717013676738</v>
      </c>
      <c r="Q141" s="46">
        <f t="shared" si="66"/>
        <v>6849.4800347010078</v>
      </c>
      <c r="R141" s="10">
        <f t="shared" si="59"/>
        <v>6996.5570341068433</v>
      </c>
      <c r="T141" s="65">
        <f t="shared" si="60"/>
        <v>48.72</v>
      </c>
      <c r="U141" s="65">
        <f t="shared" si="91"/>
        <v>23</v>
      </c>
      <c r="V141" s="65">
        <f t="shared" si="91"/>
        <v>34</v>
      </c>
      <c r="W141" s="65">
        <f t="shared" si="91"/>
        <v>38</v>
      </c>
      <c r="X141" s="65">
        <f t="shared" si="67"/>
        <v>38.850404811599958</v>
      </c>
      <c r="Y141" s="65">
        <f>$Y$18/1000*CURVES!K100+$Y$14</f>
        <v>78.37713272849463</v>
      </c>
      <c r="Z141" s="65">
        <f t="shared" si="68"/>
        <v>56.230626373623899</v>
      </c>
      <c r="AA141" s="65">
        <f>CHOOSE(AA$18,CURVES!F100,CURVES!G100)</f>
        <v>38.196544324885593</v>
      </c>
      <c r="AB141" s="65">
        <f t="shared" si="61"/>
        <v>47.11780347818268</v>
      </c>
      <c r="AD141" s="65"/>
      <c r="AH141" s="46">
        <f t="shared" si="105"/>
        <v>1925.7468502510062</v>
      </c>
      <c r="AI141" s="46">
        <f t="shared" si="105"/>
        <v>0</v>
      </c>
      <c r="AJ141" s="46">
        <f t="shared" si="105"/>
        <v>2201.9273871825426</v>
      </c>
      <c r="AK141" s="46">
        <f t="shared" si="105"/>
        <v>548.47547775416388</v>
      </c>
      <c r="AL141" s="46">
        <f t="shared" si="40"/>
        <v>4676.1497151877129</v>
      </c>
      <c r="AM141" s="46">
        <f t="shared" si="96"/>
        <v>2161.5456443452381</v>
      </c>
      <c r="AN141" s="46">
        <f t="shared" si="69"/>
        <v>6837.6953595329505</v>
      </c>
      <c r="AO141" s="10">
        <f t="shared" si="62"/>
        <v>6271.8849276941328</v>
      </c>
      <c r="AQ141" s="65">
        <f t="shared" si="63"/>
        <v>43</v>
      </c>
      <c r="AR141" s="65"/>
      <c r="AS141" s="65">
        <f t="shared" si="92"/>
        <v>30</v>
      </c>
      <c r="AT141" s="65">
        <f t="shared" si="92"/>
        <v>38</v>
      </c>
      <c r="AU141" s="65">
        <f t="shared" si="70"/>
        <v>36.29203825098557</v>
      </c>
      <c r="AV141" s="65">
        <f>$Y$18/1000*CURVES!O100+$AV$14</f>
        <v>74.784119288019156</v>
      </c>
      <c r="AW141" s="65">
        <f t="shared" si="71"/>
        <v>48.46023027074046</v>
      </c>
      <c r="AX141" s="65">
        <f>CHOOSE(AX$18,CURVES!B100,CURVES!C100)</f>
        <v>43.592857142857142</v>
      </c>
      <c r="AY141" s="65">
        <f t="shared" si="72"/>
        <v>46.131581794634897</v>
      </c>
    </row>
    <row r="142" spans="1:51">
      <c r="A142" s="75">
        <v>39873</v>
      </c>
      <c r="B142" s="2">
        <f t="shared" si="34"/>
        <v>2009</v>
      </c>
      <c r="C142" s="2">
        <f t="shared" si="64"/>
        <v>3</v>
      </c>
      <c r="D142" s="43">
        <v>5.9091743985720001E-2</v>
      </c>
      <c r="E142" s="44">
        <f t="shared" ca="1" si="35"/>
        <v>0.61775121657610221</v>
      </c>
      <c r="F142" s="44"/>
      <c r="G142" s="10"/>
      <c r="H142" s="10">
        <f t="shared" si="87"/>
        <v>13765.880096948609</v>
      </c>
      <c r="I142" s="10">
        <f t="shared" si="87"/>
        <v>12815.274483879939</v>
      </c>
      <c r="K142" s="46">
        <f t="shared" ref="K142:P142" si="110">K130</f>
        <v>2263.9462365591398</v>
      </c>
      <c r="L142" s="46">
        <f t="shared" si="110"/>
        <v>1258.630376344086</v>
      </c>
      <c r="M142" s="46">
        <f t="shared" si="110"/>
        <v>620.64650537634407</v>
      </c>
      <c r="N142" s="46">
        <f t="shared" si="110"/>
        <v>2.581989247311828</v>
      </c>
      <c r="O142" s="46">
        <f t="shared" si="39"/>
        <v>4145.8051075268813</v>
      </c>
      <c r="P142" s="46">
        <f t="shared" si="110"/>
        <v>2834.3973290285558</v>
      </c>
      <c r="Q142" s="46">
        <f t="shared" si="66"/>
        <v>6980.2024365554371</v>
      </c>
      <c r="R142" s="10">
        <f t="shared" si="59"/>
        <v>6785.6776603931721</v>
      </c>
      <c r="T142" s="65">
        <f t="shared" si="60"/>
        <v>48.72</v>
      </c>
      <c r="U142" s="65">
        <f t="shared" si="91"/>
        <v>23</v>
      </c>
      <c r="V142" s="65">
        <f t="shared" si="91"/>
        <v>34</v>
      </c>
      <c r="W142" s="65">
        <f t="shared" si="91"/>
        <v>38</v>
      </c>
      <c r="X142" s="65">
        <f t="shared" si="67"/>
        <v>38.701302138870133</v>
      </c>
      <c r="Y142" s="65">
        <f>$Y$18/1000*CURVES!K101+$Y$14</f>
        <v>76.802132728494627</v>
      </c>
      <c r="Z142" s="65">
        <f t="shared" si="68"/>
        <v>54.172614531106866</v>
      </c>
      <c r="AA142" s="65">
        <f>CHOOSE(AA$18,CURVES!F101,CURVES!G101)</f>
        <v>37.618124016823529</v>
      </c>
      <c r="AB142" s="65">
        <f t="shared" si="61"/>
        <v>46.012334500274449</v>
      </c>
      <c r="AD142" s="65"/>
      <c r="AH142" s="46">
        <f t="shared" si="105"/>
        <v>1891.2387324311178</v>
      </c>
      <c r="AI142" s="46">
        <f t="shared" si="105"/>
        <v>0</v>
      </c>
      <c r="AJ142" s="46">
        <f t="shared" si="105"/>
        <v>1966.5504926356311</v>
      </c>
      <c r="AK142" s="46">
        <f t="shared" si="105"/>
        <v>526.07330501492243</v>
      </c>
      <c r="AL142" s="46">
        <f t="shared" si="40"/>
        <v>4383.8625300816711</v>
      </c>
      <c r="AM142" s="46">
        <f t="shared" si="96"/>
        <v>2044.2222728494623</v>
      </c>
      <c r="AN142" s="46">
        <f t="shared" si="69"/>
        <v>6428.0848029311337</v>
      </c>
      <c r="AO142" s="10">
        <f t="shared" si="62"/>
        <v>6387.1896809488053</v>
      </c>
      <c r="AQ142" s="65">
        <f t="shared" si="63"/>
        <v>43</v>
      </c>
      <c r="AR142" s="65"/>
      <c r="AS142" s="65">
        <f t="shared" si="92"/>
        <v>30</v>
      </c>
      <c r="AT142" s="65">
        <f t="shared" si="92"/>
        <v>38</v>
      </c>
      <c r="AU142" s="65">
        <f t="shared" si="70"/>
        <v>36.56833779894724</v>
      </c>
      <c r="AV142" s="65">
        <f>$Y$18/1000*CURVES!O101+$AV$14</f>
        <v>73.209119288019153</v>
      </c>
      <c r="AW142" s="65">
        <f t="shared" si="71"/>
        <v>48.220626763837167</v>
      </c>
      <c r="AX142" s="65">
        <f>CHOOSE(AX$18,CURVES!B101,CURVES!C101)</f>
        <v>41.380107526881723</v>
      </c>
      <c r="AY142" s="65">
        <f t="shared" si="72"/>
        <v>44.811281615781816</v>
      </c>
    </row>
    <row r="143" spans="1:51">
      <c r="A143" s="75">
        <v>39904</v>
      </c>
      <c r="B143" s="2">
        <f t="shared" si="34"/>
        <v>2009</v>
      </c>
      <c r="C143" s="2">
        <f t="shared" si="64"/>
        <v>4</v>
      </c>
      <c r="D143" s="43">
        <v>5.9150771669756998E-2</v>
      </c>
      <c r="E143" s="44">
        <f t="shared" ca="1" si="35"/>
        <v>0.61450907068615934</v>
      </c>
      <c r="F143" s="44"/>
      <c r="G143" s="10"/>
      <c r="H143" s="10">
        <f t="shared" si="87"/>
        <v>13826.963612017567</v>
      </c>
      <c r="I143" s="10">
        <f t="shared" si="87"/>
        <v>12519.200658395173</v>
      </c>
      <c r="K143" s="46">
        <f t="shared" ref="K143:P143" si="111">K131</f>
        <v>2319.8402777777778</v>
      </c>
      <c r="L143" s="46">
        <f t="shared" si="111"/>
        <v>1179.1659722222223</v>
      </c>
      <c r="M143" s="46">
        <f t="shared" si="111"/>
        <v>811.58611111111111</v>
      </c>
      <c r="N143" s="46">
        <f t="shared" si="111"/>
        <v>3.0416666666666665</v>
      </c>
      <c r="O143" s="46">
        <f t="shared" si="39"/>
        <v>4313.6340277777781</v>
      </c>
      <c r="P143" s="46">
        <f t="shared" si="111"/>
        <v>2923.3945906815438</v>
      </c>
      <c r="Q143" s="46">
        <f t="shared" si="66"/>
        <v>7237.0286184593224</v>
      </c>
      <c r="R143" s="10">
        <f t="shared" si="59"/>
        <v>6589.934993558245</v>
      </c>
      <c r="T143" s="65">
        <f t="shared" si="60"/>
        <v>48.72</v>
      </c>
      <c r="U143" s="65">
        <f t="shared" si="91"/>
        <v>23</v>
      </c>
      <c r="V143" s="65">
        <f t="shared" si="91"/>
        <v>34</v>
      </c>
      <c r="W143" s="65">
        <f t="shared" si="91"/>
        <v>38</v>
      </c>
      <c r="X143" s="65">
        <f t="shared" si="67"/>
        <v>38.912189982891782</v>
      </c>
      <c r="Y143" s="65">
        <f>$Y$18/1000*CURVES!K102+$Y$14</f>
        <v>76.140632728494623</v>
      </c>
      <c r="Z143" s="65">
        <f t="shared" si="68"/>
        <v>53.950603381505957</v>
      </c>
      <c r="AA143" s="65">
        <f>CHOOSE(AA$18,CURVES!F102,CURVES!G102)</f>
        <v>37.213333333333331</v>
      </c>
      <c r="AB143" s="65">
        <f t="shared" si="61"/>
        <v>45.973615469913923</v>
      </c>
      <c r="AD143" s="65"/>
      <c r="AH143" s="46">
        <f t="shared" si="105"/>
        <v>1937.9310849074075</v>
      </c>
      <c r="AI143" s="46">
        <f t="shared" si="105"/>
        <v>0</v>
      </c>
      <c r="AJ143" s="46">
        <f t="shared" si="105"/>
        <v>2070.9500209392572</v>
      </c>
      <c r="AK143" s="46">
        <f t="shared" si="105"/>
        <v>513.91932921853174</v>
      </c>
      <c r="AL143" s="46">
        <f t="shared" si="40"/>
        <v>4522.8004350651963</v>
      </c>
      <c r="AM143" s="46">
        <f t="shared" si="96"/>
        <v>2152.9968589041096</v>
      </c>
      <c r="AN143" s="46">
        <f t="shared" si="69"/>
        <v>6675.7972939693063</v>
      </c>
      <c r="AO143" s="10">
        <f t="shared" si="62"/>
        <v>5843.403364425867</v>
      </c>
      <c r="AQ143" s="65">
        <f t="shared" si="63"/>
        <v>43</v>
      </c>
      <c r="AR143" s="65"/>
      <c r="AS143" s="65">
        <f t="shared" si="92"/>
        <v>30</v>
      </c>
      <c r="AT143" s="65">
        <f t="shared" si="92"/>
        <v>38</v>
      </c>
      <c r="AU143" s="65">
        <f t="shared" si="70"/>
        <v>36.479272998726103</v>
      </c>
      <c r="AV143" s="65">
        <f>$Y$18/1000*CURVES!O102+$AV$14</f>
        <v>71.287619288019158</v>
      </c>
      <c r="AW143" s="65">
        <f t="shared" si="71"/>
        <v>47.705237018363846</v>
      </c>
      <c r="AX143" s="65">
        <f>CHOOSE(AX$18,CURVES!B102,CURVES!C102)</f>
        <v>39.708888888888886</v>
      </c>
      <c r="AY143" s="65">
        <f t="shared" si="72"/>
        <v>43.972899080992356</v>
      </c>
    </row>
    <row r="144" spans="1:51">
      <c r="A144" s="75">
        <v>39934</v>
      </c>
      <c r="B144" s="2">
        <f t="shared" si="34"/>
        <v>2009</v>
      </c>
      <c r="C144" s="2">
        <f t="shared" si="64"/>
        <v>5</v>
      </c>
      <c r="D144" s="43">
        <v>5.9207895236055998E-2</v>
      </c>
      <c r="E144" s="44">
        <f t="shared" ca="1" si="35"/>
        <v>0.61119008295776311</v>
      </c>
      <c r="F144" s="44"/>
      <c r="G144" s="10"/>
      <c r="H144" s="10">
        <f t="shared" ref="H144:I163" si="112">(1+$I$17)*H132</f>
        <v>14610.936246659563</v>
      </c>
      <c r="I144" s="10">
        <f t="shared" si="112"/>
        <v>13636.767658742057</v>
      </c>
      <c r="K144" s="46">
        <f t="shared" ref="K144:P144" si="113">K132</f>
        <v>2226.0672043010754</v>
      </c>
      <c r="L144" s="46">
        <f t="shared" si="113"/>
        <v>1023.6263440860215</v>
      </c>
      <c r="M144" s="46">
        <f t="shared" si="113"/>
        <v>950.16532258064512</v>
      </c>
      <c r="N144" s="46">
        <f t="shared" si="113"/>
        <v>3.3051075268817205</v>
      </c>
      <c r="O144" s="46">
        <f t="shared" si="39"/>
        <v>4203.1639784946237</v>
      </c>
      <c r="P144" s="46">
        <f t="shared" si="113"/>
        <v>2831.510502104928</v>
      </c>
      <c r="Q144" s="46">
        <f t="shared" si="66"/>
        <v>7034.6744805995513</v>
      </c>
      <c r="R144" s="10">
        <f t="shared" si="59"/>
        <v>7576.2617660600117</v>
      </c>
      <c r="T144" s="65">
        <f t="shared" si="60"/>
        <v>48.72</v>
      </c>
      <c r="U144" s="65">
        <f t="shared" si="91"/>
        <v>23</v>
      </c>
      <c r="V144" s="65">
        <f t="shared" si="91"/>
        <v>34</v>
      </c>
      <c r="W144" s="65">
        <f t="shared" si="91"/>
        <v>38</v>
      </c>
      <c r="X144" s="65">
        <f t="shared" si="67"/>
        <v>39.120199926194871</v>
      </c>
      <c r="Y144" s="65">
        <f>$Y$18/1000*CURVES!K103+$Y$14</f>
        <v>75.87813272849462</v>
      </c>
      <c r="Z144" s="65">
        <f t="shared" si="68"/>
        <v>53.915550166268588</v>
      </c>
      <c r="AA144" s="65">
        <f>CHOOSE(AA$18,CURVES!F103,CURVES!G103)</f>
        <v>35.983018872253425</v>
      </c>
      <c r="AB144" s="65">
        <f t="shared" si="61"/>
        <v>44.616929672829421</v>
      </c>
      <c r="AD144" s="65"/>
      <c r="AH144" s="46">
        <f t="shared" si="105"/>
        <v>1895.2591032026239</v>
      </c>
      <c r="AI144" s="46">
        <f t="shared" si="105"/>
        <v>0</v>
      </c>
      <c r="AJ144" s="46">
        <f t="shared" si="105"/>
        <v>1877.6303324734643</v>
      </c>
      <c r="AK144" s="46">
        <f t="shared" si="105"/>
        <v>570.53181663934993</v>
      </c>
      <c r="AL144" s="46">
        <f t="shared" si="40"/>
        <v>4343.4212523154383</v>
      </c>
      <c r="AM144" s="46">
        <f t="shared" si="96"/>
        <v>2186.8418319892476</v>
      </c>
      <c r="AN144" s="46">
        <f t="shared" si="69"/>
        <v>6530.2630843046863</v>
      </c>
      <c r="AO144" s="10">
        <f t="shared" si="62"/>
        <v>7106.504574437371</v>
      </c>
      <c r="AQ144" s="65">
        <f t="shared" si="63"/>
        <v>43</v>
      </c>
      <c r="AR144" s="65"/>
      <c r="AS144" s="65">
        <f t="shared" si="92"/>
        <v>30</v>
      </c>
      <c r="AT144" s="65">
        <f t="shared" si="92"/>
        <v>38</v>
      </c>
      <c r="AU144" s="65">
        <f t="shared" si="70"/>
        <v>36.723414833221909</v>
      </c>
      <c r="AV144" s="65">
        <f>$Y$18/1000*CURVES!O103+$AV$14</f>
        <v>71.02511928801917</v>
      </c>
      <c r="AW144" s="65">
        <f t="shared" si="71"/>
        <v>48.210303070630424</v>
      </c>
      <c r="AX144" s="65">
        <f>CHOOSE(AX$18,CURVES!B103,CURVES!C103)</f>
        <v>39.229569892473116</v>
      </c>
      <c r="AY144" s="65">
        <f t="shared" si="72"/>
        <v>43.530189497568067</v>
      </c>
    </row>
    <row r="145" spans="1:51">
      <c r="A145" s="75">
        <v>39965</v>
      </c>
      <c r="B145" s="2">
        <f t="shared" si="34"/>
        <v>2009</v>
      </c>
      <c r="C145" s="2">
        <f t="shared" si="64"/>
        <v>6</v>
      </c>
      <c r="D145" s="43">
        <v>5.9266922922371998E-2</v>
      </c>
      <c r="E145" s="44">
        <f t="shared" ca="1" si="35"/>
        <v>0.60797093361772769</v>
      </c>
      <c r="F145" s="44"/>
      <c r="G145" s="10"/>
      <c r="H145" s="10">
        <f t="shared" si="112"/>
        <v>16146.86689192166</v>
      </c>
      <c r="I145" s="10">
        <f t="shared" si="112"/>
        <v>15377.178263736059</v>
      </c>
      <c r="K145" s="46">
        <f t="shared" ref="K145:P145" si="114">K133</f>
        <v>2252.1333333333332</v>
      </c>
      <c r="L145" s="46">
        <f t="shared" si="114"/>
        <v>1398.3916666666667</v>
      </c>
      <c r="M145" s="46">
        <f t="shared" si="114"/>
        <v>957.04027777777776</v>
      </c>
      <c r="N145" s="46">
        <f t="shared" si="114"/>
        <v>3.526388888888889</v>
      </c>
      <c r="O145" s="46">
        <f t="shared" si="39"/>
        <v>4611.0916666666662</v>
      </c>
      <c r="P145" s="46">
        <f t="shared" si="114"/>
        <v>3175.7411781346573</v>
      </c>
      <c r="Q145" s="46">
        <f t="shared" si="66"/>
        <v>7786.8328448013235</v>
      </c>
      <c r="R145" s="10">
        <f t="shared" si="59"/>
        <v>8360.0340471203381</v>
      </c>
      <c r="T145" s="65">
        <f t="shared" si="60"/>
        <v>48.72</v>
      </c>
      <c r="U145" s="65">
        <f t="shared" si="91"/>
        <v>23</v>
      </c>
      <c r="V145" s="65">
        <f t="shared" si="91"/>
        <v>34</v>
      </c>
      <c r="W145" s="65">
        <f t="shared" si="91"/>
        <v>38</v>
      </c>
      <c r="X145" s="65">
        <f t="shared" si="67"/>
        <v>37.856613829094464</v>
      </c>
      <c r="Y145" s="65">
        <f>$Y$18/1000*CURVES!K104+$Y$14</f>
        <v>76.182632728494625</v>
      </c>
      <c r="Z145" s="65">
        <f t="shared" si="68"/>
        <v>53.487296911504671</v>
      </c>
      <c r="AA145" s="65">
        <f>CHOOSE(AA$18,CURVES!F104,CURVES!G104)</f>
        <v>47.422462059159457</v>
      </c>
      <c r="AB145" s="65">
        <f t="shared" si="61"/>
        <v>50.347231027817081</v>
      </c>
      <c r="AD145" s="65"/>
      <c r="AH145" s="46">
        <f t="shared" si="105"/>
        <v>1881.3705563400365</v>
      </c>
      <c r="AI145" s="46">
        <f t="shared" si="105"/>
        <v>0</v>
      </c>
      <c r="AJ145" s="46">
        <f t="shared" si="105"/>
        <v>1162.1616861734683</v>
      </c>
      <c r="AK145" s="46">
        <f t="shared" si="105"/>
        <v>631.24071210358352</v>
      </c>
      <c r="AL145" s="46">
        <f t="shared" si="40"/>
        <v>3674.7729546170881</v>
      </c>
      <c r="AM145" s="46">
        <f t="shared" si="96"/>
        <v>2754.0461410958906</v>
      </c>
      <c r="AN145" s="46">
        <f t="shared" si="69"/>
        <v>6428.8190957129791</v>
      </c>
      <c r="AO145" s="10">
        <f t="shared" si="62"/>
        <v>8948.3591680230802</v>
      </c>
      <c r="AQ145" s="65">
        <f t="shared" si="63"/>
        <v>43</v>
      </c>
      <c r="AR145" s="65"/>
      <c r="AS145" s="65">
        <f t="shared" si="92"/>
        <v>30</v>
      </c>
      <c r="AT145" s="65">
        <f t="shared" si="92"/>
        <v>38</v>
      </c>
      <c r="AU145" s="65">
        <f t="shared" si="70"/>
        <v>38.029813894263803</v>
      </c>
      <c r="AV145" s="65">
        <f>$Y$18/1000*CURVES!O104+$AV$14</f>
        <v>71.32961928801916</v>
      </c>
      <c r="AW145" s="65">
        <f t="shared" si="71"/>
        <v>52.295139948479857</v>
      </c>
      <c r="AX145" s="65">
        <f>CHOOSE(AX$18,CURVES!B104,CURVES!C104)</f>
        <v>44.92</v>
      </c>
      <c r="AY145" s="65">
        <f t="shared" si="72"/>
        <v>48.003364172616635</v>
      </c>
    </row>
    <row r="146" spans="1:51">
      <c r="A146" s="75">
        <v>39995</v>
      </c>
      <c r="B146" s="2">
        <f t="shared" si="34"/>
        <v>2009</v>
      </c>
      <c r="C146" s="2">
        <f t="shared" si="64"/>
        <v>7</v>
      </c>
      <c r="D146" s="43">
        <v>5.9324046490876997E-2</v>
      </c>
      <c r="E146" s="44">
        <f t="shared" ca="1" si="35"/>
        <v>0.60467588229614966</v>
      </c>
      <c r="F146" s="44"/>
      <c r="G146" s="10"/>
      <c r="H146" s="10">
        <f t="shared" si="112"/>
        <v>15936.83903286006</v>
      </c>
      <c r="I146" s="10">
        <f t="shared" si="112"/>
        <v>14597.412815411768</v>
      </c>
      <c r="K146" s="46">
        <f t="shared" ref="K146:P146" si="115">K134</f>
        <v>2248.4569892473119</v>
      </c>
      <c r="L146" s="46">
        <f t="shared" si="115"/>
        <v>1358.3225806451612</v>
      </c>
      <c r="M146" s="46">
        <f t="shared" si="115"/>
        <v>653.55107526881716</v>
      </c>
      <c r="N146" s="46">
        <f t="shared" si="115"/>
        <v>3.8373655913978495</v>
      </c>
      <c r="O146" s="46">
        <f t="shared" si="39"/>
        <v>4264.1680107526872</v>
      </c>
      <c r="P146" s="46">
        <f t="shared" si="115"/>
        <v>3349.3895623880758</v>
      </c>
      <c r="Q146" s="46">
        <f t="shared" si="66"/>
        <v>7613.5575731407625</v>
      </c>
      <c r="R146" s="10">
        <f t="shared" si="59"/>
        <v>8323.2814597192973</v>
      </c>
      <c r="T146" s="65">
        <f t="shared" si="60"/>
        <v>48.72</v>
      </c>
      <c r="U146" s="65">
        <f t="shared" ref="U146:W165" si="116">U$18</f>
        <v>23</v>
      </c>
      <c r="V146" s="65">
        <f t="shared" si="116"/>
        <v>34</v>
      </c>
      <c r="W146" s="65">
        <f t="shared" si="116"/>
        <v>38</v>
      </c>
      <c r="X146" s="65">
        <f t="shared" si="67"/>
        <v>38.261344278923424</v>
      </c>
      <c r="Y146" s="65">
        <f>$Y$18/1000*CURVES!K105+$Y$14</f>
        <v>76.497632728494622</v>
      </c>
      <c r="Z146" s="65">
        <f t="shared" si="68"/>
        <v>55.082419605030474</v>
      </c>
      <c r="AA146" s="65">
        <f>CHOOSE(AA$18,CURVES!F105,CURVES!G105)</f>
        <v>59.126881720430099</v>
      </c>
      <c r="AB146" s="65">
        <f t="shared" si="61"/>
        <v>57.194707773984987</v>
      </c>
      <c r="AD146" s="65"/>
      <c r="AH146" s="46">
        <f t="shared" si="105"/>
        <v>1914.3216201186069</v>
      </c>
      <c r="AI146" s="46">
        <f t="shared" si="105"/>
        <v>0</v>
      </c>
      <c r="AJ146" s="46">
        <f t="shared" si="105"/>
        <v>1193.3319743059751</v>
      </c>
      <c r="AK146" s="46">
        <f t="shared" si="105"/>
        <v>610.72305844211053</v>
      </c>
      <c r="AL146" s="46">
        <f t="shared" si="40"/>
        <v>3718.3766528666924</v>
      </c>
      <c r="AM146" s="46">
        <f t="shared" si="96"/>
        <v>2586.7318602150535</v>
      </c>
      <c r="AN146" s="46">
        <f t="shared" si="69"/>
        <v>6305.1085130817464</v>
      </c>
      <c r="AO146" s="10">
        <f t="shared" si="62"/>
        <v>8292.3043023300215</v>
      </c>
      <c r="AQ146" s="65">
        <f t="shared" si="63"/>
        <v>43</v>
      </c>
      <c r="AR146" s="65"/>
      <c r="AS146" s="65">
        <f t="shared" ref="AS146:AT165" si="117">AS$18</f>
        <v>30</v>
      </c>
      <c r="AT146" s="65">
        <f t="shared" si="117"/>
        <v>38</v>
      </c>
      <c r="AU146" s="65">
        <f t="shared" si="70"/>
        <v>38.006710537547619</v>
      </c>
      <c r="AV146" s="65">
        <f>$Y$18/1000*CURVES!O105+$AV$14</f>
        <v>71.644619288019157</v>
      </c>
      <c r="AW146" s="65">
        <f t="shared" si="71"/>
        <v>51.806988533607431</v>
      </c>
      <c r="AX146" s="65">
        <f>CHOOSE(AX$18,CURVES!B105,CURVES!C105)</f>
        <v>56.891397849462358</v>
      </c>
      <c r="AY146" s="65">
        <f t="shared" si="72"/>
        <v>54.695272216326678</v>
      </c>
    </row>
    <row r="147" spans="1:51">
      <c r="A147" s="75">
        <v>40026</v>
      </c>
      <c r="B147" s="2">
        <f t="shared" si="34"/>
        <v>2009</v>
      </c>
      <c r="C147" s="2">
        <f t="shared" si="64"/>
        <v>8</v>
      </c>
      <c r="D147" s="43">
        <v>5.9383074179471002E-2</v>
      </c>
      <c r="E147" s="44">
        <f t="shared" ca="1" si="35"/>
        <v>0.60138336978228402</v>
      </c>
      <c r="F147" s="44"/>
      <c r="G147" s="10"/>
      <c r="H147" s="10">
        <f t="shared" si="112"/>
        <v>17090.217268135952</v>
      </c>
      <c r="I147" s="10">
        <f t="shared" si="112"/>
        <v>15139.932494106664</v>
      </c>
      <c r="K147" s="46">
        <f t="shared" ref="K147:P147" si="118">K135</f>
        <v>2226.0658602150538</v>
      </c>
      <c r="L147" s="46">
        <f t="shared" si="118"/>
        <v>1361.989247311828</v>
      </c>
      <c r="M147" s="46">
        <f t="shared" si="118"/>
        <v>483.36424731182797</v>
      </c>
      <c r="N147" s="46">
        <f t="shared" si="118"/>
        <v>3.924731182795699</v>
      </c>
      <c r="O147" s="46">
        <f t="shared" si="39"/>
        <v>4075.3440860215055</v>
      </c>
      <c r="P147" s="46">
        <f t="shared" si="118"/>
        <v>3426.252928840011</v>
      </c>
      <c r="Q147" s="46">
        <f t="shared" si="66"/>
        <v>7501.5970148615161</v>
      </c>
      <c r="R147" s="10">
        <f t="shared" si="59"/>
        <v>9588.6202532744355</v>
      </c>
      <c r="T147" s="65">
        <f t="shared" si="60"/>
        <v>48.72</v>
      </c>
      <c r="U147" s="65">
        <f t="shared" si="116"/>
        <v>23</v>
      </c>
      <c r="V147" s="65">
        <f t="shared" si="116"/>
        <v>34</v>
      </c>
      <c r="W147" s="65">
        <f t="shared" si="116"/>
        <v>38</v>
      </c>
      <c r="X147" s="65">
        <f t="shared" si="67"/>
        <v>38.368099058856423</v>
      </c>
      <c r="Y147" s="65">
        <f>$Y$18/1000*CURVES!K106+$Y$14</f>
        <v>76.70763272849463</v>
      </c>
      <c r="Z147" s="65">
        <f t="shared" si="68"/>
        <v>55.879162271891886</v>
      </c>
      <c r="AA147" s="65">
        <f>CHOOSE(AA$18,CURVES!F106,CURVES!G106)</f>
        <v>63.664155508436593</v>
      </c>
      <c r="AB147" s="65">
        <f t="shared" si="61"/>
        <v>60.2470028117962</v>
      </c>
      <c r="AD147" s="65"/>
      <c r="AH147" s="46">
        <f t="shared" si="105"/>
        <v>1859.5945026415061</v>
      </c>
      <c r="AI147" s="46">
        <f t="shared" si="105"/>
        <v>0</v>
      </c>
      <c r="AJ147" s="46">
        <f t="shared" si="105"/>
        <v>1584.5088037693729</v>
      </c>
      <c r="AK147" s="46">
        <f t="shared" si="105"/>
        <v>621.50165686237608</v>
      </c>
      <c r="AL147" s="46">
        <f t="shared" si="40"/>
        <v>4065.6049632732547</v>
      </c>
      <c r="AM147" s="46">
        <f t="shared" si="96"/>
        <v>2208.289016129032</v>
      </c>
      <c r="AN147" s="46">
        <f t="shared" si="69"/>
        <v>6273.8939794022863</v>
      </c>
      <c r="AO147" s="10">
        <f t="shared" si="62"/>
        <v>8866.0385147043762</v>
      </c>
      <c r="AQ147" s="65">
        <f t="shared" si="63"/>
        <v>43</v>
      </c>
      <c r="AR147" s="65"/>
      <c r="AS147" s="65">
        <f t="shared" si="117"/>
        <v>30</v>
      </c>
      <c r="AT147" s="65">
        <f t="shared" si="117"/>
        <v>38</v>
      </c>
      <c r="AU147" s="65">
        <f t="shared" si="70"/>
        <v>37.169103258318607</v>
      </c>
      <c r="AV147" s="65">
        <f>$Y$18/1000*CURVES!O106+$AV$14</f>
        <v>71.854619288019165</v>
      </c>
      <c r="AW147" s="65">
        <f t="shared" si="71"/>
        <v>49.377732272233267</v>
      </c>
      <c r="AX147" s="65">
        <f>CHOOSE(AX$18,CURVES!B106,CURVES!C106)</f>
        <v>65.431720430107518</v>
      </c>
      <c r="AY147" s="65">
        <f t="shared" si="72"/>
        <v>58.77904746156625</v>
      </c>
    </row>
    <row r="148" spans="1:51">
      <c r="A148" s="75">
        <v>40057</v>
      </c>
      <c r="B148" s="2">
        <f t="shared" ref="B148:B211" si="119">YEAR(A148)</f>
        <v>2009</v>
      </c>
      <c r="C148" s="2">
        <f t="shared" si="64"/>
        <v>9</v>
      </c>
      <c r="D148" s="43">
        <v>5.9442101869223003E-2</v>
      </c>
      <c r="E148" s="44">
        <f t="shared" ref="E148:E211" ca="1" si="120">(1+D148/2)^(-2*(DATE($B149,$C149,20)-$E$17)/365.25)</f>
        <v>0.59819890042606128</v>
      </c>
      <c r="F148" s="44"/>
      <c r="G148" s="10"/>
      <c r="H148" s="10">
        <f t="shared" si="112"/>
        <v>15480.517896964147</v>
      </c>
      <c r="I148" s="10">
        <f t="shared" si="112"/>
        <v>14260.844355600515</v>
      </c>
      <c r="K148" s="46">
        <f t="shared" ref="K148:P148" si="121">K136</f>
        <v>2263.6333333333332</v>
      </c>
      <c r="L148" s="46">
        <f t="shared" si="121"/>
        <v>1380.7361111111111</v>
      </c>
      <c r="M148" s="46">
        <f t="shared" si="121"/>
        <v>542.60277777777776</v>
      </c>
      <c r="N148" s="46">
        <f t="shared" si="121"/>
        <v>3.4194444444444443</v>
      </c>
      <c r="O148" s="46">
        <f t="shared" si="39"/>
        <v>4190.3916666666673</v>
      </c>
      <c r="P148" s="46">
        <f t="shared" si="121"/>
        <v>3348.1339323547272</v>
      </c>
      <c r="Q148" s="46">
        <f t="shared" si="66"/>
        <v>7538.5255990213946</v>
      </c>
      <c r="R148" s="10">
        <f t="shared" si="59"/>
        <v>7941.992297942752</v>
      </c>
      <c r="T148" s="65">
        <f t="shared" si="60"/>
        <v>48.72</v>
      </c>
      <c r="U148" s="65">
        <f t="shared" si="116"/>
        <v>23</v>
      </c>
      <c r="V148" s="65">
        <f t="shared" si="116"/>
        <v>34</v>
      </c>
      <c r="W148" s="65">
        <f t="shared" si="116"/>
        <v>38</v>
      </c>
      <c r="X148" s="65">
        <f t="shared" si="67"/>
        <v>38.330445615995849</v>
      </c>
      <c r="Y148" s="65">
        <f>$Y$18/1000*CURVES!K107+$Y$14</f>
        <v>76.928132728494631</v>
      </c>
      <c r="Z148" s="65">
        <f t="shared" si="68"/>
        <v>55.47308501335278</v>
      </c>
      <c r="AA148" s="65">
        <f>CHOOSE(AA$18,CURVES!F107,CURVES!G107)</f>
        <v>58.216308357741497</v>
      </c>
      <c r="AB148" s="65">
        <f t="shared" si="61"/>
        <v>56.880444819896745</v>
      </c>
      <c r="AD148" s="65"/>
      <c r="AH148" s="46">
        <f t="shared" si="105"/>
        <v>1890.9773416389726</v>
      </c>
      <c r="AI148" s="46">
        <f t="shared" si="105"/>
        <v>0</v>
      </c>
      <c r="AJ148" s="46">
        <f t="shared" si="105"/>
        <v>765.82060543821262</v>
      </c>
      <c r="AK148" s="46">
        <f t="shared" si="105"/>
        <v>570.92254509204622</v>
      </c>
      <c r="AL148" s="46">
        <f t="shared" si="40"/>
        <v>3227.7204921692314</v>
      </c>
      <c r="AM148" s="46">
        <f t="shared" si="96"/>
        <v>2371.5769315068492</v>
      </c>
      <c r="AN148" s="46">
        <f t="shared" si="69"/>
        <v>5599.2974236760801</v>
      </c>
      <c r="AO148" s="10">
        <f t="shared" si="62"/>
        <v>8661.546931924433</v>
      </c>
      <c r="AQ148" s="65">
        <f t="shared" si="63"/>
        <v>43</v>
      </c>
      <c r="AR148" s="65"/>
      <c r="AS148" s="65">
        <f t="shared" si="117"/>
        <v>30</v>
      </c>
      <c r="AT148" s="65">
        <f t="shared" si="117"/>
        <v>38</v>
      </c>
      <c r="AU148" s="65">
        <f t="shared" si="70"/>
        <v>39.031167931908605</v>
      </c>
      <c r="AV148" s="65">
        <f>$Y$18/1000*CURVES!O107+$AV$14</f>
        <v>72.075119288019152</v>
      </c>
      <c r="AW148" s="65">
        <f t="shared" si="71"/>
        <v>53.026901116329597</v>
      </c>
      <c r="AX148" s="65">
        <f>CHOOSE(AX$18,CURVES!B107,CURVES!C107)</f>
        <v>57.55</v>
      </c>
      <c r="AY148" s="65">
        <f t="shared" si="72"/>
        <v>55.774075987729162</v>
      </c>
    </row>
    <row r="149" spans="1:51">
      <c r="A149" s="75">
        <v>40087</v>
      </c>
      <c r="B149" s="2">
        <f t="shared" si="119"/>
        <v>2009</v>
      </c>
      <c r="C149" s="2">
        <f t="shared" si="64"/>
        <v>10</v>
      </c>
      <c r="D149" s="43">
        <v>5.9499225441054002E-2</v>
      </c>
      <c r="E149" s="44">
        <f t="shared" ca="1" si="120"/>
        <v>0.59493993130961909</v>
      </c>
      <c r="F149" s="44"/>
      <c r="G149" s="10"/>
      <c r="H149" s="10">
        <f t="shared" si="112"/>
        <v>14381.385038084645</v>
      </c>
      <c r="I149" s="10">
        <f t="shared" si="112"/>
        <v>12343.789486867878</v>
      </c>
      <c r="K149" s="46">
        <f t="shared" ref="K149:P149" si="122">K137</f>
        <v>2069.2916666666665</v>
      </c>
      <c r="L149" s="46">
        <f t="shared" si="122"/>
        <v>1227.5241935483871</v>
      </c>
      <c r="M149" s="46">
        <f t="shared" si="122"/>
        <v>369.34005376344084</v>
      </c>
      <c r="N149" s="46">
        <f t="shared" si="122"/>
        <v>3.278225806451613</v>
      </c>
      <c r="O149" s="46">
        <f t="shared" si="39"/>
        <v>3669.4341397849457</v>
      </c>
      <c r="P149" s="46">
        <f t="shared" si="122"/>
        <v>3171.075494984625</v>
      </c>
      <c r="Q149" s="46">
        <f t="shared" si="66"/>
        <v>6840.5096347695708</v>
      </c>
      <c r="R149" s="10">
        <f t="shared" si="59"/>
        <v>7540.8754033150744</v>
      </c>
      <c r="T149" s="65">
        <f t="shared" si="60"/>
        <v>48.72</v>
      </c>
      <c r="U149" s="65">
        <f t="shared" si="116"/>
        <v>23</v>
      </c>
      <c r="V149" s="65">
        <f t="shared" si="116"/>
        <v>34</v>
      </c>
      <c r="W149" s="65">
        <f t="shared" si="116"/>
        <v>38</v>
      </c>
      <c r="X149" s="65">
        <f t="shared" si="67"/>
        <v>38.624778497461044</v>
      </c>
      <c r="Y149" s="65">
        <f>$Y$18/1000*CURVES!K108+$Y$14</f>
        <v>77.243132728494629</v>
      </c>
      <c r="Z149" s="65">
        <f t="shared" si="68"/>
        <v>56.527204383422337</v>
      </c>
      <c r="AA149" s="65">
        <f>CHOOSE(AA$18,CURVES!F108,CURVES!G108)</f>
        <v>45.729032258064521</v>
      </c>
      <c r="AB149" s="65">
        <f t="shared" si="61"/>
        <v>50.865185713785358</v>
      </c>
      <c r="AD149" s="65"/>
      <c r="AH149" s="46">
        <f t="shared" si="105"/>
        <v>1913.8399491890309</v>
      </c>
      <c r="AI149" s="46">
        <f t="shared" si="105"/>
        <v>0</v>
      </c>
      <c r="AJ149" s="46">
        <f t="shared" si="105"/>
        <v>1075.3801160883429</v>
      </c>
      <c r="AK149" s="46">
        <f t="shared" si="105"/>
        <v>576.38556050292607</v>
      </c>
      <c r="AL149" s="46">
        <f t="shared" si="40"/>
        <v>3565.6056257802998</v>
      </c>
      <c r="AM149" s="46">
        <f t="shared" si="96"/>
        <v>2259.7132500000002</v>
      </c>
      <c r="AN149" s="46">
        <f t="shared" si="69"/>
        <v>5825.3188757803</v>
      </c>
      <c r="AO149" s="10">
        <f t="shared" si="62"/>
        <v>6518.4706110875777</v>
      </c>
      <c r="AQ149" s="65">
        <f t="shared" si="63"/>
        <v>43</v>
      </c>
      <c r="AR149" s="65"/>
      <c r="AS149" s="65">
        <f t="shared" si="117"/>
        <v>30</v>
      </c>
      <c r="AT149" s="65">
        <f t="shared" si="117"/>
        <v>38</v>
      </c>
      <c r="AU149" s="65">
        <f t="shared" si="70"/>
        <v>38.270966258930272</v>
      </c>
      <c r="AV149" s="65">
        <f>$Y$18/1000*CURVES!O108+$AV$14</f>
        <v>72.39011928801915</v>
      </c>
      <c r="AW149" s="65">
        <f t="shared" si="71"/>
        <v>51.506207766337418</v>
      </c>
      <c r="AX149" s="65">
        <f>CHOOSE(AX$18,CURVES!B108,CURVES!C108)</f>
        <v>44.119354838709683</v>
      </c>
      <c r="AY149" s="65">
        <f t="shared" si="72"/>
        <v>47.60538105761934</v>
      </c>
    </row>
    <row r="150" spans="1:51">
      <c r="A150" s="75">
        <v>40118</v>
      </c>
      <c r="B150" s="2">
        <f t="shared" si="119"/>
        <v>2009</v>
      </c>
      <c r="C150" s="2">
        <f t="shared" si="64"/>
        <v>11</v>
      </c>
      <c r="D150" s="43">
        <v>5.9558253133085E-2</v>
      </c>
      <c r="E150" s="44">
        <f t="shared" ca="1" si="120"/>
        <v>0.5917784502519583</v>
      </c>
      <c r="F150" s="44"/>
      <c r="G150" s="10"/>
      <c r="H150" s="10">
        <f t="shared" si="112"/>
        <v>14067.835374960148</v>
      </c>
      <c r="I150" s="10">
        <f t="shared" si="112"/>
        <v>12531.157355787978</v>
      </c>
      <c r="K150" s="46">
        <f t="shared" ref="K150:P150" si="123">K138</f>
        <v>2201.1583333333333</v>
      </c>
      <c r="L150" s="46">
        <f t="shared" si="123"/>
        <v>1270.0277777777778</v>
      </c>
      <c r="M150" s="46">
        <f t="shared" si="123"/>
        <v>241.3111111111111</v>
      </c>
      <c r="N150" s="46">
        <f t="shared" si="123"/>
        <v>3.1194444444444445</v>
      </c>
      <c r="O150" s="46">
        <f t="shared" si="39"/>
        <v>3715.6166666666668</v>
      </c>
      <c r="P150" s="46">
        <f t="shared" si="123"/>
        <v>3029.0331582980816</v>
      </c>
      <c r="Q150" s="46">
        <f t="shared" si="66"/>
        <v>6744.6498249647484</v>
      </c>
      <c r="R150" s="10">
        <f t="shared" si="59"/>
        <v>7323.1855499953999</v>
      </c>
      <c r="T150" s="65">
        <f t="shared" si="60"/>
        <v>48.72</v>
      </c>
      <c r="U150" s="65">
        <f t="shared" si="116"/>
        <v>23</v>
      </c>
      <c r="V150" s="65">
        <f t="shared" si="116"/>
        <v>34</v>
      </c>
      <c r="W150" s="65">
        <f t="shared" si="116"/>
        <v>38</v>
      </c>
      <c r="X150" s="65">
        <f t="shared" si="67"/>
        <v>38.963704424717896</v>
      </c>
      <c r="Y150" s="65">
        <f>$Y$18/1000*CURVES!K109+$Y$14</f>
        <v>77.453132728494623</v>
      </c>
      <c r="Z150" s="65">
        <f t="shared" si="68"/>
        <v>56.249369003558456</v>
      </c>
      <c r="AA150" s="65">
        <f>CHOOSE(AA$18,CURVES!F109,CURVES!G109)</f>
        <v>37.181868410584585</v>
      </c>
      <c r="AB150" s="65">
        <f t="shared" si="61"/>
        <v>46.32354594015127</v>
      </c>
      <c r="AD150" s="65"/>
      <c r="AH150" s="46">
        <f t="shared" si="105"/>
        <v>1838.7874362867092</v>
      </c>
      <c r="AI150" s="46">
        <f t="shared" si="105"/>
        <v>0</v>
      </c>
      <c r="AJ150" s="46">
        <f t="shared" si="105"/>
        <v>1347.8791847211178</v>
      </c>
      <c r="AK150" s="46">
        <f t="shared" si="105"/>
        <v>499.43911251442188</v>
      </c>
      <c r="AL150" s="46">
        <f t="shared" si="40"/>
        <v>3686.105733522249</v>
      </c>
      <c r="AM150" s="46">
        <f t="shared" si="96"/>
        <v>2451.2376410958905</v>
      </c>
      <c r="AN150" s="46">
        <f t="shared" si="69"/>
        <v>6137.3433746181399</v>
      </c>
      <c r="AO150" s="10">
        <f t="shared" si="62"/>
        <v>6393.8139811698393</v>
      </c>
      <c r="AQ150" s="65">
        <f t="shared" si="63"/>
        <v>43</v>
      </c>
      <c r="AR150" s="65"/>
      <c r="AS150" s="65">
        <f t="shared" si="117"/>
        <v>30</v>
      </c>
      <c r="AT150" s="65">
        <f t="shared" si="117"/>
        <v>38</v>
      </c>
      <c r="AU150" s="65">
        <f t="shared" si="70"/>
        <v>37.568895628282228</v>
      </c>
      <c r="AV150" s="65">
        <f>$Y$18/1000*CURVES!O109+$AV$14</f>
        <v>73.860119288019149</v>
      </c>
      <c r="AW150" s="65">
        <f t="shared" si="71"/>
        <v>52.063508043822978</v>
      </c>
      <c r="AX150" s="65">
        <f>CHOOSE(AX$18,CURVES!B109,CURVES!C109)</f>
        <v>41.866666666666667</v>
      </c>
      <c r="AY150" s="65">
        <f t="shared" si="72"/>
        <v>46.860739846923785</v>
      </c>
    </row>
    <row r="151" spans="1:51">
      <c r="A151" s="75">
        <v>40148</v>
      </c>
      <c r="B151" s="2">
        <f t="shared" si="119"/>
        <v>2009</v>
      </c>
      <c r="C151" s="2">
        <f t="shared" si="64"/>
        <v>12</v>
      </c>
      <c r="D151" s="43">
        <v>5.9615376707120998E-2</v>
      </c>
      <c r="E151" s="44">
        <f t="shared" ca="1" si="120"/>
        <v>0.58854338906961168</v>
      </c>
      <c r="F151" s="44"/>
      <c r="G151" s="10"/>
      <c r="H151" s="10">
        <f t="shared" si="112"/>
        <v>13966.539693160878</v>
      </c>
      <c r="I151" s="10">
        <f t="shared" si="112"/>
        <v>12502.688749051527</v>
      </c>
      <c r="K151" s="46">
        <f t="shared" ref="K151:P151" si="124">K139</f>
        <v>2256.4126344086021</v>
      </c>
      <c r="L151" s="46">
        <f t="shared" si="124"/>
        <v>1157.2150537634409</v>
      </c>
      <c r="M151" s="46">
        <f t="shared" si="124"/>
        <v>239.86021505376345</v>
      </c>
      <c r="N151" s="46">
        <f t="shared" si="124"/>
        <v>2.9690860215053765</v>
      </c>
      <c r="O151" s="46">
        <f t="shared" si="39"/>
        <v>3656.4569892473123</v>
      </c>
      <c r="P151" s="46">
        <f t="shared" si="124"/>
        <v>2977.5968497309718</v>
      </c>
      <c r="Q151" s="46">
        <f t="shared" si="66"/>
        <v>6634.0538389782841</v>
      </c>
      <c r="R151" s="10">
        <f t="shared" si="59"/>
        <v>7332.4858541825943</v>
      </c>
      <c r="T151" s="65">
        <f t="shared" si="60"/>
        <v>48.72</v>
      </c>
      <c r="U151" s="65">
        <f t="shared" si="116"/>
        <v>23</v>
      </c>
      <c r="V151" s="65">
        <f t="shared" si="116"/>
        <v>34</v>
      </c>
      <c r="W151" s="65">
        <f t="shared" si="116"/>
        <v>38</v>
      </c>
      <c r="X151" s="65">
        <f t="shared" si="67"/>
        <v>39.60567368670241</v>
      </c>
      <c r="Y151" s="65">
        <f>$Y$18/1000*CURVES!K110+$Y$14</f>
        <v>78.765632728494623</v>
      </c>
      <c r="Z151" s="65">
        <f t="shared" si="68"/>
        <v>57.182041546929547</v>
      </c>
      <c r="AA151" s="65">
        <f>CHOOSE(AA$18,CURVES!F110,CURVES!G110)</f>
        <v>37.211098602494587</v>
      </c>
      <c r="AB151" s="65">
        <f t="shared" si="61"/>
        <v>46.697221408805859</v>
      </c>
      <c r="AD151" s="65"/>
      <c r="AH151" s="46">
        <f t="shared" si="105"/>
        <v>1921.095004536046</v>
      </c>
      <c r="AI151" s="46">
        <f t="shared" si="105"/>
        <v>0</v>
      </c>
      <c r="AJ151" s="46">
        <f t="shared" si="105"/>
        <v>1326.4786927345147</v>
      </c>
      <c r="AK151" s="46">
        <f t="shared" si="105"/>
        <v>519.61972313456249</v>
      </c>
      <c r="AL151" s="46">
        <f t="shared" si="40"/>
        <v>3767.1934204051231</v>
      </c>
      <c r="AM151" s="46">
        <f t="shared" si="96"/>
        <v>2024.2479112903225</v>
      </c>
      <c r="AN151" s="46">
        <f t="shared" si="69"/>
        <v>5791.4413316954451</v>
      </c>
      <c r="AO151" s="10">
        <f t="shared" si="62"/>
        <v>6711.2474173560822</v>
      </c>
      <c r="AQ151" s="65">
        <f t="shared" si="63"/>
        <v>43</v>
      </c>
      <c r="AR151" s="65"/>
      <c r="AS151" s="65">
        <f t="shared" si="117"/>
        <v>30</v>
      </c>
      <c r="AT151" s="65">
        <f t="shared" si="117"/>
        <v>38</v>
      </c>
      <c r="AU151" s="65">
        <f t="shared" si="70"/>
        <v>37.732863591833393</v>
      </c>
      <c r="AV151" s="65">
        <f>$Y$18/1000*CURVES!O110+$AV$14</f>
        <v>75.172619288019149</v>
      </c>
      <c r="AW151" s="65">
        <f t="shared" si="71"/>
        <v>50.818957868996215</v>
      </c>
      <c r="AX151" s="65">
        <f>CHOOSE(AX$18,CURVES!B110,CURVES!C110)</f>
        <v>41.447311827956987</v>
      </c>
      <c r="AY151" s="65">
        <f t="shared" si="72"/>
        <v>45.78840511736739</v>
      </c>
    </row>
    <row r="152" spans="1:51">
      <c r="A152" s="75">
        <v>40179</v>
      </c>
      <c r="B152" s="2">
        <f t="shared" si="119"/>
        <v>2010</v>
      </c>
      <c r="C152" s="2">
        <f t="shared" si="64"/>
        <v>1</v>
      </c>
      <c r="D152" s="43">
        <v>5.9674404401431E-2</v>
      </c>
      <c r="E152" s="44">
        <f t="shared" ca="1" si="120"/>
        <v>0.58531065194485166</v>
      </c>
      <c r="F152" s="44"/>
      <c r="G152" s="10"/>
      <c r="H152" s="10">
        <f t="shared" si="112"/>
        <v>14223.160694732715</v>
      </c>
      <c r="I152" s="10">
        <f t="shared" si="112"/>
        <v>13520.887842741569</v>
      </c>
      <c r="K152" s="46">
        <f t="shared" ref="K152:P152" si="125">K140</f>
        <v>2185.9180107526881</v>
      </c>
      <c r="L152" s="46">
        <f t="shared" si="125"/>
        <v>1282.3306451612902</v>
      </c>
      <c r="M152" s="46">
        <f t="shared" si="125"/>
        <v>142.8521505376344</v>
      </c>
      <c r="N152" s="46">
        <f t="shared" si="125"/>
        <v>3.168010752688172</v>
      </c>
      <c r="O152" s="46">
        <f t="shared" si="39"/>
        <v>3614.2688172043008</v>
      </c>
      <c r="P152" s="46">
        <f t="shared" si="125"/>
        <v>2792.6655547379</v>
      </c>
      <c r="Q152" s="46">
        <f t="shared" si="66"/>
        <v>6406.9343719422013</v>
      </c>
      <c r="R152" s="10">
        <f t="shared" si="59"/>
        <v>7816.226322790515</v>
      </c>
      <c r="T152" s="65">
        <f t="shared" si="60"/>
        <v>48.72</v>
      </c>
      <c r="U152" s="65">
        <f t="shared" si="116"/>
        <v>23</v>
      </c>
      <c r="V152" s="65">
        <f t="shared" si="116"/>
        <v>34</v>
      </c>
      <c r="W152" s="65">
        <f t="shared" si="116"/>
        <v>38</v>
      </c>
      <c r="X152" s="65">
        <f t="shared" si="67"/>
        <v>39.003431946853418</v>
      </c>
      <c r="Y152" s="65">
        <f>$Y$18/1000*CURVES!K111+$Y$14</f>
        <v>80.06763272849463</v>
      </c>
      <c r="Z152" s="65">
        <f t="shared" si="68"/>
        <v>56.902566290720095</v>
      </c>
      <c r="AA152" s="65">
        <f>CHOOSE(AA$18,CURVES!F111,CURVES!G111)</f>
        <v>38.854838709677416</v>
      </c>
      <c r="AB152" s="65">
        <f t="shared" si="61"/>
        <v>46.984579254425206</v>
      </c>
      <c r="AD152" s="65"/>
      <c r="AH152" s="46">
        <f t="shared" si="105"/>
        <v>1826.0560878589888</v>
      </c>
      <c r="AI152" s="46">
        <f t="shared" si="105"/>
        <v>0</v>
      </c>
      <c r="AJ152" s="46">
        <f t="shared" si="105"/>
        <v>1744.0893186443859</v>
      </c>
      <c r="AK152" s="46">
        <f t="shared" si="105"/>
        <v>538.87289280137145</v>
      </c>
      <c r="AL152" s="46">
        <f t="shared" si="40"/>
        <v>4109.0182993047465</v>
      </c>
      <c r="AM152" s="46">
        <f t="shared" si="96"/>
        <v>2445.3687016129034</v>
      </c>
      <c r="AN152" s="46">
        <f t="shared" si="69"/>
        <v>6554.3870009176499</v>
      </c>
      <c r="AO152" s="10">
        <f t="shared" si="62"/>
        <v>6966.5008418239204</v>
      </c>
      <c r="AQ152" s="65">
        <f t="shared" si="63"/>
        <v>43</v>
      </c>
      <c r="AR152" s="65"/>
      <c r="AS152" s="65">
        <f t="shared" si="117"/>
        <v>30</v>
      </c>
      <c r="AT152" s="65">
        <f t="shared" si="117"/>
        <v>38</v>
      </c>
      <c r="AU152" s="65">
        <f t="shared" si="70"/>
        <v>36.826378040059808</v>
      </c>
      <c r="AV152" s="65">
        <f>$Y$18/1000*CURVES!O111+$AV$14</f>
        <v>76.474619288019156</v>
      </c>
      <c r="AW152" s="65">
        <f t="shared" si="71"/>
        <v>51.618694729352548</v>
      </c>
      <c r="AX152" s="65">
        <f>CHOOSE(AX$18,CURVES!B111,CURVES!C111)</f>
        <v>45.28602150537634</v>
      </c>
      <c r="AY152" s="65">
        <f t="shared" si="72"/>
        <v>48.355848837948372</v>
      </c>
    </row>
    <row r="153" spans="1:51">
      <c r="A153" s="75">
        <v>40210</v>
      </c>
      <c r="B153" s="2">
        <f t="shared" si="119"/>
        <v>2010</v>
      </c>
      <c r="C153" s="2">
        <f t="shared" si="64"/>
        <v>2</v>
      </c>
      <c r="D153" s="43">
        <v>5.9733432096898E-2</v>
      </c>
      <c r="E153" s="44">
        <f t="shared" ca="1" si="120"/>
        <v>0.58237149023417978</v>
      </c>
      <c r="F153" s="44"/>
      <c r="G153" s="10"/>
      <c r="H153" s="10">
        <f t="shared" si="112"/>
        <v>14261.418180872088</v>
      </c>
      <c r="I153" s="10">
        <f t="shared" si="112"/>
        <v>13502.867695843895</v>
      </c>
      <c r="K153" s="46">
        <f t="shared" ref="K153:P153" si="126">K141</f>
        <v>2261.8764367816093</v>
      </c>
      <c r="L153" s="46">
        <f t="shared" si="126"/>
        <v>1335.9798850574712</v>
      </c>
      <c r="M153" s="46">
        <f t="shared" si="126"/>
        <v>236.0028735632184</v>
      </c>
      <c r="N153" s="46">
        <f t="shared" si="126"/>
        <v>3.8491379310344827</v>
      </c>
      <c r="O153" s="46">
        <f t="shared" si="39"/>
        <v>3837.7083333333335</v>
      </c>
      <c r="P153" s="46">
        <f t="shared" si="126"/>
        <v>3011.7717013676738</v>
      </c>
      <c r="Q153" s="46">
        <f t="shared" si="66"/>
        <v>6849.4800347010078</v>
      </c>
      <c r="R153" s="10">
        <f t="shared" si="59"/>
        <v>7411.93814617108</v>
      </c>
      <c r="T153" s="65">
        <f t="shared" si="60"/>
        <v>48.72</v>
      </c>
      <c r="U153" s="65">
        <f t="shared" si="116"/>
        <v>23</v>
      </c>
      <c r="V153" s="65">
        <f t="shared" si="116"/>
        <v>34</v>
      </c>
      <c r="W153" s="65">
        <f t="shared" si="116"/>
        <v>38</v>
      </c>
      <c r="X153" s="65">
        <f t="shared" si="67"/>
        <v>38.850404811599958</v>
      </c>
      <c r="Y153" s="65">
        <f>$Y$18/1000*CURVES!K112+$Y$14</f>
        <v>79.059632728494634</v>
      </c>
      <c r="Z153" s="65">
        <f t="shared" si="68"/>
        <v>56.530727136859888</v>
      </c>
      <c r="AA153" s="65">
        <f>CHOOSE(AA$18,CURVES!F112,CURVES!G112)</f>
        <v>38.708075919192524</v>
      </c>
      <c r="AB153" s="65">
        <f t="shared" si="61"/>
        <v>47.267946482737507</v>
      </c>
      <c r="AD153" s="65"/>
      <c r="AH153" s="46">
        <f t="shared" si="105"/>
        <v>1925.7468502510062</v>
      </c>
      <c r="AI153" s="46">
        <f t="shared" si="105"/>
        <v>0</v>
      </c>
      <c r="AJ153" s="46">
        <f t="shared" si="105"/>
        <v>2201.9273871825426</v>
      </c>
      <c r="AK153" s="46">
        <f t="shared" si="105"/>
        <v>548.47547775416388</v>
      </c>
      <c r="AL153" s="46">
        <f t="shared" si="40"/>
        <v>4676.1497151877129</v>
      </c>
      <c r="AM153" s="46">
        <f t="shared" si="96"/>
        <v>2161.5456443452381</v>
      </c>
      <c r="AN153" s="46">
        <f t="shared" si="69"/>
        <v>6837.6953595329505</v>
      </c>
      <c r="AO153" s="10">
        <f t="shared" si="62"/>
        <v>6665.172336310945</v>
      </c>
      <c r="AQ153" s="65">
        <f t="shared" si="63"/>
        <v>43</v>
      </c>
      <c r="AR153" s="65"/>
      <c r="AS153" s="65">
        <f t="shared" si="117"/>
        <v>30</v>
      </c>
      <c r="AT153" s="65">
        <f t="shared" si="117"/>
        <v>38</v>
      </c>
      <c r="AU153" s="65">
        <f t="shared" si="70"/>
        <v>36.29203825098557</v>
      </c>
      <c r="AV153" s="65">
        <f>$Y$18/1000*CURVES!O112+$AV$14</f>
        <v>75.46661928801916</v>
      </c>
      <c r="AW153" s="65">
        <f t="shared" si="71"/>
        <v>48.675983506983847</v>
      </c>
      <c r="AX153" s="65">
        <f>CHOOSE(AX$18,CURVES!B112,CURVES!C112)</f>
        <v>44.235714285714288</v>
      </c>
      <c r="AY153" s="65">
        <f t="shared" si="72"/>
        <v>46.484215043719708</v>
      </c>
    </row>
    <row r="154" spans="1:51">
      <c r="A154" s="75">
        <v>40238</v>
      </c>
      <c r="B154" s="2">
        <f t="shared" si="119"/>
        <v>2010</v>
      </c>
      <c r="C154" s="2">
        <f t="shared" si="64"/>
        <v>3</v>
      </c>
      <c r="D154" s="43">
        <v>5.9786747435734998E-2</v>
      </c>
      <c r="E154" s="44">
        <f t="shared" ca="1" si="120"/>
        <v>0.57919145459245058</v>
      </c>
      <c r="F154" s="44"/>
      <c r="G154" s="10"/>
      <c r="H154" s="10">
        <f t="shared" si="112"/>
        <v>14178.856499857067</v>
      </c>
      <c r="I154" s="10">
        <f t="shared" si="112"/>
        <v>13199.732718396337</v>
      </c>
      <c r="K154" s="46">
        <f t="shared" ref="K154:P154" si="127">K142</f>
        <v>2263.9462365591398</v>
      </c>
      <c r="L154" s="46">
        <f t="shared" si="127"/>
        <v>1258.630376344086</v>
      </c>
      <c r="M154" s="46">
        <f t="shared" si="127"/>
        <v>620.64650537634407</v>
      </c>
      <c r="N154" s="46">
        <f t="shared" si="127"/>
        <v>2.581989247311828</v>
      </c>
      <c r="O154" s="46">
        <f t="shared" si="39"/>
        <v>4145.8051075268813</v>
      </c>
      <c r="P154" s="46">
        <f t="shared" si="127"/>
        <v>2834.3973290285558</v>
      </c>
      <c r="Q154" s="46">
        <f t="shared" si="66"/>
        <v>6980.2024365554371</v>
      </c>
      <c r="R154" s="10">
        <f t="shared" si="59"/>
        <v>7198.6540633016302</v>
      </c>
      <c r="T154" s="65">
        <f t="shared" si="60"/>
        <v>48.72</v>
      </c>
      <c r="U154" s="65">
        <f t="shared" si="116"/>
        <v>23</v>
      </c>
      <c r="V154" s="65">
        <f t="shared" si="116"/>
        <v>34</v>
      </c>
      <c r="W154" s="65">
        <f t="shared" si="116"/>
        <v>38</v>
      </c>
      <c r="X154" s="65">
        <f t="shared" si="67"/>
        <v>38.701302138870133</v>
      </c>
      <c r="Y154" s="65">
        <f>$Y$18/1000*CURVES!K113+$Y$14</f>
        <v>77.484632728494631</v>
      </c>
      <c r="Z154" s="65">
        <f t="shared" si="68"/>
        <v>54.449752077566991</v>
      </c>
      <c r="AA154" s="65">
        <f>CHOOSE(AA$18,CURVES!F113,CURVES!G113)</f>
        <v>38.39610940176015</v>
      </c>
      <c r="AB154" s="65">
        <f t="shared" si="61"/>
        <v>46.299262644222743</v>
      </c>
      <c r="AD154" s="65"/>
      <c r="AH154" s="46">
        <f t="shared" si="105"/>
        <v>1891.2387324311178</v>
      </c>
      <c r="AI154" s="46">
        <f t="shared" si="105"/>
        <v>0</v>
      </c>
      <c r="AJ154" s="46">
        <f t="shared" si="105"/>
        <v>1966.5504926356311</v>
      </c>
      <c r="AK154" s="46">
        <f t="shared" si="105"/>
        <v>526.07330501492243</v>
      </c>
      <c r="AL154" s="46">
        <f t="shared" si="40"/>
        <v>4383.8625300816711</v>
      </c>
      <c r="AM154" s="46">
        <f t="shared" si="96"/>
        <v>2044.2222728494623</v>
      </c>
      <c r="AN154" s="46">
        <f t="shared" si="69"/>
        <v>6428.0848029311337</v>
      </c>
      <c r="AO154" s="10">
        <f t="shared" si="62"/>
        <v>6771.6479154652034</v>
      </c>
      <c r="AQ154" s="65">
        <f t="shared" si="63"/>
        <v>43</v>
      </c>
      <c r="AR154" s="65"/>
      <c r="AS154" s="65">
        <f t="shared" si="117"/>
        <v>30</v>
      </c>
      <c r="AT154" s="65">
        <f t="shared" si="117"/>
        <v>38</v>
      </c>
      <c r="AU154" s="65">
        <f t="shared" si="70"/>
        <v>36.56833779894724</v>
      </c>
      <c r="AV154" s="65">
        <f>$Y$18/1000*CURVES!O113+$AV$14</f>
        <v>73.891619288019157</v>
      </c>
      <c r="AW154" s="65">
        <f t="shared" si="71"/>
        <v>48.437671458173433</v>
      </c>
      <c r="AX154" s="65">
        <f>CHOOSE(AX$18,CURVES!B113,CURVES!C113)</f>
        <v>42.272580645161298</v>
      </c>
      <c r="AY154" s="65">
        <f t="shared" si="72"/>
        <v>45.274893450221512</v>
      </c>
    </row>
    <row r="155" spans="1:51">
      <c r="A155" s="75">
        <v>40269</v>
      </c>
      <c r="B155" s="2">
        <f t="shared" si="119"/>
        <v>2010</v>
      </c>
      <c r="C155" s="2">
        <f t="shared" si="64"/>
        <v>4</v>
      </c>
      <c r="D155" s="43">
        <v>5.9845775133405998E-2</v>
      </c>
      <c r="E155" s="44">
        <f t="shared" ca="1" si="120"/>
        <v>0.57608683995474974</v>
      </c>
      <c r="F155" s="44"/>
      <c r="G155" s="10"/>
      <c r="H155" s="10">
        <f t="shared" si="112"/>
        <v>14241.772520378096</v>
      </c>
      <c r="I155" s="10">
        <f t="shared" si="112"/>
        <v>12894.776678147029</v>
      </c>
      <c r="K155" s="46">
        <f t="shared" ref="K155:P155" si="128">K143</f>
        <v>2319.8402777777778</v>
      </c>
      <c r="L155" s="46">
        <f t="shared" si="128"/>
        <v>1179.1659722222223</v>
      </c>
      <c r="M155" s="46">
        <f t="shared" si="128"/>
        <v>811.58611111111111</v>
      </c>
      <c r="N155" s="46">
        <f t="shared" si="128"/>
        <v>3.0416666666666665</v>
      </c>
      <c r="O155" s="46">
        <f t="shared" si="39"/>
        <v>4313.6340277777781</v>
      </c>
      <c r="P155" s="46">
        <f t="shared" si="128"/>
        <v>2923.3945906815438</v>
      </c>
      <c r="Q155" s="46">
        <f t="shared" si="66"/>
        <v>7237.0286184593224</v>
      </c>
      <c r="R155" s="10">
        <f t="shared" si="59"/>
        <v>7004.7439019187732</v>
      </c>
      <c r="T155" s="65">
        <f t="shared" si="60"/>
        <v>48.72</v>
      </c>
      <c r="U155" s="65">
        <f t="shared" si="116"/>
        <v>23</v>
      </c>
      <c r="V155" s="65">
        <f t="shared" si="116"/>
        <v>34</v>
      </c>
      <c r="W155" s="65">
        <f t="shared" si="116"/>
        <v>38</v>
      </c>
      <c r="X155" s="65">
        <f t="shared" si="67"/>
        <v>38.912189982891782</v>
      </c>
      <c r="Y155" s="65">
        <f>$Y$18/1000*CURVES!K114+$Y$14</f>
        <v>76.823132728494627</v>
      </c>
      <c r="Z155" s="65">
        <f t="shared" si="68"/>
        <v>54.226298962293214</v>
      </c>
      <c r="AA155" s="65">
        <f>CHOOSE(AA$18,CURVES!F114,CURVES!G114)</f>
        <v>37.463333333333331</v>
      </c>
      <c r="AB155" s="65">
        <f t="shared" si="61"/>
        <v>45.981518960399647</v>
      </c>
      <c r="AD155" s="65"/>
      <c r="AH155" s="46">
        <f t="shared" si="105"/>
        <v>1937.9310849074075</v>
      </c>
      <c r="AI155" s="46">
        <f t="shared" si="105"/>
        <v>0</v>
      </c>
      <c r="AJ155" s="46">
        <f t="shared" si="105"/>
        <v>2070.9500209392572</v>
      </c>
      <c r="AK155" s="46">
        <f t="shared" si="105"/>
        <v>513.91932921853174</v>
      </c>
      <c r="AL155" s="46">
        <f t="shared" si="40"/>
        <v>4522.8004350651963</v>
      </c>
      <c r="AM155" s="46">
        <f t="shared" si="96"/>
        <v>2152.9968589041096</v>
      </c>
      <c r="AN155" s="46">
        <f t="shared" si="69"/>
        <v>6675.7972939693063</v>
      </c>
      <c r="AO155" s="10">
        <f t="shared" si="62"/>
        <v>6218.9793841777246</v>
      </c>
      <c r="AQ155" s="65">
        <f t="shared" si="63"/>
        <v>43</v>
      </c>
      <c r="AR155" s="65"/>
      <c r="AS155" s="65">
        <f t="shared" si="117"/>
        <v>30</v>
      </c>
      <c r="AT155" s="65">
        <f t="shared" si="117"/>
        <v>38</v>
      </c>
      <c r="AU155" s="65">
        <f t="shared" si="70"/>
        <v>36.479272998726103</v>
      </c>
      <c r="AV155" s="65">
        <f>$Y$18/1000*CURVES!O114+$AV$14</f>
        <v>71.970119288019148</v>
      </c>
      <c r="AW155" s="65">
        <f t="shared" si="71"/>
        <v>47.925348608260293</v>
      </c>
      <c r="AX155" s="65">
        <f>CHOOSE(AX$18,CURVES!B114,CURVES!C114)</f>
        <v>40.353333333333332</v>
      </c>
      <c r="AY155" s="65">
        <f t="shared" si="72"/>
        <v>44.273466294450706</v>
      </c>
    </row>
    <row r="156" spans="1:51">
      <c r="A156" s="75">
        <v>40299</v>
      </c>
      <c r="B156" s="2">
        <f t="shared" si="119"/>
        <v>2010</v>
      </c>
      <c r="C156" s="2">
        <f t="shared" si="64"/>
        <v>5</v>
      </c>
      <c r="D156" s="43">
        <v>5.9902898712899999E-2</v>
      </c>
      <c r="E156" s="44">
        <f t="shared" ca="1" si="120"/>
        <v>0.57291088716140448</v>
      </c>
      <c r="F156" s="44"/>
      <c r="G156" s="10"/>
      <c r="H156" s="10">
        <f t="shared" si="112"/>
        <v>15049.264334059349</v>
      </c>
      <c r="I156" s="10">
        <f t="shared" si="112"/>
        <v>14045.870688504319</v>
      </c>
      <c r="K156" s="46">
        <f t="shared" ref="K156:P156" si="129">K144</f>
        <v>2226.0672043010754</v>
      </c>
      <c r="L156" s="46">
        <f t="shared" si="129"/>
        <v>1023.6263440860215</v>
      </c>
      <c r="M156" s="46">
        <f t="shared" si="129"/>
        <v>950.16532258064512</v>
      </c>
      <c r="N156" s="46">
        <f t="shared" si="129"/>
        <v>3.3051075268817205</v>
      </c>
      <c r="O156" s="46">
        <f t="shared" si="39"/>
        <v>4203.1639784946237</v>
      </c>
      <c r="P156" s="46">
        <f t="shared" si="129"/>
        <v>2831.510502104928</v>
      </c>
      <c r="Q156" s="46">
        <f t="shared" si="66"/>
        <v>7034.6744805995513</v>
      </c>
      <c r="R156" s="10">
        <f t="shared" si="59"/>
        <v>8014.5898534597982</v>
      </c>
      <c r="T156" s="65">
        <f t="shared" si="60"/>
        <v>48.72</v>
      </c>
      <c r="U156" s="65">
        <f t="shared" si="116"/>
        <v>23</v>
      </c>
      <c r="V156" s="65">
        <f t="shared" si="116"/>
        <v>34</v>
      </c>
      <c r="W156" s="65">
        <f t="shared" si="116"/>
        <v>38</v>
      </c>
      <c r="X156" s="65">
        <f t="shared" si="67"/>
        <v>39.120199926194871</v>
      </c>
      <c r="Y156" s="65">
        <f>$Y$18/1000*CURVES!K115+$Y$14</f>
        <v>76.560632728494625</v>
      </c>
      <c r="Z156" s="65">
        <f t="shared" si="68"/>
        <v>54.190261657612808</v>
      </c>
      <c r="AA156" s="65">
        <f>CHOOSE(AA$18,CURVES!F115,CURVES!G115)</f>
        <v>36.432485507745596</v>
      </c>
      <c r="AB156" s="65">
        <f t="shared" si="61"/>
        <v>44.733235095282055</v>
      </c>
      <c r="AD156" s="65"/>
      <c r="AH156" s="46">
        <f t="shared" si="105"/>
        <v>1895.2591032026239</v>
      </c>
      <c r="AI156" s="46">
        <f t="shared" si="105"/>
        <v>0</v>
      </c>
      <c r="AJ156" s="46">
        <f t="shared" si="105"/>
        <v>1877.6303324734643</v>
      </c>
      <c r="AK156" s="46">
        <f t="shared" si="105"/>
        <v>570.53181663934993</v>
      </c>
      <c r="AL156" s="46">
        <f t="shared" si="40"/>
        <v>4343.4212523154383</v>
      </c>
      <c r="AM156" s="46">
        <f t="shared" si="96"/>
        <v>2186.8418319892476</v>
      </c>
      <c r="AN156" s="46">
        <f t="shared" si="69"/>
        <v>6530.2630843046863</v>
      </c>
      <c r="AO156" s="10">
        <f t="shared" si="62"/>
        <v>7515.607604199633</v>
      </c>
      <c r="AQ156" s="65">
        <f t="shared" si="63"/>
        <v>43</v>
      </c>
      <c r="AR156" s="65"/>
      <c r="AS156" s="65">
        <f t="shared" si="117"/>
        <v>30</v>
      </c>
      <c r="AT156" s="65">
        <f t="shared" si="117"/>
        <v>38</v>
      </c>
      <c r="AU156" s="65">
        <f t="shared" si="70"/>
        <v>36.723414833221909</v>
      </c>
      <c r="AV156" s="65">
        <f>$Y$18/1000*CURVES!O115+$AV$14</f>
        <v>71.707619288019146</v>
      </c>
      <c r="AW156" s="65">
        <f t="shared" si="71"/>
        <v>48.438857346478791</v>
      </c>
      <c r="AX156" s="65">
        <f>CHOOSE(AX$18,CURVES!B115,CURVES!C115)</f>
        <v>39.863978494623652</v>
      </c>
      <c r="AY156" s="65">
        <f t="shared" si="72"/>
        <v>43.850645897484192</v>
      </c>
    </row>
    <row r="157" spans="1:51">
      <c r="A157" s="75">
        <v>40330</v>
      </c>
      <c r="B157" s="2">
        <f t="shared" si="119"/>
        <v>2010</v>
      </c>
      <c r="C157" s="2">
        <f t="shared" si="64"/>
        <v>6</v>
      </c>
      <c r="D157" s="43">
        <v>5.9961926412848997E-2</v>
      </c>
      <c r="E157" s="44">
        <f t="shared" ca="1" si="120"/>
        <v>0.56982922274473224</v>
      </c>
      <c r="F157" s="44"/>
      <c r="G157" s="10"/>
      <c r="H157" s="10">
        <f t="shared" si="112"/>
        <v>16631.272898679312</v>
      </c>
      <c r="I157" s="10">
        <f t="shared" si="112"/>
        <v>15838.493611648142</v>
      </c>
      <c r="K157" s="46">
        <f t="shared" ref="K157:P157" si="130">K145</f>
        <v>2252.1333333333332</v>
      </c>
      <c r="L157" s="46">
        <f t="shared" si="130"/>
        <v>1398.3916666666667</v>
      </c>
      <c r="M157" s="46">
        <f t="shared" si="130"/>
        <v>957.04027777777776</v>
      </c>
      <c r="N157" s="46">
        <f t="shared" si="130"/>
        <v>3.526388888888889</v>
      </c>
      <c r="O157" s="46">
        <f t="shared" ref="O157:O220" si="131">SUM(K157:N157)</f>
        <v>4611.0916666666662</v>
      </c>
      <c r="P157" s="46">
        <f t="shared" si="130"/>
        <v>3175.7411781346573</v>
      </c>
      <c r="Q157" s="46">
        <f t="shared" si="66"/>
        <v>7786.8328448013235</v>
      </c>
      <c r="R157" s="10">
        <f t="shared" si="59"/>
        <v>8844.4400538779882</v>
      </c>
      <c r="T157" s="65">
        <f t="shared" si="60"/>
        <v>48.72</v>
      </c>
      <c r="U157" s="65">
        <f t="shared" si="116"/>
        <v>23</v>
      </c>
      <c r="V157" s="65">
        <f t="shared" si="116"/>
        <v>34</v>
      </c>
      <c r="W157" s="65">
        <f t="shared" si="116"/>
        <v>38</v>
      </c>
      <c r="X157" s="65">
        <f t="shared" si="67"/>
        <v>37.856613829094464</v>
      </c>
      <c r="Y157" s="65">
        <f>$Y$18/1000*CURVES!K116+$Y$14</f>
        <v>76.865132728494615</v>
      </c>
      <c r="Z157" s="65">
        <f t="shared" si="68"/>
        <v>53.765644141665639</v>
      </c>
      <c r="AA157" s="65">
        <f>CHOOSE(AA$18,CURVES!F116,CURVES!G116)</f>
        <v>47.886822203435045</v>
      </c>
      <c r="AB157" s="65">
        <f t="shared" si="61"/>
        <v>50.63931168732703</v>
      </c>
      <c r="AD157" s="65"/>
      <c r="AH157" s="46">
        <f t="shared" ref="AH157:AK176" si="132">AH145</f>
        <v>1881.3705563400365</v>
      </c>
      <c r="AI157" s="46">
        <f t="shared" si="132"/>
        <v>0</v>
      </c>
      <c r="AJ157" s="46">
        <f t="shared" si="132"/>
        <v>1162.1616861734683</v>
      </c>
      <c r="AK157" s="46">
        <f t="shared" si="132"/>
        <v>631.24071210358352</v>
      </c>
      <c r="AL157" s="46">
        <f t="shared" ref="AL157:AL220" si="133">SUM(AH157:AK157)</f>
        <v>3674.7729546170881</v>
      </c>
      <c r="AM157" s="46">
        <f t="shared" si="96"/>
        <v>2754.0461410958906</v>
      </c>
      <c r="AN157" s="46">
        <f t="shared" si="69"/>
        <v>6428.8190957129791</v>
      </c>
      <c r="AO157" s="10">
        <f t="shared" si="62"/>
        <v>9409.6745159351631</v>
      </c>
      <c r="AQ157" s="65">
        <f t="shared" si="63"/>
        <v>43</v>
      </c>
      <c r="AR157" s="65"/>
      <c r="AS157" s="65">
        <f t="shared" si="117"/>
        <v>30</v>
      </c>
      <c r="AT157" s="65">
        <f t="shared" si="117"/>
        <v>38</v>
      </c>
      <c r="AU157" s="65">
        <f t="shared" si="70"/>
        <v>38.029813894263803</v>
      </c>
      <c r="AV157" s="65">
        <f>$Y$18/1000*CURVES!O116+$AV$14</f>
        <v>72.012119288019164</v>
      </c>
      <c r="AW157" s="65">
        <f t="shared" si="71"/>
        <v>52.587516583024048</v>
      </c>
      <c r="AX157" s="65">
        <f>CHOOSE(AX$18,CURVES!B116,CURVES!C116)</f>
        <v>45.56444444444444</v>
      </c>
      <c r="AY157" s="65">
        <f t="shared" si="72"/>
        <v>48.415098135516772</v>
      </c>
    </row>
    <row r="158" spans="1:51">
      <c r="A158" s="75">
        <v>40360</v>
      </c>
      <c r="B158" s="2">
        <f t="shared" si="119"/>
        <v>2010</v>
      </c>
      <c r="C158" s="2">
        <f t="shared" si="64"/>
        <v>7</v>
      </c>
      <c r="D158" s="43">
        <v>6.0019049994546998E-2</v>
      </c>
      <c r="E158" s="44">
        <f t="shared" ca="1" si="120"/>
        <v>0.56667711197963011</v>
      </c>
      <c r="F158" s="44"/>
      <c r="G158" s="10"/>
      <c r="H158" s="10">
        <f t="shared" si="112"/>
        <v>16414.944203845862</v>
      </c>
      <c r="I158" s="10">
        <f t="shared" si="112"/>
        <v>15035.335199874122</v>
      </c>
      <c r="K158" s="46">
        <f t="shared" ref="K158:P158" si="134">K146</f>
        <v>2248.4569892473119</v>
      </c>
      <c r="L158" s="46">
        <f t="shared" si="134"/>
        <v>1358.3225806451612</v>
      </c>
      <c r="M158" s="46">
        <f t="shared" si="134"/>
        <v>653.55107526881716</v>
      </c>
      <c r="N158" s="46">
        <f t="shared" si="134"/>
        <v>3.8373655913978495</v>
      </c>
      <c r="O158" s="46">
        <f t="shared" si="131"/>
        <v>4264.1680107526872</v>
      </c>
      <c r="P158" s="46">
        <f t="shared" si="134"/>
        <v>3349.3895623880758</v>
      </c>
      <c r="Q158" s="46">
        <f t="shared" si="66"/>
        <v>7613.5575731407625</v>
      </c>
      <c r="R158" s="10">
        <f t="shared" si="59"/>
        <v>8801.3866307050976</v>
      </c>
      <c r="T158" s="65">
        <f t="shared" si="60"/>
        <v>48.72</v>
      </c>
      <c r="U158" s="65">
        <f t="shared" si="116"/>
        <v>23</v>
      </c>
      <c r="V158" s="65">
        <f t="shared" si="116"/>
        <v>34</v>
      </c>
      <c r="W158" s="65">
        <f t="shared" si="116"/>
        <v>38</v>
      </c>
      <c r="X158" s="65">
        <f t="shared" si="67"/>
        <v>38.261344278923424</v>
      </c>
      <c r="Y158" s="65">
        <f>$Y$18/1000*CURVES!K117+$Y$14</f>
        <v>77.180132728494627</v>
      </c>
      <c r="Z158" s="65">
        <f t="shared" si="68"/>
        <v>55.382667991460792</v>
      </c>
      <c r="AA158" s="65">
        <f>CHOOSE(AA$18,CURVES!F117,CURVES!G117)</f>
        <v>59.376881720430099</v>
      </c>
      <c r="AB158" s="65">
        <f t="shared" si="61"/>
        <v>57.52429082476246</v>
      </c>
      <c r="AD158" s="65"/>
      <c r="AH158" s="46">
        <f t="shared" si="132"/>
        <v>1914.3216201186069</v>
      </c>
      <c r="AI158" s="46">
        <f t="shared" si="132"/>
        <v>0</v>
      </c>
      <c r="AJ158" s="46">
        <f t="shared" si="132"/>
        <v>1193.3319743059751</v>
      </c>
      <c r="AK158" s="46">
        <f t="shared" si="132"/>
        <v>610.72305844211053</v>
      </c>
      <c r="AL158" s="46">
        <f t="shared" si="133"/>
        <v>3718.3766528666924</v>
      </c>
      <c r="AM158" s="46">
        <f t="shared" si="96"/>
        <v>2586.7318602150535</v>
      </c>
      <c r="AN158" s="46">
        <f t="shared" si="69"/>
        <v>6305.1085130817464</v>
      </c>
      <c r="AO158" s="10">
        <f t="shared" si="62"/>
        <v>8730.2266867923754</v>
      </c>
      <c r="AQ158" s="65">
        <f t="shared" si="63"/>
        <v>43</v>
      </c>
      <c r="AR158" s="65"/>
      <c r="AS158" s="65">
        <f t="shared" si="117"/>
        <v>30</v>
      </c>
      <c r="AT158" s="65">
        <f t="shared" si="117"/>
        <v>38</v>
      </c>
      <c r="AU158" s="65">
        <f t="shared" si="70"/>
        <v>38.006710537547619</v>
      </c>
      <c r="AV158" s="65">
        <f>$Y$18/1000*CURVES!O117+$AV$14</f>
        <v>72.327119288019162</v>
      </c>
      <c r="AW158" s="65">
        <f t="shared" si="71"/>
        <v>52.086990771623462</v>
      </c>
      <c r="AX158" s="65">
        <f>CHOOSE(AX$18,CURVES!B117,CURVES!C117)</f>
        <v>57.531182795698925</v>
      </c>
      <c r="AY158" s="65">
        <f t="shared" si="72"/>
        <v>55.248146134292313</v>
      </c>
    </row>
    <row r="159" spans="1:51">
      <c r="A159" s="75">
        <v>40391</v>
      </c>
      <c r="B159" s="2">
        <f t="shared" si="119"/>
        <v>2010</v>
      </c>
      <c r="C159" s="2">
        <f t="shared" si="64"/>
        <v>8</v>
      </c>
      <c r="D159" s="43">
        <v>6.0078077696774E-2</v>
      </c>
      <c r="E159" s="44">
        <f t="shared" ca="1" si="120"/>
        <v>0.56352704712335011</v>
      </c>
      <c r="F159" s="44"/>
      <c r="G159" s="10"/>
      <c r="H159" s="10">
        <f t="shared" si="112"/>
        <v>17602.923786180032</v>
      </c>
      <c r="I159" s="10">
        <f t="shared" si="112"/>
        <v>15594.130468929865</v>
      </c>
      <c r="K159" s="46">
        <f t="shared" ref="K159:P159" si="135">K147</f>
        <v>2226.0658602150538</v>
      </c>
      <c r="L159" s="46">
        <f t="shared" si="135"/>
        <v>1361.989247311828</v>
      </c>
      <c r="M159" s="46">
        <f t="shared" si="135"/>
        <v>483.36424731182797</v>
      </c>
      <c r="N159" s="46">
        <f t="shared" si="135"/>
        <v>3.924731182795699</v>
      </c>
      <c r="O159" s="46">
        <f t="shared" si="131"/>
        <v>4075.3440860215055</v>
      </c>
      <c r="P159" s="46">
        <f t="shared" si="135"/>
        <v>3426.252928840011</v>
      </c>
      <c r="Q159" s="46">
        <f t="shared" si="66"/>
        <v>7501.5970148615161</v>
      </c>
      <c r="R159" s="10">
        <f t="shared" si="59"/>
        <v>10101.326771318516</v>
      </c>
      <c r="T159" s="65">
        <f t="shared" si="60"/>
        <v>48.72</v>
      </c>
      <c r="U159" s="65">
        <f t="shared" si="116"/>
        <v>23</v>
      </c>
      <c r="V159" s="65">
        <f t="shared" si="116"/>
        <v>34</v>
      </c>
      <c r="W159" s="65">
        <f t="shared" si="116"/>
        <v>38</v>
      </c>
      <c r="X159" s="65">
        <f t="shared" si="67"/>
        <v>38.368099058856423</v>
      </c>
      <c r="Y159" s="65">
        <f>$Y$18/1000*CURVES!K118+$Y$14</f>
        <v>77.390132728494621</v>
      </c>
      <c r="Z159" s="65">
        <f t="shared" si="68"/>
        <v>56.190884911657875</v>
      </c>
      <c r="AA159" s="65">
        <f>CHOOSE(AA$18,CURVES!F118,CURVES!G118)</f>
        <v>63.266236768343177</v>
      </c>
      <c r="AB159" s="65">
        <f t="shared" si="61"/>
        <v>60.25103094163412</v>
      </c>
      <c r="AD159" s="65"/>
      <c r="AH159" s="46">
        <f t="shared" si="132"/>
        <v>1859.5945026415061</v>
      </c>
      <c r="AI159" s="46">
        <f t="shared" si="132"/>
        <v>0</v>
      </c>
      <c r="AJ159" s="46">
        <f t="shared" si="132"/>
        <v>1584.5088037693729</v>
      </c>
      <c r="AK159" s="46">
        <f t="shared" si="132"/>
        <v>621.50165686237608</v>
      </c>
      <c r="AL159" s="46">
        <f t="shared" si="133"/>
        <v>4065.6049632732547</v>
      </c>
      <c r="AM159" s="46">
        <f t="shared" si="96"/>
        <v>2208.289016129032</v>
      </c>
      <c r="AN159" s="46">
        <f t="shared" si="69"/>
        <v>6273.8939794022863</v>
      </c>
      <c r="AO159" s="10">
        <f t="shared" si="62"/>
        <v>9320.2364895275769</v>
      </c>
      <c r="AQ159" s="65">
        <f t="shared" si="63"/>
        <v>43</v>
      </c>
      <c r="AR159" s="65"/>
      <c r="AS159" s="65">
        <f t="shared" si="117"/>
        <v>30</v>
      </c>
      <c r="AT159" s="65">
        <f t="shared" si="117"/>
        <v>38</v>
      </c>
      <c r="AU159" s="65">
        <f t="shared" si="70"/>
        <v>37.169103258318607</v>
      </c>
      <c r="AV159" s="65">
        <f>$Y$18/1000*CURVES!O118+$AV$14</f>
        <v>72.537119288019156</v>
      </c>
      <c r="AW159" s="65">
        <f t="shared" si="71"/>
        <v>49.617959037055265</v>
      </c>
      <c r="AX159" s="65">
        <f>CHOOSE(AX$18,CURVES!B118,CURVES!C118)</f>
        <v>66.071505376344078</v>
      </c>
      <c r="AY159" s="65">
        <f t="shared" si="72"/>
        <v>59.451847709406223</v>
      </c>
    </row>
    <row r="160" spans="1:51">
      <c r="A160" s="75">
        <v>40422</v>
      </c>
      <c r="B160" s="2">
        <f t="shared" si="119"/>
        <v>2010</v>
      </c>
      <c r="C160" s="2">
        <f t="shared" si="64"/>
        <v>9</v>
      </c>
      <c r="D160" s="43">
        <v>6.0137105400159999E-2</v>
      </c>
      <c r="E160" s="44">
        <f t="shared" ca="1" si="120"/>
        <v>0.56047996409402623</v>
      </c>
      <c r="F160" s="44"/>
      <c r="G160" s="10"/>
      <c r="H160" s="10">
        <f t="shared" si="112"/>
        <v>15944.933433873071</v>
      </c>
      <c r="I160" s="10">
        <f t="shared" si="112"/>
        <v>14688.669686268531</v>
      </c>
      <c r="K160" s="46">
        <f t="shared" ref="K160:P160" si="136">K148</f>
        <v>2263.6333333333332</v>
      </c>
      <c r="L160" s="46">
        <f t="shared" si="136"/>
        <v>1380.7361111111111</v>
      </c>
      <c r="M160" s="46">
        <f t="shared" si="136"/>
        <v>542.60277777777776</v>
      </c>
      <c r="N160" s="46">
        <f t="shared" si="136"/>
        <v>3.4194444444444443</v>
      </c>
      <c r="O160" s="46">
        <f t="shared" si="131"/>
        <v>4190.3916666666673</v>
      </c>
      <c r="P160" s="46">
        <f t="shared" si="136"/>
        <v>3348.1339323547272</v>
      </c>
      <c r="Q160" s="46">
        <f t="shared" si="66"/>
        <v>7538.5255990213946</v>
      </c>
      <c r="R160" s="10">
        <f t="shared" si="59"/>
        <v>8406.4078348516759</v>
      </c>
      <c r="T160" s="65">
        <f t="shared" si="60"/>
        <v>48.72</v>
      </c>
      <c r="U160" s="65">
        <f t="shared" si="116"/>
        <v>23</v>
      </c>
      <c r="V160" s="65">
        <f t="shared" si="116"/>
        <v>34</v>
      </c>
      <c r="W160" s="65">
        <f t="shared" si="116"/>
        <v>38</v>
      </c>
      <c r="X160" s="65">
        <f t="shared" si="67"/>
        <v>38.330445615995849</v>
      </c>
      <c r="Y160" s="65">
        <f>$Y$18/1000*CURVES!K119+$Y$14</f>
        <v>77.610632728494636</v>
      </c>
      <c r="Z160" s="65">
        <f t="shared" si="68"/>
        <v>55.776208134554196</v>
      </c>
      <c r="AA160" s="65">
        <f>CHOOSE(AA$18,CURVES!F119,CURVES!G119)</f>
        <v>57.822542942905088</v>
      </c>
      <c r="AB160" s="65">
        <f t="shared" si="61"/>
        <v>56.855066509033598</v>
      </c>
      <c r="AD160" s="65"/>
      <c r="AH160" s="46">
        <f t="shared" si="132"/>
        <v>1890.9773416389726</v>
      </c>
      <c r="AI160" s="46">
        <f t="shared" si="132"/>
        <v>0</v>
      </c>
      <c r="AJ160" s="46">
        <f t="shared" si="132"/>
        <v>765.82060543821262</v>
      </c>
      <c r="AK160" s="46">
        <f t="shared" si="132"/>
        <v>570.92254509204622</v>
      </c>
      <c r="AL160" s="46">
        <f t="shared" si="133"/>
        <v>3227.7204921692314</v>
      </c>
      <c r="AM160" s="46">
        <f t="shared" si="96"/>
        <v>2371.5769315068492</v>
      </c>
      <c r="AN160" s="46">
        <f t="shared" si="69"/>
        <v>5599.2974236760801</v>
      </c>
      <c r="AO160" s="10">
        <f t="shared" si="62"/>
        <v>9089.3722625924493</v>
      </c>
      <c r="AQ160" s="65">
        <f t="shared" si="63"/>
        <v>43</v>
      </c>
      <c r="AR160" s="65"/>
      <c r="AS160" s="65">
        <f t="shared" si="117"/>
        <v>30</v>
      </c>
      <c r="AT160" s="65">
        <f t="shared" si="117"/>
        <v>38</v>
      </c>
      <c r="AU160" s="65">
        <f t="shared" si="70"/>
        <v>39.031167931908605</v>
      </c>
      <c r="AV160" s="65">
        <f>$Y$18/1000*CURVES!O119+$AV$14</f>
        <v>72.757619288019157</v>
      </c>
      <c r="AW160" s="65">
        <f t="shared" si="71"/>
        <v>53.315973321872619</v>
      </c>
      <c r="AX160" s="65">
        <f>CHOOSE(AX$18,CURVES!B119,CURVES!C119)</f>
        <v>58.188888888888883</v>
      </c>
      <c r="AY160" s="65">
        <f t="shared" si="72"/>
        <v>56.33134125775846</v>
      </c>
    </row>
    <row r="161" spans="1:51">
      <c r="A161" s="75">
        <v>40452</v>
      </c>
      <c r="B161" s="2">
        <f t="shared" si="119"/>
        <v>2010</v>
      </c>
      <c r="C161" s="2">
        <f t="shared" si="64"/>
        <v>10</v>
      </c>
      <c r="D161" s="43">
        <v>6.0194228985183E-2</v>
      </c>
      <c r="E161" s="44">
        <f t="shared" ca="1" si="120"/>
        <v>0.55736376468438675</v>
      </c>
      <c r="F161" s="44"/>
      <c r="G161" s="10"/>
      <c r="H161" s="10">
        <f t="shared" si="112"/>
        <v>14812.826589227185</v>
      </c>
      <c r="I161" s="10">
        <f t="shared" si="112"/>
        <v>12714.103171473915</v>
      </c>
      <c r="K161" s="46">
        <f t="shared" ref="K161:P161" si="137">K149</f>
        <v>2069.2916666666665</v>
      </c>
      <c r="L161" s="46">
        <f t="shared" si="137"/>
        <v>1227.5241935483871</v>
      </c>
      <c r="M161" s="46">
        <f t="shared" si="137"/>
        <v>369.34005376344084</v>
      </c>
      <c r="N161" s="46">
        <f t="shared" si="137"/>
        <v>3.278225806451613</v>
      </c>
      <c r="O161" s="46">
        <f t="shared" si="131"/>
        <v>3669.4341397849457</v>
      </c>
      <c r="P161" s="46">
        <f t="shared" si="137"/>
        <v>3171.075494984625</v>
      </c>
      <c r="Q161" s="46">
        <f t="shared" si="66"/>
        <v>6840.5096347695708</v>
      </c>
      <c r="R161" s="10">
        <f t="shared" si="59"/>
        <v>7972.316954457614</v>
      </c>
      <c r="T161" s="65">
        <f t="shared" si="60"/>
        <v>48.72</v>
      </c>
      <c r="U161" s="65">
        <f t="shared" si="116"/>
        <v>23</v>
      </c>
      <c r="V161" s="65">
        <f t="shared" si="116"/>
        <v>34</v>
      </c>
      <c r="W161" s="65">
        <f t="shared" si="116"/>
        <v>38</v>
      </c>
      <c r="X161" s="65">
        <f t="shared" si="67"/>
        <v>38.624778497461044</v>
      </c>
      <c r="Y161" s="65">
        <f>$Y$18/1000*CURVES!K120+$Y$14</f>
        <v>77.925632728494634</v>
      </c>
      <c r="Z161" s="65">
        <f t="shared" si="68"/>
        <v>56.843592948146572</v>
      </c>
      <c r="AA161" s="65">
        <f>CHOOSE(AA$18,CURVES!F120,CURVES!G120)</f>
        <v>45.611290322580643</v>
      </c>
      <c r="AB161" s="65">
        <f t="shared" si="61"/>
        <v>50.79832696734298</v>
      </c>
      <c r="AD161" s="65"/>
      <c r="AH161" s="46">
        <f t="shared" si="132"/>
        <v>1913.8399491890309</v>
      </c>
      <c r="AI161" s="46">
        <f t="shared" si="132"/>
        <v>0</v>
      </c>
      <c r="AJ161" s="46">
        <f t="shared" si="132"/>
        <v>1075.3801160883429</v>
      </c>
      <c r="AK161" s="46">
        <f t="shared" si="132"/>
        <v>576.38556050292607</v>
      </c>
      <c r="AL161" s="46">
        <f t="shared" si="133"/>
        <v>3565.6056257802998</v>
      </c>
      <c r="AM161" s="46">
        <f t="shared" ref="AM161:AM192" si="138">AM149</f>
        <v>2259.7132500000002</v>
      </c>
      <c r="AN161" s="46">
        <f t="shared" si="69"/>
        <v>5825.3188757803</v>
      </c>
      <c r="AO161" s="10">
        <f t="shared" si="62"/>
        <v>6888.7842956936147</v>
      </c>
      <c r="AQ161" s="65">
        <f t="shared" si="63"/>
        <v>43</v>
      </c>
      <c r="AR161" s="65"/>
      <c r="AS161" s="65">
        <f t="shared" si="117"/>
        <v>30</v>
      </c>
      <c r="AT161" s="65">
        <f t="shared" si="117"/>
        <v>38</v>
      </c>
      <c r="AU161" s="65">
        <f t="shared" si="70"/>
        <v>38.270966258930272</v>
      </c>
      <c r="AV161" s="65">
        <f>$Y$18/1000*CURVES!O120+$AV$14</f>
        <v>73.072619288019155</v>
      </c>
      <c r="AW161" s="65">
        <f t="shared" si="71"/>
        <v>51.77095795873241</v>
      </c>
      <c r="AX161" s="65">
        <f>CHOOSE(AX$18,CURVES!B120,CURVES!C120)</f>
        <v>44.447311827956995</v>
      </c>
      <c r="AY161" s="65">
        <f t="shared" si="72"/>
        <v>47.802843356194195</v>
      </c>
    </row>
    <row r="162" spans="1:51">
      <c r="A162" s="75">
        <v>40483</v>
      </c>
      <c r="B162" s="2">
        <f t="shared" si="119"/>
        <v>2010</v>
      </c>
      <c r="C162" s="2">
        <f t="shared" si="64"/>
        <v>11</v>
      </c>
      <c r="D162" s="43">
        <v>6.0253256690844997E-2</v>
      </c>
      <c r="E162" s="44">
        <f t="shared" ca="1" si="120"/>
        <v>0.55433958579441434</v>
      </c>
      <c r="F162" s="44"/>
      <c r="G162" s="10"/>
      <c r="H162" s="10">
        <f t="shared" si="112"/>
        <v>14489.870436208954</v>
      </c>
      <c r="I162" s="10">
        <f t="shared" si="112"/>
        <v>12907.092076461618</v>
      </c>
      <c r="K162" s="46">
        <f t="shared" ref="K162:P162" si="139">K150</f>
        <v>2201.1583333333333</v>
      </c>
      <c r="L162" s="46">
        <f t="shared" si="139"/>
        <v>1270.0277777777778</v>
      </c>
      <c r="M162" s="46">
        <f t="shared" si="139"/>
        <v>241.3111111111111</v>
      </c>
      <c r="N162" s="46">
        <f t="shared" si="139"/>
        <v>3.1194444444444445</v>
      </c>
      <c r="O162" s="46">
        <f t="shared" si="131"/>
        <v>3715.6166666666668</v>
      </c>
      <c r="P162" s="46">
        <f t="shared" si="139"/>
        <v>3029.0331582980816</v>
      </c>
      <c r="Q162" s="46">
        <f t="shared" si="66"/>
        <v>6744.6498249647484</v>
      </c>
      <c r="R162" s="10">
        <f t="shared" si="59"/>
        <v>7745.2206112442054</v>
      </c>
      <c r="T162" s="65">
        <f t="shared" si="60"/>
        <v>48.72</v>
      </c>
      <c r="U162" s="65">
        <f t="shared" si="116"/>
        <v>23</v>
      </c>
      <c r="V162" s="65">
        <f t="shared" si="116"/>
        <v>34</v>
      </c>
      <c r="W162" s="65">
        <f t="shared" si="116"/>
        <v>38</v>
      </c>
      <c r="X162" s="65">
        <f t="shared" si="67"/>
        <v>38.963704424717896</v>
      </c>
      <c r="Y162" s="65">
        <f>$Y$18/1000*CURVES!K121+$Y$14</f>
        <v>78.135632728494627</v>
      </c>
      <c r="Z162" s="65">
        <f t="shared" si="68"/>
        <v>56.55588085876056</v>
      </c>
      <c r="AA162" s="65">
        <f>CHOOSE(AA$18,CURVES!F121,CURVES!G121)</f>
        <v>37.886175835075143</v>
      </c>
      <c r="AB162" s="65">
        <f t="shared" si="61"/>
        <v>46.576427640603946</v>
      </c>
      <c r="AD162" s="65"/>
      <c r="AH162" s="46">
        <f t="shared" si="132"/>
        <v>1838.7874362867092</v>
      </c>
      <c r="AI162" s="46">
        <f t="shared" si="132"/>
        <v>0</v>
      </c>
      <c r="AJ162" s="46">
        <f t="shared" si="132"/>
        <v>1347.8791847211178</v>
      </c>
      <c r="AK162" s="46">
        <f t="shared" si="132"/>
        <v>499.43911251442188</v>
      </c>
      <c r="AL162" s="46">
        <f t="shared" si="133"/>
        <v>3686.105733522249</v>
      </c>
      <c r="AM162" s="46">
        <f t="shared" si="138"/>
        <v>2451.2376410958905</v>
      </c>
      <c r="AN162" s="46">
        <f t="shared" si="69"/>
        <v>6137.3433746181399</v>
      </c>
      <c r="AO162" s="10">
        <f t="shared" si="62"/>
        <v>6769.7487018434795</v>
      </c>
      <c r="AQ162" s="65">
        <f t="shared" si="63"/>
        <v>43</v>
      </c>
      <c r="AR162" s="65"/>
      <c r="AS162" s="65">
        <f t="shared" si="117"/>
        <v>30</v>
      </c>
      <c r="AT162" s="65">
        <f t="shared" si="117"/>
        <v>38</v>
      </c>
      <c r="AU162" s="65">
        <f t="shared" si="70"/>
        <v>37.568895628282228</v>
      </c>
      <c r="AV162" s="65">
        <f>$Y$18/1000*CURVES!O121+$AV$14</f>
        <v>74.542619288019154</v>
      </c>
      <c r="AW162" s="65">
        <f t="shared" si="71"/>
        <v>52.336096619682493</v>
      </c>
      <c r="AX162" s="65">
        <f>CHOOSE(AX$18,CURVES!B121,CURVES!C121)</f>
        <v>42.866666666666674</v>
      </c>
      <c r="AY162" s="65">
        <f t="shared" si="72"/>
        <v>47.369396083894522</v>
      </c>
    </row>
    <row r="163" spans="1:51">
      <c r="A163" s="75">
        <v>40513</v>
      </c>
      <c r="B163" s="2">
        <f t="shared" si="119"/>
        <v>2010</v>
      </c>
      <c r="C163" s="2">
        <f t="shared" si="64"/>
        <v>12</v>
      </c>
      <c r="D163" s="43">
        <v>6.0310380278072999E-2</v>
      </c>
      <c r="E163" s="44">
        <f t="shared" ca="1" si="120"/>
        <v>0.5512471624022528</v>
      </c>
      <c r="F163" s="44"/>
      <c r="G163" s="10"/>
      <c r="H163" s="10">
        <f t="shared" si="112"/>
        <v>14385.535883955705</v>
      </c>
      <c r="I163" s="10">
        <f t="shared" si="112"/>
        <v>12877.769411523073</v>
      </c>
      <c r="K163" s="46">
        <f t="shared" ref="K163:P163" si="140">K151</f>
        <v>2256.4126344086021</v>
      </c>
      <c r="L163" s="46">
        <f t="shared" si="140"/>
        <v>1157.2150537634409</v>
      </c>
      <c r="M163" s="46">
        <f t="shared" si="140"/>
        <v>239.86021505376345</v>
      </c>
      <c r="N163" s="46">
        <f t="shared" si="140"/>
        <v>2.9690860215053765</v>
      </c>
      <c r="O163" s="46">
        <f t="shared" si="131"/>
        <v>3656.4569892473123</v>
      </c>
      <c r="P163" s="46">
        <f t="shared" si="140"/>
        <v>2977.5968497309718</v>
      </c>
      <c r="Q163" s="46">
        <f t="shared" si="66"/>
        <v>6634.0538389782841</v>
      </c>
      <c r="R163" s="10">
        <f t="shared" si="59"/>
        <v>7751.4820449774215</v>
      </c>
      <c r="T163" s="65">
        <f t="shared" si="60"/>
        <v>48.72</v>
      </c>
      <c r="U163" s="65">
        <f t="shared" si="116"/>
        <v>23</v>
      </c>
      <c r="V163" s="65">
        <f t="shared" si="116"/>
        <v>34</v>
      </c>
      <c r="W163" s="65">
        <f t="shared" si="116"/>
        <v>38</v>
      </c>
      <c r="X163" s="65">
        <f t="shared" si="67"/>
        <v>39.60567368670241</v>
      </c>
      <c r="Y163" s="65">
        <f>$Y$18/1000*CURVES!K122+$Y$14</f>
        <v>79.448132728494627</v>
      </c>
      <c r="Z163" s="65">
        <f t="shared" si="68"/>
        <v>57.488371567647981</v>
      </c>
      <c r="AA163" s="65">
        <f>CHOOSE(AA$18,CURVES!F122,CURVES!G122)</f>
        <v>37.650710302828315</v>
      </c>
      <c r="AB163" s="65">
        <f t="shared" si="61"/>
        <v>46.799073904423913</v>
      </c>
      <c r="AD163" s="65"/>
      <c r="AH163" s="46">
        <f t="shared" si="132"/>
        <v>1921.095004536046</v>
      </c>
      <c r="AI163" s="46">
        <f t="shared" si="132"/>
        <v>0</v>
      </c>
      <c r="AJ163" s="46">
        <f t="shared" si="132"/>
        <v>1326.4786927345147</v>
      </c>
      <c r="AK163" s="46">
        <f t="shared" si="132"/>
        <v>519.61972313456249</v>
      </c>
      <c r="AL163" s="46">
        <f t="shared" si="133"/>
        <v>3767.1934204051231</v>
      </c>
      <c r="AM163" s="46">
        <f t="shared" si="138"/>
        <v>2024.2479112903225</v>
      </c>
      <c r="AN163" s="46">
        <f t="shared" si="69"/>
        <v>5791.4413316954451</v>
      </c>
      <c r="AO163" s="10">
        <f t="shared" si="62"/>
        <v>7086.3280798276282</v>
      </c>
      <c r="AQ163" s="65">
        <f t="shared" si="63"/>
        <v>43</v>
      </c>
      <c r="AR163" s="65"/>
      <c r="AS163" s="65">
        <f t="shared" si="117"/>
        <v>30</v>
      </c>
      <c r="AT163" s="65">
        <f t="shared" si="117"/>
        <v>38</v>
      </c>
      <c r="AU163" s="65">
        <f t="shared" si="70"/>
        <v>37.732863591833393</v>
      </c>
      <c r="AV163" s="65">
        <f>$Y$18/1000*CURVES!O122+$AV$14</f>
        <v>75.855119288019154</v>
      </c>
      <c r="AW163" s="65">
        <f t="shared" si="71"/>
        <v>51.057508019179842</v>
      </c>
      <c r="AX163" s="65">
        <f>CHOOSE(AX$18,CURVES!B122,CURVES!C122)</f>
        <v>42.087096774193547</v>
      </c>
      <c r="AY163" s="65">
        <f t="shared" si="72"/>
        <v>46.121305555726224</v>
      </c>
    </row>
    <row r="164" spans="1:51">
      <c r="A164" s="75">
        <v>40544</v>
      </c>
      <c r="B164" s="2">
        <f t="shared" si="119"/>
        <v>2011</v>
      </c>
      <c r="C164" s="2">
        <f t="shared" si="64"/>
        <v>1</v>
      </c>
      <c r="D164" s="43">
        <v>6.0369407986013E-2</v>
      </c>
      <c r="E164" s="44">
        <f t="shared" ca="1" si="120"/>
        <v>0.5481565975995587</v>
      </c>
      <c r="F164" s="44"/>
      <c r="G164" s="10"/>
      <c r="H164" s="10">
        <f t="shared" ref="H164:I183" si="141">(1+$I$17)*H152</f>
        <v>14649.855515574696</v>
      </c>
      <c r="I164" s="10">
        <f t="shared" si="141"/>
        <v>13926.514478023817</v>
      </c>
      <c r="K164" s="46">
        <f t="shared" ref="K164:P164" si="142">K152</f>
        <v>2185.9180107526881</v>
      </c>
      <c r="L164" s="46">
        <f t="shared" si="142"/>
        <v>1282.3306451612902</v>
      </c>
      <c r="M164" s="46">
        <f t="shared" si="142"/>
        <v>142.8521505376344</v>
      </c>
      <c r="N164" s="46">
        <f t="shared" si="142"/>
        <v>3.168010752688172</v>
      </c>
      <c r="O164" s="46">
        <f t="shared" si="131"/>
        <v>3614.2688172043008</v>
      </c>
      <c r="P164" s="46">
        <f t="shared" si="142"/>
        <v>2792.6655547379</v>
      </c>
      <c r="Q164" s="46">
        <f t="shared" si="66"/>
        <v>6406.9343719422013</v>
      </c>
      <c r="R164" s="10">
        <f t="shared" si="59"/>
        <v>8242.9211436324968</v>
      </c>
      <c r="T164" s="65">
        <f t="shared" si="60"/>
        <v>48.72</v>
      </c>
      <c r="U164" s="65">
        <f t="shared" si="116"/>
        <v>23</v>
      </c>
      <c r="V164" s="65">
        <f t="shared" si="116"/>
        <v>34</v>
      </c>
      <c r="W164" s="65">
        <f t="shared" si="116"/>
        <v>38</v>
      </c>
      <c r="X164" s="65">
        <f t="shared" si="67"/>
        <v>39.003431946853418</v>
      </c>
      <c r="Y164" s="65">
        <f>$Y$18/1000*CURVES!K123+$Y$14</f>
        <v>80.855132728494624</v>
      </c>
      <c r="Z164" s="65">
        <f t="shared" si="68"/>
        <v>57.245823142856295</v>
      </c>
      <c r="AA164" s="65">
        <f>CHOOSE(AA$18,CURVES!F123,CURVES!G123)</f>
        <v>39.104838709677416</v>
      </c>
      <c r="AB164" s="65">
        <f t="shared" si="61"/>
        <v>47.038575433717916</v>
      </c>
      <c r="AD164" s="65"/>
      <c r="AH164" s="46">
        <f t="shared" si="132"/>
        <v>1826.0560878589888</v>
      </c>
      <c r="AI164" s="46">
        <f t="shared" si="132"/>
        <v>0</v>
      </c>
      <c r="AJ164" s="46">
        <f t="shared" si="132"/>
        <v>1744.0893186443859</v>
      </c>
      <c r="AK164" s="46">
        <f t="shared" si="132"/>
        <v>538.87289280137145</v>
      </c>
      <c r="AL164" s="46">
        <f t="shared" si="133"/>
        <v>4109.0182993047465</v>
      </c>
      <c r="AM164" s="46">
        <f t="shared" si="138"/>
        <v>2445.3687016129034</v>
      </c>
      <c r="AN164" s="46">
        <f t="shared" si="69"/>
        <v>6554.3870009176499</v>
      </c>
      <c r="AO164" s="10">
        <f t="shared" si="62"/>
        <v>7372.1274771061662</v>
      </c>
      <c r="AQ164" s="65">
        <f t="shared" si="63"/>
        <v>43</v>
      </c>
      <c r="AR164" s="65"/>
      <c r="AS164" s="65">
        <f t="shared" si="117"/>
        <v>30</v>
      </c>
      <c r="AT164" s="65">
        <f t="shared" si="117"/>
        <v>38</v>
      </c>
      <c r="AU164" s="65">
        <f t="shared" si="70"/>
        <v>36.826378040059808</v>
      </c>
      <c r="AV164" s="65">
        <f>$Y$18/1000*CURVES!O123+$AV$14</f>
        <v>77.262119288019164</v>
      </c>
      <c r="AW164" s="65">
        <f t="shared" si="71"/>
        <v>51.912502197884784</v>
      </c>
      <c r="AX164" s="65">
        <f>CHOOSE(AX$18,CURVES!B123,CURVES!C123)</f>
        <v>45.920430107526883</v>
      </c>
      <c r="AY164" s="65">
        <f t="shared" si="72"/>
        <v>48.740544176957435</v>
      </c>
    </row>
    <row r="165" spans="1:51">
      <c r="A165" s="75">
        <v>40575</v>
      </c>
      <c r="B165" s="2">
        <f t="shared" si="119"/>
        <v>2011</v>
      </c>
      <c r="C165" s="2">
        <f t="shared" si="64"/>
        <v>2</v>
      </c>
      <c r="D165" s="43">
        <v>6.0406163350888997E-2</v>
      </c>
      <c r="E165" s="44">
        <f t="shared" ca="1" si="120"/>
        <v>0.54546475739771405</v>
      </c>
      <c r="F165" s="44"/>
      <c r="G165" s="10"/>
      <c r="H165" s="10">
        <f t="shared" si="141"/>
        <v>14689.260726298251</v>
      </c>
      <c r="I165" s="10">
        <f t="shared" si="141"/>
        <v>13907.953726719214</v>
      </c>
      <c r="K165" s="46">
        <f t="shared" ref="K165:P165" si="143">K153</f>
        <v>2261.8764367816093</v>
      </c>
      <c r="L165" s="46">
        <f t="shared" si="143"/>
        <v>1335.9798850574712</v>
      </c>
      <c r="M165" s="46">
        <f t="shared" si="143"/>
        <v>236.0028735632184</v>
      </c>
      <c r="N165" s="46">
        <f t="shared" si="143"/>
        <v>3.8491379310344827</v>
      </c>
      <c r="O165" s="46">
        <f t="shared" si="131"/>
        <v>3837.7083333333335</v>
      </c>
      <c r="P165" s="46">
        <f t="shared" si="143"/>
        <v>3011.7717013676738</v>
      </c>
      <c r="Q165" s="46">
        <f t="shared" si="66"/>
        <v>6849.4800347010078</v>
      </c>
      <c r="R165" s="10">
        <f t="shared" si="59"/>
        <v>7839.7806915972433</v>
      </c>
      <c r="T165" s="65">
        <f t="shared" si="60"/>
        <v>48.72</v>
      </c>
      <c r="U165" s="65">
        <f t="shared" si="116"/>
        <v>23</v>
      </c>
      <c r="V165" s="65">
        <f t="shared" si="116"/>
        <v>34</v>
      </c>
      <c r="W165" s="65">
        <f t="shared" si="116"/>
        <v>38</v>
      </c>
      <c r="X165" s="65">
        <f t="shared" si="67"/>
        <v>38.850404811599958</v>
      </c>
      <c r="Y165" s="65">
        <f>$Y$18/1000*CURVES!K124+$Y$14</f>
        <v>79.847132728494643</v>
      </c>
      <c r="Z165" s="65">
        <f t="shared" si="68"/>
        <v>56.876997248286038</v>
      </c>
      <c r="AA165" s="65">
        <f>CHOOSE(AA$18,CURVES!F124,CURVES!G124)</f>
        <v>39.200390364705555</v>
      </c>
      <c r="AB165" s="65">
        <f t="shared" si="61"/>
        <v>47.442845052270656</v>
      </c>
      <c r="AD165" s="65"/>
      <c r="AH165" s="46">
        <f t="shared" si="132"/>
        <v>1925.7468502510062</v>
      </c>
      <c r="AI165" s="46">
        <f t="shared" si="132"/>
        <v>0</v>
      </c>
      <c r="AJ165" s="46">
        <f t="shared" si="132"/>
        <v>2201.9273871825426</v>
      </c>
      <c r="AK165" s="46">
        <f t="shared" si="132"/>
        <v>548.47547775416388</v>
      </c>
      <c r="AL165" s="46">
        <f t="shared" si="133"/>
        <v>4676.1497151877129</v>
      </c>
      <c r="AM165" s="46">
        <f t="shared" si="138"/>
        <v>2161.5456443452381</v>
      </c>
      <c r="AN165" s="46">
        <f t="shared" si="69"/>
        <v>6837.6953595329505</v>
      </c>
      <c r="AO165" s="10">
        <f t="shared" si="62"/>
        <v>7070.2583671862631</v>
      </c>
      <c r="AQ165" s="65">
        <f t="shared" si="63"/>
        <v>43</v>
      </c>
      <c r="AR165" s="65"/>
      <c r="AS165" s="65">
        <f t="shared" si="117"/>
        <v>30</v>
      </c>
      <c r="AT165" s="65">
        <f t="shared" si="117"/>
        <v>38</v>
      </c>
      <c r="AU165" s="65">
        <f t="shared" si="70"/>
        <v>36.29203825098557</v>
      </c>
      <c r="AV165" s="65">
        <f>$Y$18/1000*CURVES!O124+$AV$14</f>
        <v>76.254119288019155</v>
      </c>
      <c r="AW165" s="65">
        <f t="shared" si="71"/>
        <v>48.924929548803142</v>
      </c>
      <c r="AX165" s="65">
        <f>CHOOSE(AX$18,CURVES!B124,CURVES!C124)</f>
        <v>44.878571428571426</v>
      </c>
      <c r="AY165" s="65">
        <f t="shared" si="72"/>
        <v>46.867919731374812</v>
      </c>
    </row>
    <row r="166" spans="1:51">
      <c r="A166" s="75">
        <v>40603</v>
      </c>
      <c r="B166" s="2">
        <f t="shared" si="119"/>
        <v>2011</v>
      </c>
      <c r="C166" s="2">
        <f t="shared" si="64"/>
        <v>3</v>
      </c>
      <c r="D166" s="43">
        <v>6.0428297419457003E-2</v>
      </c>
      <c r="E166" s="44">
        <f t="shared" ca="1" si="120"/>
        <v>0.54259684035367006</v>
      </c>
      <c r="F166" s="44"/>
      <c r="G166" s="10"/>
      <c r="H166" s="10">
        <f t="shared" si="141"/>
        <v>14604.22219485278</v>
      </c>
      <c r="I166" s="10">
        <f t="shared" si="141"/>
        <v>13595.724699948227</v>
      </c>
      <c r="K166" s="46">
        <f t="shared" ref="K166:P166" si="144">K154</f>
        <v>2263.9462365591398</v>
      </c>
      <c r="L166" s="46">
        <f t="shared" si="144"/>
        <v>1258.630376344086</v>
      </c>
      <c r="M166" s="46">
        <f t="shared" si="144"/>
        <v>620.64650537634407</v>
      </c>
      <c r="N166" s="46">
        <f t="shared" si="144"/>
        <v>2.581989247311828</v>
      </c>
      <c r="O166" s="46">
        <f t="shared" si="131"/>
        <v>4145.8051075268813</v>
      </c>
      <c r="P166" s="46">
        <f t="shared" si="144"/>
        <v>2834.3973290285558</v>
      </c>
      <c r="Q166" s="46">
        <f t="shared" si="66"/>
        <v>6980.2024365554371</v>
      </c>
      <c r="R166" s="10">
        <f t="shared" si="59"/>
        <v>7624.0197582973433</v>
      </c>
      <c r="T166" s="65">
        <f t="shared" si="60"/>
        <v>48.72</v>
      </c>
      <c r="U166" s="65">
        <f t="shared" ref="U166:W185" si="145">U$18</f>
        <v>23</v>
      </c>
      <c r="V166" s="65">
        <f t="shared" si="145"/>
        <v>34</v>
      </c>
      <c r="W166" s="65">
        <f t="shared" si="145"/>
        <v>38</v>
      </c>
      <c r="X166" s="65">
        <f t="shared" si="67"/>
        <v>38.701302138870133</v>
      </c>
      <c r="Y166" s="65">
        <f>$Y$18/1000*CURVES!K125+$Y$14</f>
        <v>78.272132728494626</v>
      </c>
      <c r="Z166" s="65">
        <f t="shared" si="68"/>
        <v>54.769526169636372</v>
      </c>
      <c r="AA166" s="65">
        <f>CHOOSE(AA$18,CURVES!F125,CURVES!G125)</f>
        <v>38.892332144781456</v>
      </c>
      <c r="AB166" s="65">
        <f t="shared" si="61"/>
        <v>46.48096144247976</v>
      </c>
      <c r="AD166" s="65"/>
      <c r="AH166" s="46">
        <f t="shared" si="132"/>
        <v>1891.2387324311178</v>
      </c>
      <c r="AI166" s="46">
        <f t="shared" si="132"/>
        <v>0</v>
      </c>
      <c r="AJ166" s="46">
        <f t="shared" si="132"/>
        <v>1966.5504926356311</v>
      </c>
      <c r="AK166" s="46">
        <f t="shared" si="132"/>
        <v>526.07330501492243</v>
      </c>
      <c r="AL166" s="46">
        <f t="shared" si="133"/>
        <v>4383.8625300816711</v>
      </c>
      <c r="AM166" s="46">
        <f t="shared" si="138"/>
        <v>2044.2222728494623</v>
      </c>
      <c r="AN166" s="46">
        <f t="shared" si="69"/>
        <v>6428.0848029311337</v>
      </c>
      <c r="AO166" s="10">
        <f t="shared" si="62"/>
        <v>7167.6398970170931</v>
      </c>
      <c r="AQ166" s="65">
        <f t="shared" si="63"/>
        <v>43</v>
      </c>
      <c r="AR166" s="65"/>
      <c r="AS166" s="65">
        <f t="shared" ref="AS166:AT185" si="146">AS$18</f>
        <v>30</v>
      </c>
      <c r="AT166" s="65">
        <f t="shared" si="146"/>
        <v>38</v>
      </c>
      <c r="AU166" s="65">
        <f t="shared" si="70"/>
        <v>36.56833779894724</v>
      </c>
      <c r="AV166" s="65">
        <f>$Y$18/1000*CURVES!O125+$AV$14</f>
        <v>74.679119288019152</v>
      </c>
      <c r="AW166" s="65">
        <f t="shared" si="71"/>
        <v>48.68810764394604</v>
      </c>
      <c r="AX166" s="65">
        <f>CHOOSE(AX$18,CURVES!B125,CURVES!C125)</f>
        <v>42.917741935483875</v>
      </c>
      <c r="AY166" s="65">
        <f t="shared" si="72"/>
        <v>45.645981947438649</v>
      </c>
    </row>
    <row r="167" spans="1:51">
      <c r="A167" s="75">
        <v>40634</v>
      </c>
      <c r="B167" s="2">
        <f t="shared" si="119"/>
        <v>2011</v>
      </c>
      <c r="C167" s="2">
        <f t="shared" si="64"/>
        <v>4</v>
      </c>
      <c r="D167" s="43">
        <v>6.0452802995560002E-2</v>
      </c>
      <c r="E167" s="44">
        <f t="shared" ca="1" si="120"/>
        <v>0.53981718477992768</v>
      </c>
      <c r="F167" s="44"/>
      <c r="G167" s="10"/>
      <c r="H167" s="10">
        <f t="shared" si="141"/>
        <v>14669.02569598944</v>
      </c>
      <c r="I167" s="10">
        <f t="shared" si="141"/>
        <v>13281.619978491441</v>
      </c>
      <c r="K167" s="46">
        <f t="shared" ref="K167:P167" si="147">K155</f>
        <v>2319.8402777777778</v>
      </c>
      <c r="L167" s="46">
        <f t="shared" si="147"/>
        <v>1179.1659722222223</v>
      </c>
      <c r="M167" s="46">
        <f t="shared" si="147"/>
        <v>811.58611111111111</v>
      </c>
      <c r="N167" s="46">
        <f t="shared" si="147"/>
        <v>3.0416666666666665</v>
      </c>
      <c r="O167" s="46">
        <f t="shared" si="131"/>
        <v>4313.6340277777781</v>
      </c>
      <c r="P167" s="46">
        <f t="shared" si="147"/>
        <v>2923.3945906815438</v>
      </c>
      <c r="Q167" s="46">
        <f t="shared" si="66"/>
        <v>7237.0286184593224</v>
      </c>
      <c r="R167" s="10">
        <f t="shared" si="59"/>
        <v>7431.9970775301172</v>
      </c>
      <c r="T167" s="65">
        <f t="shared" si="60"/>
        <v>48.72</v>
      </c>
      <c r="U167" s="65">
        <f t="shared" si="145"/>
        <v>23</v>
      </c>
      <c r="V167" s="65">
        <f t="shared" si="145"/>
        <v>34</v>
      </c>
      <c r="W167" s="65">
        <f t="shared" si="145"/>
        <v>38</v>
      </c>
      <c r="X167" s="65">
        <f t="shared" si="67"/>
        <v>38.912189982891782</v>
      </c>
      <c r="Y167" s="65">
        <f>$Y$18/1000*CURVES!K126+$Y$14</f>
        <v>77.610632728494636</v>
      </c>
      <c r="Z167" s="65">
        <f t="shared" si="68"/>
        <v>54.544409247816979</v>
      </c>
      <c r="AA167" s="65">
        <f>CHOOSE(AA$18,CURVES!F126,CURVES!G126)</f>
        <v>37.713333333333331</v>
      </c>
      <c r="AB167" s="65">
        <f t="shared" si="61"/>
        <v>46.017018976605605</v>
      </c>
      <c r="AD167" s="65"/>
      <c r="AH167" s="46">
        <f t="shared" si="132"/>
        <v>1937.9310849074075</v>
      </c>
      <c r="AI167" s="46">
        <f t="shared" si="132"/>
        <v>0</v>
      </c>
      <c r="AJ167" s="46">
        <f t="shared" si="132"/>
        <v>2070.9500209392572</v>
      </c>
      <c r="AK167" s="46">
        <f t="shared" si="132"/>
        <v>513.91932921853174</v>
      </c>
      <c r="AL167" s="46">
        <f t="shared" si="133"/>
        <v>4522.8004350651963</v>
      </c>
      <c r="AM167" s="46">
        <f t="shared" si="138"/>
        <v>2152.9968589041096</v>
      </c>
      <c r="AN167" s="46">
        <f t="shared" si="69"/>
        <v>6675.7972939693063</v>
      </c>
      <c r="AO167" s="10">
        <f t="shared" si="62"/>
        <v>6605.8226845221361</v>
      </c>
      <c r="AQ167" s="65">
        <f t="shared" si="63"/>
        <v>43</v>
      </c>
      <c r="AR167" s="65"/>
      <c r="AS167" s="65">
        <f t="shared" si="146"/>
        <v>30</v>
      </c>
      <c r="AT167" s="65">
        <f t="shared" si="146"/>
        <v>38</v>
      </c>
      <c r="AU167" s="65">
        <f t="shared" si="70"/>
        <v>36.479272998726103</v>
      </c>
      <c r="AV167" s="65">
        <f>$Y$18/1000*CURVES!O126+$AV$14</f>
        <v>72.757619288019157</v>
      </c>
      <c r="AW167" s="65">
        <f t="shared" si="71"/>
        <v>48.179323519679293</v>
      </c>
      <c r="AX167" s="65">
        <f>CHOOSE(AX$18,CURVES!B126,CURVES!C126)</f>
        <v>40.997777777777777</v>
      </c>
      <c r="AY167" s="65">
        <f t="shared" si="72"/>
        <v>44.607468742279266</v>
      </c>
    </row>
    <row r="168" spans="1:51">
      <c r="A168" s="75">
        <v>40664</v>
      </c>
      <c r="B168" s="2">
        <f t="shared" si="119"/>
        <v>2011</v>
      </c>
      <c r="C168" s="2">
        <f t="shared" si="64"/>
        <v>5</v>
      </c>
      <c r="D168" s="43">
        <v>6.0476518069398001E-2</v>
      </c>
      <c r="E168" s="44">
        <f t="shared" ca="1" si="120"/>
        <v>0.53696637373401868</v>
      </c>
      <c r="F168" s="44"/>
      <c r="G168" s="10"/>
      <c r="H168" s="10">
        <f t="shared" si="141"/>
        <v>15500.742264081131</v>
      </c>
      <c r="I168" s="10">
        <f t="shared" si="141"/>
        <v>14467.246809159449</v>
      </c>
      <c r="K168" s="46">
        <f t="shared" ref="K168:P168" si="148">K156</f>
        <v>2226.0672043010754</v>
      </c>
      <c r="L168" s="46">
        <f t="shared" si="148"/>
        <v>1023.6263440860215</v>
      </c>
      <c r="M168" s="46">
        <f t="shared" si="148"/>
        <v>950.16532258064512</v>
      </c>
      <c r="N168" s="46">
        <f t="shared" si="148"/>
        <v>3.3051075268817205</v>
      </c>
      <c r="O168" s="46">
        <f t="shared" si="131"/>
        <v>4203.1639784946237</v>
      </c>
      <c r="P168" s="46">
        <f t="shared" si="148"/>
        <v>2831.510502104928</v>
      </c>
      <c r="Q168" s="46">
        <f t="shared" si="66"/>
        <v>7034.6744805995513</v>
      </c>
      <c r="R168" s="10">
        <f t="shared" si="59"/>
        <v>8466.0677834815797</v>
      </c>
      <c r="T168" s="65">
        <f t="shared" si="60"/>
        <v>48.72</v>
      </c>
      <c r="U168" s="65">
        <f t="shared" si="145"/>
        <v>23</v>
      </c>
      <c r="V168" s="65">
        <f t="shared" si="145"/>
        <v>34</v>
      </c>
      <c r="W168" s="65">
        <f t="shared" si="145"/>
        <v>38</v>
      </c>
      <c r="X168" s="65">
        <f t="shared" si="67"/>
        <v>39.120199926194871</v>
      </c>
      <c r="Y168" s="65">
        <f>$Y$18/1000*CURVES!K127+$Y$14</f>
        <v>77.348132728494619</v>
      </c>
      <c r="Z168" s="65">
        <f t="shared" si="68"/>
        <v>54.507236455317667</v>
      </c>
      <c r="AA168" s="65">
        <f>CHOOSE(AA$18,CURVES!F127,CURVES!G127)</f>
        <v>36.867293717769435</v>
      </c>
      <c r="AB168" s="65">
        <f t="shared" si="61"/>
        <v>44.872797770476424</v>
      </c>
      <c r="AD168" s="65"/>
      <c r="AH168" s="46">
        <f t="shared" si="132"/>
        <v>1895.2591032026239</v>
      </c>
      <c r="AI168" s="46">
        <f t="shared" si="132"/>
        <v>0</v>
      </c>
      <c r="AJ168" s="46">
        <f t="shared" si="132"/>
        <v>1877.6303324734643</v>
      </c>
      <c r="AK168" s="46">
        <f t="shared" si="132"/>
        <v>570.53181663934993</v>
      </c>
      <c r="AL168" s="46">
        <f t="shared" si="133"/>
        <v>4343.4212523154383</v>
      </c>
      <c r="AM168" s="46">
        <f t="shared" si="138"/>
        <v>2186.8418319892476</v>
      </c>
      <c r="AN168" s="46">
        <f t="shared" si="69"/>
        <v>6530.2630843046863</v>
      </c>
      <c r="AO168" s="10">
        <f t="shared" si="62"/>
        <v>7936.9837248547628</v>
      </c>
      <c r="AQ168" s="65">
        <f t="shared" si="63"/>
        <v>43</v>
      </c>
      <c r="AR168" s="65"/>
      <c r="AS168" s="65">
        <f t="shared" si="146"/>
        <v>30</v>
      </c>
      <c r="AT168" s="65">
        <f t="shared" si="146"/>
        <v>38</v>
      </c>
      <c r="AU168" s="65">
        <f t="shared" si="70"/>
        <v>36.723414833221909</v>
      </c>
      <c r="AV168" s="65">
        <f>$Y$18/1000*CURVES!O127+$AV$14</f>
        <v>72.495119288019154</v>
      </c>
      <c r="AW168" s="65">
        <f t="shared" si="71"/>
        <v>48.70257381861154</v>
      </c>
      <c r="AX168" s="65">
        <f>CHOOSE(AX$18,CURVES!B127,CURVES!C127)</f>
        <v>40.498387096774195</v>
      </c>
      <c r="AY168" s="65">
        <f t="shared" si="72"/>
        <v>44.201614006018431</v>
      </c>
    </row>
    <row r="169" spans="1:51">
      <c r="A169" s="75">
        <v>40695</v>
      </c>
      <c r="B169" s="2">
        <f t="shared" si="119"/>
        <v>2011</v>
      </c>
      <c r="C169" s="2">
        <f t="shared" si="64"/>
        <v>6</v>
      </c>
      <c r="D169" s="43">
        <v>6.0501023645894998E-2</v>
      </c>
      <c r="E169" s="44">
        <f t="shared" ca="1" si="120"/>
        <v>0.53421138950205527</v>
      </c>
      <c r="F169" s="44"/>
      <c r="G169" s="10"/>
      <c r="H169" s="10">
        <f t="shared" si="141"/>
        <v>17130.21108563969</v>
      </c>
      <c r="I169" s="10">
        <f t="shared" si="141"/>
        <v>16313.648419997588</v>
      </c>
      <c r="K169" s="46">
        <f t="shared" ref="K169:P169" si="149">K157</f>
        <v>2252.1333333333332</v>
      </c>
      <c r="L169" s="46">
        <f t="shared" si="149"/>
        <v>1398.3916666666667</v>
      </c>
      <c r="M169" s="46">
        <f t="shared" si="149"/>
        <v>957.04027777777776</v>
      </c>
      <c r="N169" s="46">
        <f t="shared" si="149"/>
        <v>3.526388888888889</v>
      </c>
      <c r="O169" s="46">
        <f t="shared" si="131"/>
        <v>4611.0916666666662</v>
      </c>
      <c r="P169" s="46">
        <f t="shared" si="149"/>
        <v>3175.7411781346573</v>
      </c>
      <c r="Q169" s="46">
        <f t="shared" si="66"/>
        <v>7786.8328448013235</v>
      </c>
      <c r="R169" s="10">
        <f t="shared" si="59"/>
        <v>9343.3782408383668</v>
      </c>
      <c r="T169" s="65">
        <f t="shared" si="60"/>
        <v>48.72</v>
      </c>
      <c r="U169" s="65">
        <f t="shared" si="145"/>
        <v>23</v>
      </c>
      <c r="V169" s="65">
        <f t="shared" si="145"/>
        <v>34</v>
      </c>
      <c r="W169" s="65">
        <f t="shared" si="145"/>
        <v>38</v>
      </c>
      <c r="X169" s="65">
        <f t="shared" si="67"/>
        <v>37.856613829094464</v>
      </c>
      <c r="Y169" s="65">
        <f>$Y$18/1000*CURVES!K128+$Y$14</f>
        <v>77.652632728494623</v>
      </c>
      <c r="Z169" s="65">
        <f t="shared" si="68"/>
        <v>54.086814022620608</v>
      </c>
      <c r="AA169" s="65">
        <f>CHOOSE(AA$18,CURVES!F128,CURVES!G128)</f>
        <v>48.335429426473993</v>
      </c>
      <c r="AB169" s="65">
        <f t="shared" si="61"/>
        <v>50.949820472355633</v>
      </c>
      <c r="AD169" s="65"/>
      <c r="AH169" s="46">
        <f t="shared" si="132"/>
        <v>1881.3705563400365</v>
      </c>
      <c r="AI169" s="46">
        <f t="shared" si="132"/>
        <v>0</v>
      </c>
      <c r="AJ169" s="46">
        <f t="shared" si="132"/>
        <v>1162.1616861734683</v>
      </c>
      <c r="AK169" s="46">
        <f t="shared" si="132"/>
        <v>631.24071210358352</v>
      </c>
      <c r="AL169" s="46">
        <f t="shared" si="133"/>
        <v>3674.7729546170881</v>
      </c>
      <c r="AM169" s="46">
        <f t="shared" si="138"/>
        <v>2754.0461410958906</v>
      </c>
      <c r="AN169" s="46">
        <f t="shared" si="69"/>
        <v>6428.8190957129791</v>
      </c>
      <c r="AO169" s="10">
        <f t="shared" si="62"/>
        <v>9884.8293242846084</v>
      </c>
      <c r="AQ169" s="65">
        <f t="shared" si="63"/>
        <v>43</v>
      </c>
      <c r="AR169" s="65"/>
      <c r="AS169" s="65">
        <f t="shared" si="146"/>
        <v>30</v>
      </c>
      <c r="AT169" s="65">
        <f t="shared" si="146"/>
        <v>38</v>
      </c>
      <c r="AU169" s="65">
        <f t="shared" si="70"/>
        <v>38.029813894263803</v>
      </c>
      <c r="AV169" s="65">
        <f>$Y$18/1000*CURVES!O128+$AV$14</f>
        <v>72.799619288019159</v>
      </c>
      <c r="AW169" s="65">
        <f t="shared" si="71"/>
        <v>52.924874238267329</v>
      </c>
      <c r="AX169" s="65">
        <f>CHOOSE(AX$18,CURVES!B128,CURVES!C128)</f>
        <v>46.208888888888886</v>
      </c>
      <c r="AY169" s="65">
        <f t="shared" si="72"/>
        <v>48.855498264611789</v>
      </c>
    </row>
    <row r="170" spans="1:51">
      <c r="A170" s="75">
        <v>40725</v>
      </c>
      <c r="B170" s="2">
        <f t="shared" si="119"/>
        <v>2011</v>
      </c>
      <c r="C170" s="2">
        <f t="shared" si="64"/>
        <v>7</v>
      </c>
      <c r="D170" s="43">
        <v>6.0524738720112999E-2</v>
      </c>
      <c r="E170" s="44">
        <f t="shared" ca="1" si="120"/>
        <v>0.5313860322500128</v>
      </c>
      <c r="F170" s="44"/>
      <c r="G170" s="10"/>
      <c r="H170" s="10">
        <f t="shared" si="141"/>
        <v>16907.392529961238</v>
      </c>
      <c r="I170" s="10">
        <f t="shared" si="141"/>
        <v>15486.395255870346</v>
      </c>
      <c r="K170" s="46">
        <f t="shared" ref="K170:P170" si="150">K158</f>
        <v>2248.4569892473119</v>
      </c>
      <c r="L170" s="46">
        <f t="shared" si="150"/>
        <v>1358.3225806451612</v>
      </c>
      <c r="M170" s="46">
        <f t="shared" si="150"/>
        <v>653.55107526881716</v>
      </c>
      <c r="N170" s="46">
        <f t="shared" si="150"/>
        <v>3.8373655913978495</v>
      </c>
      <c r="O170" s="46">
        <f t="shared" si="131"/>
        <v>4264.1680107526872</v>
      </c>
      <c r="P170" s="46">
        <f t="shared" si="150"/>
        <v>3349.3895623880758</v>
      </c>
      <c r="Q170" s="46">
        <f t="shared" si="66"/>
        <v>7613.5575731407625</v>
      </c>
      <c r="R170" s="10">
        <f t="shared" si="59"/>
        <v>9293.834956820474</v>
      </c>
      <c r="T170" s="65">
        <f t="shared" si="60"/>
        <v>48.72</v>
      </c>
      <c r="U170" s="65">
        <f t="shared" si="145"/>
        <v>23</v>
      </c>
      <c r="V170" s="65">
        <f t="shared" si="145"/>
        <v>34</v>
      </c>
      <c r="W170" s="65">
        <f t="shared" si="145"/>
        <v>38</v>
      </c>
      <c r="X170" s="65">
        <f t="shared" si="67"/>
        <v>38.261344278923424</v>
      </c>
      <c r="Y170" s="65">
        <f>$Y$18/1000*CURVES!K129+$Y$14</f>
        <v>77.967632728494621</v>
      </c>
      <c r="Z170" s="65">
        <f t="shared" si="68"/>
        <v>55.729108437341928</v>
      </c>
      <c r="AA170" s="65">
        <f>CHOOSE(AA$18,CURVES!F129,CURVES!G129)</f>
        <v>58.998924731182797</v>
      </c>
      <c r="AB170" s="65">
        <f t="shared" si="61"/>
        <v>57.526495758907174</v>
      </c>
      <c r="AD170" s="65"/>
      <c r="AH170" s="46">
        <f t="shared" si="132"/>
        <v>1914.3216201186069</v>
      </c>
      <c r="AI170" s="46">
        <f t="shared" si="132"/>
        <v>0</v>
      </c>
      <c r="AJ170" s="46">
        <f t="shared" si="132"/>
        <v>1193.3319743059751</v>
      </c>
      <c r="AK170" s="46">
        <f t="shared" si="132"/>
        <v>610.72305844211053</v>
      </c>
      <c r="AL170" s="46">
        <f t="shared" si="133"/>
        <v>3718.3766528666924</v>
      </c>
      <c r="AM170" s="46">
        <f t="shared" si="138"/>
        <v>2586.7318602150535</v>
      </c>
      <c r="AN170" s="46">
        <f t="shared" si="69"/>
        <v>6305.1085130817464</v>
      </c>
      <c r="AO170" s="10">
        <f t="shared" si="62"/>
        <v>9181.2867427885994</v>
      </c>
      <c r="AQ170" s="65">
        <f t="shared" si="63"/>
        <v>43</v>
      </c>
      <c r="AR170" s="65"/>
      <c r="AS170" s="65">
        <f t="shared" si="146"/>
        <v>30</v>
      </c>
      <c r="AT170" s="65">
        <f t="shared" si="146"/>
        <v>38</v>
      </c>
      <c r="AU170" s="65">
        <f t="shared" si="70"/>
        <v>38.006710537547619</v>
      </c>
      <c r="AV170" s="65">
        <f>$Y$18/1000*CURVES!O129+$AV$14</f>
        <v>73.114619288019156</v>
      </c>
      <c r="AW170" s="65">
        <f t="shared" si="71"/>
        <v>52.410070277026563</v>
      </c>
      <c r="AX170" s="65">
        <f>CHOOSE(AX$18,CURVES!B129,CURVES!C129)</f>
        <v>57.445161290322574</v>
      </c>
      <c r="AY170" s="65">
        <f t="shared" si="72"/>
        <v>55.395181634789758</v>
      </c>
    </row>
    <row r="171" spans="1:51">
      <c r="A171" s="75">
        <v>40756</v>
      </c>
      <c r="B171" s="2">
        <f t="shared" si="119"/>
        <v>2011</v>
      </c>
      <c r="C171" s="2">
        <f t="shared" si="64"/>
        <v>8</v>
      </c>
      <c r="D171" s="43">
        <v>6.0549244297002001E-2</v>
      </c>
      <c r="E171" s="44">
        <f t="shared" ca="1" si="120"/>
        <v>0.52856921918656685</v>
      </c>
      <c r="F171" s="44"/>
      <c r="G171" s="10"/>
      <c r="H171" s="10">
        <f t="shared" si="141"/>
        <v>18131.011499765435</v>
      </c>
      <c r="I171" s="10">
        <f t="shared" si="141"/>
        <v>16061.954382997761</v>
      </c>
      <c r="K171" s="46">
        <f t="shared" ref="K171:P171" si="151">K159</f>
        <v>2226.0658602150538</v>
      </c>
      <c r="L171" s="46">
        <f t="shared" si="151"/>
        <v>1361.989247311828</v>
      </c>
      <c r="M171" s="46">
        <f t="shared" si="151"/>
        <v>483.36424731182797</v>
      </c>
      <c r="N171" s="46">
        <f t="shared" si="151"/>
        <v>3.924731182795699</v>
      </c>
      <c r="O171" s="46">
        <f t="shared" si="131"/>
        <v>4075.3440860215055</v>
      </c>
      <c r="P171" s="46">
        <f t="shared" si="151"/>
        <v>3426.252928840011</v>
      </c>
      <c r="Q171" s="46">
        <f t="shared" si="66"/>
        <v>7501.5970148615161</v>
      </c>
      <c r="R171" s="10">
        <f t="shared" si="59"/>
        <v>10629.414484903918</v>
      </c>
      <c r="T171" s="65">
        <f t="shared" si="60"/>
        <v>48.72</v>
      </c>
      <c r="U171" s="65">
        <f t="shared" si="145"/>
        <v>23</v>
      </c>
      <c r="V171" s="65">
        <f t="shared" si="145"/>
        <v>34</v>
      </c>
      <c r="W171" s="65">
        <f t="shared" si="145"/>
        <v>38</v>
      </c>
      <c r="X171" s="65">
        <f t="shared" si="67"/>
        <v>38.368099058856423</v>
      </c>
      <c r="Y171" s="65">
        <f>$Y$18/1000*CURVES!K130+$Y$14</f>
        <v>78.177632728494615</v>
      </c>
      <c r="Z171" s="65">
        <f t="shared" si="68"/>
        <v>56.55056488061863</v>
      </c>
      <c r="AA171" s="65">
        <f>CHOOSE(AA$18,CURVES!F130,CURVES!G130)</f>
        <v>63.555016077867222</v>
      </c>
      <c r="AB171" s="65">
        <f t="shared" si="61"/>
        <v>60.65696650171958</v>
      </c>
      <c r="AD171" s="65"/>
      <c r="AH171" s="46">
        <f t="shared" si="132"/>
        <v>1859.5945026415061</v>
      </c>
      <c r="AI171" s="46">
        <f t="shared" si="132"/>
        <v>0</v>
      </c>
      <c r="AJ171" s="46">
        <f t="shared" si="132"/>
        <v>1584.5088037693729</v>
      </c>
      <c r="AK171" s="46">
        <f t="shared" si="132"/>
        <v>621.50165686237608</v>
      </c>
      <c r="AL171" s="46">
        <f t="shared" si="133"/>
        <v>4065.6049632732547</v>
      </c>
      <c r="AM171" s="46">
        <f t="shared" si="138"/>
        <v>2208.289016129032</v>
      </c>
      <c r="AN171" s="46">
        <f t="shared" si="69"/>
        <v>6273.8939794022863</v>
      </c>
      <c r="AO171" s="10">
        <f t="shared" si="62"/>
        <v>9788.060403595473</v>
      </c>
      <c r="AQ171" s="65">
        <f t="shared" si="63"/>
        <v>43</v>
      </c>
      <c r="AR171" s="65"/>
      <c r="AS171" s="65">
        <f t="shared" si="146"/>
        <v>30</v>
      </c>
      <c r="AT171" s="65">
        <f t="shared" si="146"/>
        <v>38</v>
      </c>
      <c r="AU171" s="65">
        <f t="shared" si="70"/>
        <v>37.169103258318607</v>
      </c>
      <c r="AV171" s="65">
        <f>$Y$18/1000*CURVES!O130+$AV$14</f>
        <v>73.324619288019164</v>
      </c>
      <c r="AW171" s="65">
        <f t="shared" si="71"/>
        <v>49.895143765696041</v>
      </c>
      <c r="AX171" s="65">
        <f>CHOOSE(AX$18,CURVES!B130,CURVES!C130)</f>
        <v>67.679032258064524</v>
      </c>
      <c r="AY171" s="65">
        <f t="shared" si="72"/>
        <v>60.732540674155018</v>
      </c>
    </row>
    <row r="172" spans="1:51">
      <c r="A172" s="75">
        <v>40787</v>
      </c>
      <c r="B172" s="2">
        <f t="shared" si="119"/>
        <v>2011</v>
      </c>
      <c r="C172" s="2">
        <f t="shared" si="64"/>
        <v>9</v>
      </c>
      <c r="D172" s="43">
        <v>6.0573749874089998E-2</v>
      </c>
      <c r="E172" s="44">
        <f t="shared" ca="1" si="120"/>
        <v>0.52585112307969273</v>
      </c>
      <c r="F172" s="44"/>
      <c r="G172" s="10"/>
      <c r="H172" s="10">
        <f t="shared" si="141"/>
        <v>16423.281436889265</v>
      </c>
      <c r="I172" s="10">
        <f t="shared" si="141"/>
        <v>15129.329776856588</v>
      </c>
      <c r="K172" s="46">
        <f t="shared" ref="K172:P172" si="152">K160</f>
        <v>2263.6333333333332</v>
      </c>
      <c r="L172" s="46">
        <f t="shared" si="152"/>
        <v>1380.7361111111111</v>
      </c>
      <c r="M172" s="46">
        <f t="shared" si="152"/>
        <v>542.60277777777776</v>
      </c>
      <c r="N172" s="46">
        <f t="shared" si="152"/>
        <v>3.4194444444444443</v>
      </c>
      <c r="O172" s="46">
        <f t="shared" si="131"/>
        <v>4190.3916666666673</v>
      </c>
      <c r="P172" s="46">
        <f t="shared" si="152"/>
        <v>3348.1339323547272</v>
      </c>
      <c r="Q172" s="46">
        <f t="shared" si="66"/>
        <v>7538.5255990213946</v>
      </c>
      <c r="R172" s="10">
        <f t="shared" si="59"/>
        <v>8884.7558378678714</v>
      </c>
      <c r="T172" s="65">
        <f t="shared" si="60"/>
        <v>48.72</v>
      </c>
      <c r="U172" s="65">
        <f t="shared" si="145"/>
        <v>23</v>
      </c>
      <c r="V172" s="65">
        <f t="shared" si="145"/>
        <v>34</v>
      </c>
      <c r="W172" s="65">
        <f t="shared" si="145"/>
        <v>38</v>
      </c>
      <c r="X172" s="65">
        <f t="shared" si="67"/>
        <v>38.330445615995849</v>
      </c>
      <c r="Y172" s="65">
        <f>$Y$18/1000*CURVES!K131+$Y$14</f>
        <v>78.39813272849463</v>
      </c>
      <c r="Z172" s="65">
        <f t="shared" si="68"/>
        <v>56.125965582094288</v>
      </c>
      <c r="AA172" s="65">
        <f>CHOOSE(AA$18,CURVES!F131,CURVES!G131)</f>
        <v>57.47609563005814</v>
      </c>
      <c r="AB172" s="65">
        <f t="shared" si="61"/>
        <v>56.85636625577353</v>
      </c>
      <c r="AD172" s="65"/>
      <c r="AH172" s="46">
        <f t="shared" si="132"/>
        <v>1890.9773416389726</v>
      </c>
      <c r="AI172" s="46">
        <f t="shared" si="132"/>
        <v>0</v>
      </c>
      <c r="AJ172" s="46">
        <f t="shared" si="132"/>
        <v>765.82060543821262</v>
      </c>
      <c r="AK172" s="46">
        <f t="shared" si="132"/>
        <v>570.92254509204622</v>
      </c>
      <c r="AL172" s="46">
        <f t="shared" si="133"/>
        <v>3227.7204921692314</v>
      </c>
      <c r="AM172" s="46">
        <f t="shared" si="138"/>
        <v>2371.5769315068492</v>
      </c>
      <c r="AN172" s="46">
        <f t="shared" si="69"/>
        <v>5599.2974236760801</v>
      </c>
      <c r="AO172" s="10">
        <f t="shared" si="62"/>
        <v>9530.0323531805079</v>
      </c>
      <c r="AQ172" s="65">
        <f t="shared" si="63"/>
        <v>43</v>
      </c>
      <c r="AR172" s="65"/>
      <c r="AS172" s="65">
        <f t="shared" si="146"/>
        <v>30</v>
      </c>
      <c r="AT172" s="65">
        <f t="shared" si="146"/>
        <v>38</v>
      </c>
      <c r="AU172" s="65">
        <f t="shared" si="70"/>
        <v>39.031167931908605</v>
      </c>
      <c r="AV172" s="65">
        <f>$Y$18/1000*CURVES!O131+$AV$14</f>
        <v>73.545119288019151</v>
      </c>
      <c r="AW172" s="65">
        <f t="shared" si="71"/>
        <v>53.649518174422262</v>
      </c>
      <c r="AX172" s="65">
        <f>CHOOSE(AX$18,CURVES!B131,CURVES!C131)</f>
        <v>58.827777777777769</v>
      </c>
      <c r="AY172" s="65">
        <f t="shared" si="72"/>
        <v>56.911327010702308</v>
      </c>
    </row>
    <row r="173" spans="1:51">
      <c r="A173" s="75">
        <v>40817</v>
      </c>
      <c r="B173" s="2">
        <f t="shared" si="119"/>
        <v>2011</v>
      </c>
      <c r="C173" s="2">
        <f t="shared" si="64"/>
        <v>10</v>
      </c>
      <c r="D173" s="43">
        <v>6.0597464948880998E-2</v>
      </c>
      <c r="E173" s="44">
        <f t="shared" ca="1" si="120"/>
        <v>0.52306382001124452</v>
      </c>
      <c r="F173" s="44"/>
      <c r="G173" s="10"/>
      <c r="H173" s="10">
        <f t="shared" si="141"/>
        <v>15257.211386904</v>
      </c>
      <c r="I173" s="10">
        <f t="shared" si="141"/>
        <v>13095.526266618133</v>
      </c>
      <c r="K173" s="46">
        <f t="shared" ref="K173:P173" si="153">K161</f>
        <v>2069.2916666666665</v>
      </c>
      <c r="L173" s="46">
        <f t="shared" si="153"/>
        <v>1227.5241935483871</v>
      </c>
      <c r="M173" s="46">
        <f t="shared" si="153"/>
        <v>369.34005376344084</v>
      </c>
      <c r="N173" s="46">
        <f t="shared" si="153"/>
        <v>3.278225806451613</v>
      </c>
      <c r="O173" s="46">
        <f t="shared" si="131"/>
        <v>3669.4341397849457</v>
      </c>
      <c r="P173" s="46">
        <f t="shared" si="153"/>
        <v>3171.075494984625</v>
      </c>
      <c r="Q173" s="46">
        <f t="shared" si="66"/>
        <v>6840.5096347695708</v>
      </c>
      <c r="R173" s="10">
        <f t="shared" ref="R173:R236" si="154">H173-O173-P173</f>
        <v>8416.7017521344296</v>
      </c>
      <c r="T173" s="65">
        <f t="shared" ref="T173:T236" si="155">$T$18</f>
        <v>48.72</v>
      </c>
      <c r="U173" s="65">
        <f t="shared" si="145"/>
        <v>23</v>
      </c>
      <c r="V173" s="65">
        <f t="shared" si="145"/>
        <v>34</v>
      </c>
      <c r="W173" s="65">
        <f t="shared" si="145"/>
        <v>38</v>
      </c>
      <c r="X173" s="65">
        <f t="shared" si="67"/>
        <v>38.624778497461044</v>
      </c>
      <c r="Y173" s="65">
        <f>$Y$18/1000*CURVES!K132+$Y$14</f>
        <v>78.713132728494628</v>
      </c>
      <c r="Z173" s="65">
        <f t="shared" si="68"/>
        <v>57.208656676674529</v>
      </c>
      <c r="AA173" s="65">
        <f>CHOOSE(AA$18,CURVES!F132,CURVES!G132)</f>
        <v>45.861290322580643</v>
      </c>
      <c r="AB173" s="65">
        <f t="shared" ref="AB173:AB236" si="156">(Q173*Z173+R173*AA173)/H173</f>
        <v>50.948836592082145</v>
      </c>
      <c r="AD173" s="65"/>
      <c r="AH173" s="46">
        <f t="shared" si="132"/>
        <v>1913.8399491890309</v>
      </c>
      <c r="AI173" s="46">
        <f t="shared" si="132"/>
        <v>0</v>
      </c>
      <c r="AJ173" s="46">
        <f t="shared" si="132"/>
        <v>1075.3801160883429</v>
      </c>
      <c r="AK173" s="46">
        <f t="shared" si="132"/>
        <v>576.38556050292607</v>
      </c>
      <c r="AL173" s="46">
        <f t="shared" si="133"/>
        <v>3565.6056257802998</v>
      </c>
      <c r="AM173" s="46">
        <f t="shared" si="138"/>
        <v>2259.7132500000002</v>
      </c>
      <c r="AN173" s="46">
        <f t="shared" si="69"/>
        <v>5825.3188757803</v>
      </c>
      <c r="AO173" s="10">
        <f t="shared" ref="AO173:AO236" si="157">I173-AL173-AM173</f>
        <v>7270.2073908378334</v>
      </c>
      <c r="AQ173" s="65">
        <f t="shared" ref="AQ173:AQ236" si="158">$AQ$18</f>
        <v>43</v>
      </c>
      <c r="AR173" s="65"/>
      <c r="AS173" s="65">
        <f t="shared" si="146"/>
        <v>30</v>
      </c>
      <c r="AT173" s="65">
        <f t="shared" si="146"/>
        <v>38</v>
      </c>
      <c r="AU173" s="65">
        <f t="shared" si="70"/>
        <v>38.270966258930272</v>
      </c>
      <c r="AV173" s="65">
        <f>$Y$18/1000*CURVES!O132+$AV$14</f>
        <v>73.860119288019149</v>
      </c>
      <c r="AW173" s="65">
        <f t="shared" si="71"/>
        <v>52.076438949957399</v>
      </c>
      <c r="AX173" s="65">
        <f>CHOOSE(AX$18,CURVES!B132,CURVES!C132)</f>
        <v>45.087096774193547</v>
      </c>
      <c r="AY173" s="65">
        <f t="shared" si="72"/>
        <v>48.196185028978064</v>
      </c>
    </row>
    <row r="174" spans="1:51">
      <c r="A174" s="75">
        <v>40848</v>
      </c>
      <c r="B174" s="2">
        <f t="shared" si="119"/>
        <v>2011</v>
      </c>
      <c r="C174" s="2">
        <f t="shared" ref="C174:C237" si="159">MONTH(A174)</f>
        <v>11</v>
      </c>
      <c r="D174" s="43">
        <v>6.0621970526362E-2</v>
      </c>
      <c r="E174" s="44">
        <f t="shared" ca="1" si="120"/>
        <v>0.52036997032397247</v>
      </c>
      <c r="F174" s="44"/>
      <c r="G174" s="10"/>
      <c r="H174" s="10">
        <f t="shared" si="141"/>
        <v>14924.566549295223</v>
      </c>
      <c r="I174" s="10">
        <f t="shared" si="141"/>
        <v>13294.304838755468</v>
      </c>
      <c r="K174" s="46">
        <f t="shared" ref="K174:P174" si="160">K162</f>
        <v>2201.1583333333333</v>
      </c>
      <c r="L174" s="46">
        <f t="shared" si="160"/>
        <v>1270.0277777777778</v>
      </c>
      <c r="M174" s="46">
        <f t="shared" si="160"/>
        <v>241.3111111111111</v>
      </c>
      <c r="N174" s="46">
        <f t="shared" si="160"/>
        <v>3.1194444444444445</v>
      </c>
      <c r="O174" s="46">
        <f t="shared" si="131"/>
        <v>3715.6166666666668</v>
      </c>
      <c r="P174" s="46">
        <f t="shared" si="160"/>
        <v>3029.0331582980816</v>
      </c>
      <c r="Q174" s="46">
        <f t="shared" ref="Q174:Q237" si="161">O174+P174</f>
        <v>6744.6498249647484</v>
      </c>
      <c r="R174" s="10">
        <f t="shared" si="154"/>
        <v>8179.9167243304746</v>
      </c>
      <c r="T174" s="65">
        <f t="shared" si="155"/>
        <v>48.72</v>
      </c>
      <c r="U174" s="65">
        <f t="shared" si="145"/>
        <v>23</v>
      </c>
      <c r="V174" s="65">
        <f t="shared" si="145"/>
        <v>34</v>
      </c>
      <c r="W174" s="65">
        <f t="shared" si="145"/>
        <v>38</v>
      </c>
      <c r="X174" s="65">
        <f t="shared" ref="X174:X237" si="162">SUMPRODUCT(K174:N174,T174:W174)/O174</f>
        <v>38.963704424717896</v>
      </c>
      <c r="Y174" s="65">
        <f>$Y$18/1000*CURVES!K133+$Y$14</f>
        <v>78.923132728494622</v>
      </c>
      <c r="Z174" s="65">
        <f t="shared" ref="Z174:Z237" si="163">(O174*X174+P174*Y174)/Q174</f>
        <v>56.909548383993751</v>
      </c>
      <c r="AA174" s="65">
        <f>CHOOSE(AA$18,CURVES!F133,CURVES!G133)</f>
        <v>38.310722047105315</v>
      </c>
      <c r="AB174" s="65">
        <f t="shared" si="156"/>
        <v>46.715828512563647</v>
      </c>
      <c r="AD174" s="65"/>
      <c r="AH174" s="46">
        <f t="shared" si="132"/>
        <v>1838.7874362867092</v>
      </c>
      <c r="AI174" s="46">
        <f t="shared" si="132"/>
        <v>0</v>
      </c>
      <c r="AJ174" s="46">
        <f t="shared" si="132"/>
        <v>1347.8791847211178</v>
      </c>
      <c r="AK174" s="46">
        <f t="shared" si="132"/>
        <v>499.43911251442188</v>
      </c>
      <c r="AL174" s="46">
        <f t="shared" si="133"/>
        <v>3686.105733522249</v>
      </c>
      <c r="AM174" s="46">
        <f t="shared" si="138"/>
        <v>2451.2376410958905</v>
      </c>
      <c r="AN174" s="46">
        <f t="shared" ref="AN174:AN237" si="164">AL174+AM174</f>
        <v>6137.3433746181399</v>
      </c>
      <c r="AO174" s="10">
        <f t="shared" si="157"/>
        <v>7156.9614641373291</v>
      </c>
      <c r="AQ174" s="65">
        <f t="shared" si="158"/>
        <v>43</v>
      </c>
      <c r="AR174" s="65"/>
      <c r="AS174" s="65">
        <f t="shared" si="146"/>
        <v>30</v>
      </c>
      <c r="AT174" s="65">
        <f t="shared" si="146"/>
        <v>38</v>
      </c>
      <c r="AU174" s="65">
        <f t="shared" ref="AU174:AU237" si="165">SUMPRODUCT(AH174:AK174,AQ174:AT174)/AL174</f>
        <v>37.568895628282228</v>
      </c>
      <c r="AV174" s="65">
        <f>$Y$18/1000*CURVES!O133+$AV$14</f>
        <v>75.330119288019148</v>
      </c>
      <c r="AW174" s="65">
        <f t="shared" ref="AW174:AW237" si="166">(AL174*AU174+AM174*AV174)/AN174</f>
        <v>52.650621899520374</v>
      </c>
      <c r="AX174" s="65">
        <f>CHOOSE(AX$18,CURVES!B133,CURVES!C133)</f>
        <v>43.50555555555556</v>
      </c>
      <c r="AY174" s="65">
        <f t="shared" ref="AY174:AY237" si="167">(AN174*AW174+AO174*AX174)/I174</f>
        <v>47.727394381829235</v>
      </c>
    </row>
    <row r="175" spans="1:51">
      <c r="A175" s="75">
        <v>40878</v>
      </c>
      <c r="B175" s="2">
        <f t="shared" si="119"/>
        <v>2011</v>
      </c>
      <c r="C175" s="2">
        <f t="shared" si="159"/>
        <v>12</v>
      </c>
      <c r="D175" s="43">
        <v>6.0645685601532003E-2</v>
      </c>
      <c r="E175" s="44">
        <f t="shared" ca="1" si="120"/>
        <v>0.51760767759989768</v>
      </c>
      <c r="F175" s="44"/>
      <c r="G175" s="10"/>
      <c r="H175" s="10">
        <f t="shared" si="141"/>
        <v>14817.101960474376</v>
      </c>
      <c r="I175" s="10">
        <f t="shared" si="141"/>
        <v>13264.102493868766</v>
      </c>
      <c r="K175" s="46">
        <f t="shared" ref="K175:P175" si="168">K163</f>
        <v>2256.4126344086021</v>
      </c>
      <c r="L175" s="46">
        <f t="shared" si="168"/>
        <v>1157.2150537634409</v>
      </c>
      <c r="M175" s="46">
        <f t="shared" si="168"/>
        <v>239.86021505376345</v>
      </c>
      <c r="N175" s="46">
        <f t="shared" si="168"/>
        <v>2.9690860215053765</v>
      </c>
      <c r="O175" s="46">
        <f t="shared" si="131"/>
        <v>3656.4569892473123</v>
      </c>
      <c r="P175" s="46">
        <f t="shared" si="168"/>
        <v>2977.5968497309718</v>
      </c>
      <c r="Q175" s="46">
        <f t="shared" si="161"/>
        <v>6634.0538389782841</v>
      </c>
      <c r="R175" s="10">
        <f t="shared" si="154"/>
        <v>8183.0481214960928</v>
      </c>
      <c r="T175" s="65">
        <f t="shared" si="155"/>
        <v>48.72</v>
      </c>
      <c r="U175" s="65">
        <f t="shared" si="145"/>
        <v>23</v>
      </c>
      <c r="V175" s="65">
        <f t="shared" si="145"/>
        <v>34</v>
      </c>
      <c r="W175" s="65">
        <f t="shared" si="145"/>
        <v>38</v>
      </c>
      <c r="X175" s="65">
        <f t="shared" si="162"/>
        <v>39.60567368670241</v>
      </c>
      <c r="Y175" s="65">
        <f>$Y$18/1000*CURVES!K134+$Y$14</f>
        <v>80.235632728494622</v>
      </c>
      <c r="Z175" s="65">
        <f t="shared" si="163"/>
        <v>57.841829283861543</v>
      </c>
      <c r="AA175" s="65">
        <f>CHOOSE(AA$18,CURVES!F134,CURVES!G134)</f>
        <v>38.076382619452232</v>
      </c>
      <c r="AB175" s="65">
        <f t="shared" si="156"/>
        <v>46.925956420923669</v>
      </c>
      <c r="AD175" s="65"/>
      <c r="AH175" s="46">
        <f t="shared" si="132"/>
        <v>1921.095004536046</v>
      </c>
      <c r="AI175" s="46">
        <f t="shared" si="132"/>
        <v>0</v>
      </c>
      <c r="AJ175" s="46">
        <f t="shared" si="132"/>
        <v>1326.4786927345147</v>
      </c>
      <c r="AK175" s="46">
        <f t="shared" si="132"/>
        <v>519.61972313456249</v>
      </c>
      <c r="AL175" s="46">
        <f t="shared" si="133"/>
        <v>3767.1934204051231</v>
      </c>
      <c r="AM175" s="46">
        <f t="shared" si="138"/>
        <v>2024.2479112903225</v>
      </c>
      <c r="AN175" s="46">
        <f t="shared" si="164"/>
        <v>5791.4413316954451</v>
      </c>
      <c r="AO175" s="10">
        <f t="shared" si="157"/>
        <v>7472.6611621733209</v>
      </c>
      <c r="AQ175" s="65">
        <f t="shared" si="158"/>
        <v>43</v>
      </c>
      <c r="AR175" s="65"/>
      <c r="AS175" s="65">
        <f t="shared" si="146"/>
        <v>30</v>
      </c>
      <c r="AT175" s="65">
        <f t="shared" si="146"/>
        <v>38</v>
      </c>
      <c r="AU175" s="65">
        <f t="shared" si="165"/>
        <v>37.732863591833393</v>
      </c>
      <c r="AV175" s="65">
        <f>$Y$18/1000*CURVES!O134+$AV$14</f>
        <v>76.642619288019148</v>
      </c>
      <c r="AW175" s="65">
        <f t="shared" si="166"/>
        <v>51.332758192468653</v>
      </c>
      <c r="AX175" s="65">
        <f>CHOOSE(AX$18,CURVES!B134,CURVES!C134)</f>
        <v>42.726881720430107</v>
      </c>
      <c r="AY175" s="65">
        <f t="shared" si="167"/>
        <v>46.48442420916372</v>
      </c>
    </row>
    <row r="176" spans="1:51">
      <c r="A176" s="75">
        <v>40909</v>
      </c>
      <c r="B176" s="2">
        <f t="shared" si="119"/>
        <v>2012</v>
      </c>
      <c r="C176" s="2">
        <f t="shared" si="159"/>
        <v>1</v>
      </c>
      <c r="D176" s="43">
        <v>6.0670191179406002E-2</v>
      </c>
      <c r="E176" s="44">
        <f t="shared" ca="1" si="120"/>
        <v>0.51485365034519959</v>
      </c>
      <c r="F176" s="44"/>
      <c r="G176" s="10"/>
      <c r="H176" s="10">
        <f t="shared" si="141"/>
        <v>15089.351181041937</v>
      </c>
      <c r="I176" s="10">
        <f t="shared" si="141"/>
        <v>14344.309912364532</v>
      </c>
      <c r="K176" s="46">
        <f t="shared" ref="K176:P176" si="169">K164</f>
        <v>2185.9180107526881</v>
      </c>
      <c r="L176" s="46">
        <f t="shared" si="169"/>
        <v>1282.3306451612902</v>
      </c>
      <c r="M176" s="46">
        <f t="shared" si="169"/>
        <v>142.8521505376344</v>
      </c>
      <c r="N176" s="46">
        <f t="shared" si="169"/>
        <v>3.168010752688172</v>
      </c>
      <c r="O176" s="46">
        <f t="shared" si="131"/>
        <v>3614.2688172043008</v>
      </c>
      <c r="P176" s="46">
        <f t="shared" si="169"/>
        <v>2792.6655547379</v>
      </c>
      <c r="Q176" s="46">
        <f t="shared" si="161"/>
        <v>6406.9343719422013</v>
      </c>
      <c r="R176" s="10">
        <f t="shared" si="154"/>
        <v>8682.4168090997355</v>
      </c>
      <c r="T176" s="65">
        <f t="shared" si="155"/>
        <v>48.72</v>
      </c>
      <c r="U176" s="65">
        <f t="shared" si="145"/>
        <v>23</v>
      </c>
      <c r="V176" s="65">
        <f t="shared" si="145"/>
        <v>34</v>
      </c>
      <c r="W176" s="65">
        <f t="shared" si="145"/>
        <v>38</v>
      </c>
      <c r="X176" s="65">
        <f t="shared" si="162"/>
        <v>39.003431946853418</v>
      </c>
      <c r="Y176" s="65">
        <f>$Y$18/1000*CURVES!K135+$Y$14</f>
        <v>81.695132728494627</v>
      </c>
      <c r="Z176" s="65">
        <f t="shared" si="163"/>
        <v>57.611963785134904</v>
      </c>
      <c r="AA176" s="65">
        <f>CHOOSE(AA$18,CURVES!F135,CURVES!G135)</f>
        <v>39.36791612717807</v>
      </c>
      <c r="AB176" s="65">
        <f t="shared" si="156"/>
        <v>47.114333757776549</v>
      </c>
      <c r="AD176" s="65"/>
      <c r="AH176" s="46">
        <f t="shared" si="132"/>
        <v>1826.0560878589888</v>
      </c>
      <c r="AI176" s="46">
        <f t="shared" si="132"/>
        <v>0</v>
      </c>
      <c r="AJ176" s="46">
        <f t="shared" si="132"/>
        <v>1744.0893186443859</v>
      </c>
      <c r="AK176" s="46">
        <f t="shared" si="132"/>
        <v>538.87289280137145</v>
      </c>
      <c r="AL176" s="46">
        <f t="shared" si="133"/>
        <v>4109.0182993047465</v>
      </c>
      <c r="AM176" s="46">
        <f t="shared" si="138"/>
        <v>2445.3687016129034</v>
      </c>
      <c r="AN176" s="46">
        <f t="shared" si="164"/>
        <v>6554.3870009176499</v>
      </c>
      <c r="AO176" s="10">
        <f t="shared" si="157"/>
        <v>7789.9229114468808</v>
      </c>
      <c r="AQ176" s="65">
        <f t="shared" si="158"/>
        <v>43</v>
      </c>
      <c r="AR176" s="65"/>
      <c r="AS176" s="65">
        <f t="shared" si="146"/>
        <v>30</v>
      </c>
      <c r="AT176" s="65">
        <f t="shared" si="146"/>
        <v>38</v>
      </c>
      <c r="AU176" s="65">
        <f t="shared" si="165"/>
        <v>36.826378040059808</v>
      </c>
      <c r="AV176" s="65">
        <f>$Y$18/1000*CURVES!O135+$AV$14</f>
        <v>78.102119288019153</v>
      </c>
      <c r="AW176" s="65">
        <f t="shared" si="166"/>
        <v>52.225896830985825</v>
      </c>
      <c r="AX176" s="65">
        <f>CHOOSE(AX$18,CURVES!B135,CURVES!C135)</f>
        <v>46.554838709677419</v>
      </c>
      <c r="AY176" s="65">
        <f t="shared" si="167"/>
        <v>49.14613169336512</v>
      </c>
    </row>
    <row r="177" spans="1:51">
      <c r="A177" s="75">
        <v>40940</v>
      </c>
      <c r="B177" s="2">
        <f t="shared" si="119"/>
        <v>2012</v>
      </c>
      <c r="C177" s="2">
        <f t="shared" si="159"/>
        <v>2</v>
      </c>
      <c r="D177" s="43">
        <v>6.0694696757479003E-2</v>
      </c>
      <c r="E177" s="44">
        <f t="shared" ca="1" si="120"/>
        <v>0.51227990493941955</v>
      </c>
      <c r="F177" s="44"/>
      <c r="G177" s="10"/>
      <c r="H177" s="10">
        <f t="shared" si="141"/>
        <v>15129.938548087199</v>
      </c>
      <c r="I177" s="10">
        <f t="shared" si="141"/>
        <v>14325.19233852079</v>
      </c>
      <c r="K177" s="46">
        <f t="shared" ref="K177:P177" si="170">K165</f>
        <v>2261.8764367816093</v>
      </c>
      <c r="L177" s="46">
        <f t="shared" si="170"/>
        <v>1335.9798850574712</v>
      </c>
      <c r="M177" s="46">
        <f t="shared" si="170"/>
        <v>236.0028735632184</v>
      </c>
      <c r="N177" s="46">
        <f t="shared" si="170"/>
        <v>3.8491379310344827</v>
      </c>
      <c r="O177" s="46">
        <f t="shared" si="131"/>
        <v>3837.7083333333335</v>
      </c>
      <c r="P177" s="46">
        <f t="shared" si="170"/>
        <v>3011.7717013676738</v>
      </c>
      <c r="Q177" s="46">
        <f t="shared" si="161"/>
        <v>6849.4800347010078</v>
      </c>
      <c r="R177" s="10">
        <f t="shared" si="154"/>
        <v>8280.458513386191</v>
      </c>
      <c r="T177" s="65">
        <f t="shared" si="155"/>
        <v>48.72</v>
      </c>
      <c r="U177" s="65">
        <f t="shared" si="145"/>
        <v>23</v>
      </c>
      <c r="V177" s="65">
        <f t="shared" si="145"/>
        <v>34</v>
      </c>
      <c r="W177" s="65">
        <f t="shared" si="145"/>
        <v>38</v>
      </c>
      <c r="X177" s="65">
        <f t="shared" si="162"/>
        <v>38.850404811599958</v>
      </c>
      <c r="Y177" s="65">
        <f>$Y$18/1000*CURVES!K136+$Y$14</f>
        <v>80.687132728494618</v>
      </c>
      <c r="Z177" s="65">
        <f t="shared" si="163"/>
        <v>57.246352033807241</v>
      </c>
      <c r="AA177" s="65">
        <f>CHOOSE(AA$18,CURVES!F136,CURVES!G136)</f>
        <v>39.73739685337344</v>
      </c>
      <c r="AB177" s="65">
        <f t="shared" si="156"/>
        <v>47.663882381103356</v>
      </c>
      <c r="AD177" s="65"/>
      <c r="AH177" s="46">
        <f t="shared" ref="AH177:AK196" si="171">AH165</f>
        <v>1925.7468502510062</v>
      </c>
      <c r="AI177" s="46">
        <f t="shared" si="171"/>
        <v>0</v>
      </c>
      <c r="AJ177" s="46">
        <f t="shared" si="171"/>
        <v>2201.9273871825426</v>
      </c>
      <c r="AK177" s="46">
        <f t="shared" si="171"/>
        <v>548.47547775416388</v>
      </c>
      <c r="AL177" s="46">
        <f t="shared" si="133"/>
        <v>4676.1497151877129</v>
      </c>
      <c r="AM177" s="46">
        <f t="shared" si="138"/>
        <v>2161.5456443452381</v>
      </c>
      <c r="AN177" s="46">
        <f t="shared" si="164"/>
        <v>6837.6953595329505</v>
      </c>
      <c r="AO177" s="10">
        <f t="shared" si="157"/>
        <v>7487.4969789878378</v>
      </c>
      <c r="AQ177" s="65">
        <f t="shared" si="158"/>
        <v>43</v>
      </c>
      <c r="AR177" s="65"/>
      <c r="AS177" s="65">
        <f t="shared" si="146"/>
        <v>30</v>
      </c>
      <c r="AT177" s="65">
        <f t="shared" si="146"/>
        <v>38</v>
      </c>
      <c r="AU177" s="65">
        <f t="shared" si="165"/>
        <v>36.29203825098557</v>
      </c>
      <c r="AV177" s="65">
        <f>$Y$18/1000*CURVES!O136+$AV$14</f>
        <v>77.094119288019158</v>
      </c>
      <c r="AW177" s="65">
        <f t="shared" si="166"/>
        <v>49.190471993410384</v>
      </c>
      <c r="AX177" s="65">
        <f>CHOOSE(AX$18,CURVES!B136,CURVES!C136)</f>
        <v>45.559195402298855</v>
      </c>
      <c r="AY177" s="65">
        <f t="shared" si="167"/>
        <v>47.292474963890257</v>
      </c>
    </row>
    <row r="178" spans="1:51">
      <c r="A178" s="75">
        <v>40969</v>
      </c>
      <c r="B178" s="2">
        <f t="shared" si="119"/>
        <v>2012</v>
      </c>
      <c r="C178" s="2">
        <f t="shared" si="159"/>
        <v>3</v>
      </c>
      <c r="D178" s="43">
        <v>6.0717621330694999E-2</v>
      </c>
      <c r="E178" s="44">
        <f t="shared" ca="1" si="120"/>
        <v>0.50955899332308574</v>
      </c>
      <c r="F178" s="44"/>
      <c r="G178" s="10"/>
      <c r="H178" s="10">
        <f t="shared" si="141"/>
        <v>15042.348860698365</v>
      </c>
      <c r="I178" s="10">
        <f t="shared" si="141"/>
        <v>14003.596440946674</v>
      </c>
      <c r="K178" s="46">
        <f t="shared" ref="K178:P178" si="172">K166</f>
        <v>2263.9462365591398</v>
      </c>
      <c r="L178" s="46">
        <f t="shared" si="172"/>
        <v>1258.630376344086</v>
      </c>
      <c r="M178" s="46">
        <f t="shared" si="172"/>
        <v>620.64650537634407</v>
      </c>
      <c r="N178" s="46">
        <f t="shared" si="172"/>
        <v>2.581989247311828</v>
      </c>
      <c r="O178" s="46">
        <f t="shared" si="131"/>
        <v>4145.8051075268813</v>
      </c>
      <c r="P178" s="46">
        <f t="shared" si="172"/>
        <v>2834.3973290285558</v>
      </c>
      <c r="Q178" s="46">
        <f t="shared" si="161"/>
        <v>6980.2024365554371</v>
      </c>
      <c r="R178" s="10">
        <f t="shared" si="154"/>
        <v>8062.1464241429276</v>
      </c>
      <c r="T178" s="65">
        <f t="shared" si="155"/>
        <v>48.72</v>
      </c>
      <c r="U178" s="65">
        <f t="shared" si="145"/>
        <v>23</v>
      </c>
      <c r="V178" s="65">
        <f t="shared" si="145"/>
        <v>34</v>
      </c>
      <c r="W178" s="65">
        <f t="shared" si="145"/>
        <v>38</v>
      </c>
      <c r="X178" s="65">
        <f t="shared" si="162"/>
        <v>38.701302138870133</v>
      </c>
      <c r="Y178" s="65">
        <f>$Y$18/1000*CURVES!K137+$Y$14</f>
        <v>79.112132728494629</v>
      </c>
      <c r="Z178" s="65">
        <f t="shared" si="163"/>
        <v>55.11061853451038</v>
      </c>
      <c r="AA178" s="65">
        <f>CHOOSE(AA$18,CURVES!F137,CURVES!G137)</f>
        <v>39.391942537362645</v>
      </c>
      <c r="AB178" s="65">
        <f t="shared" si="156"/>
        <v>46.685985609411318</v>
      </c>
      <c r="AD178" s="65"/>
      <c r="AH178" s="46">
        <f t="shared" si="171"/>
        <v>1891.2387324311178</v>
      </c>
      <c r="AI178" s="46">
        <f t="shared" si="171"/>
        <v>0</v>
      </c>
      <c r="AJ178" s="46">
        <f t="shared" si="171"/>
        <v>1966.5504926356311</v>
      </c>
      <c r="AK178" s="46">
        <f t="shared" si="171"/>
        <v>526.07330501492243</v>
      </c>
      <c r="AL178" s="46">
        <f t="shared" si="133"/>
        <v>4383.8625300816711</v>
      </c>
      <c r="AM178" s="46">
        <f t="shared" si="138"/>
        <v>2044.2222728494623</v>
      </c>
      <c r="AN178" s="46">
        <f t="shared" si="164"/>
        <v>6428.0848029311337</v>
      </c>
      <c r="AO178" s="10">
        <f t="shared" si="157"/>
        <v>7575.5116380155405</v>
      </c>
      <c r="AQ178" s="65">
        <f t="shared" si="158"/>
        <v>43</v>
      </c>
      <c r="AR178" s="65"/>
      <c r="AS178" s="65">
        <f t="shared" si="146"/>
        <v>30</v>
      </c>
      <c r="AT178" s="65">
        <f t="shared" si="146"/>
        <v>38</v>
      </c>
      <c r="AU178" s="65">
        <f t="shared" si="165"/>
        <v>36.56833779894724</v>
      </c>
      <c r="AV178" s="65">
        <f>$Y$18/1000*CURVES!O137+$AV$14</f>
        <v>75.519119288019141</v>
      </c>
      <c r="AW178" s="65">
        <f t="shared" si="166"/>
        <v>48.955239575436813</v>
      </c>
      <c r="AX178" s="65">
        <f>CHOOSE(AX$18,CURVES!B137,CURVES!C137)</f>
        <v>43.562903225806458</v>
      </c>
      <c r="AY178" s="65">
        <f t="shared" si="167"/>
        <v>46.038152743851612</v>
      </c>
    </row>
    <row r="179" spans="1:51">
      <c r="A179" s="75">
        <v>41000</v>
      </c>
      <c r="B179" s="2">
        <f t="shared" si="119"/>
        <v>2012</v>
      </c>
      <c r="C179" s="2">
        <f t="shared" si="159"/>
        <v>4</v>
      </c>
      <c r="D179" s="43">
        <v>6.0742126909153003E-2</v>
      </c>
      <c r="E179" s="44">
        <f t="shared" ca="1" si="120"/>
        <v>0.50692482997608102</v>
      </c>
      <c r="F179" s="44"/>
      <c r="G179" s="10"/>
      <c r="H179" s="10">
        <f t="shared" si="141"/>
        <v>15109.096466869123</v>
      </c>
      <c r="I179" s="10">
        <f t="shared" si="141"/>
        <v>13680.068577846185</v>
      </c>
      <c r="K179" s="46">
        <f t="shared" ref="K179:P179" si="173">K167</f>
        <v>2319.8402777777778</v>
      </c>
      <c r="L179" s="46">
        <f t="shared" si="173"/>
        <v>1179.1659722222223</v>
      </c>
      <c r="M179" s="46">
        <f t="shared" si="173"/>
        <v>811.58611111111111</v>
      </c>
      <c r="N179" s="46">
        <f t="shared" si="173"/>
        <v>3.0416666666666665</v>
      </c>
      <c r="O179" s="46">
        <f t="shared" si="131"/>
        <v>4313.6340277777781</v>
      </c>
      <c r="P179" s="46">
        <f t="shared" si="173"/>
        <v>2923.3945906815438</v>
      </c>
      <c r="Q179" s="46">
        <f t="shared" si="161"/>
        <v>7237.0286184593224</v>
      </c>
      <c r="R179" s="10">
        <f t="shared" si="154"/>
        <v>7872.0678484098007</v>
      </c>
      <c r="T179" s="65">
        <f t="shared" si="155"/>
        <v>48.72</v>
      </c>
      <c r="U179" s="65">
        <f t="shared" si="145"/>
        <v>23</v>
      </c>
      <c r="V179" s="65">
        <f t="shared" si="145"/>
        <v>34</v>
      </c>
      <c r="W179" s="65">
        <f t="shared" si="145"/>
        <v>38</v>
      </c>
      <c r="X179" s="65">
        <f t="shared" si="162"/>
        <v>38.912189982891782</v>
      </c>
      <c r="Y179" s="65">
        <f>$Y$18/1000*CURVES!K138+$Y$14</f>
        <v>78.450632728494625</v>
      </c>
      <c r="Z179" s="65">
        <f t="shared" si="163"/>
        <v>54.883726885708988</v>
      </c>
      <c r="AA179" s="65">
        <f>CHOOSE(AA$18,CURVES!F138,CURVES!G138)</f>
        <v>37.815337336341187</v>
      </c>
      <c r="AB179" s="65">
        <f t="shared" si="156"/>
        <v>45.990837698698932</v>
      </c>
      <c r="AD179" s="65"/>
      <c r="AH179" s="46">
        <f t="shared" si="171"/>
        <v>1937.9310849074075</v>
      </c>
      <c r="AI179" s="46">
        <f t="shared" si="171"/>
        <v>0</v>
      </c>
      <c r="AJ179" s="46">
        <f t="shared" si="171"/>
        <v>2070.9500209392572</v>
      </c>
      <c r="AK179" s="46">
        <f t="shared" si="171"/>
        <v>513.91932921853174</v>
      </c>
      <c r="AL179" s="46">
        <f t="shared" si="133"/>
        <v>4522.8004350651963</v>
      </c>
      <c r="AM179" s="46">
        <f t="shared" si="138"/>
        <v>2152.9968589041096</v>
      </c>
      <c r="AN179" s="46">
        <f t="shared" si="164"/>
        <v>6675.7972939693063</v>
      </c>
      <c r="AO179" s="10">
        <f t="shared" si="157"/>
        <v>7004.2712838768784</v>
      </c>
      <c r="AQ179" s="65">
        <f t="shared" si="158"/>
        <v>43</v>
      </c>
      <c r="AR179" s="65"/>
      <c r="AS179" s="65">
        <f t="shared" si="146"/>
        <v>30</v>
      </c>
      <c r="AT179" s="65">
        <f t="shared" si="146"/>
        <v>38</v>
      </c>
      <c r="AU179" s="65">
        <f t="shared" si="165"/>
        <v>36.479272998726103</v>
      </c>
      <c r="AV179" s="65">
        <f>$Y$18/1000*CURVES!O138+$AV$14</f>
        <v>73.59761928801916</v>
      </c>
      <c r="AW179" s="65">
        <f t="shared" si="166"/>
        <v>48.450230091859552</v>
      </c>
      <c r="AX179" s="65">
        <f>CHOOSE(AX$18,CURVES!B138,CURVES!C138)</f>
        <v>41.394444444444446</v>
      </c>
      <c r="AY179" s="65">
        <f t="shared" si="167"/>
        <v>44.837628553047587</v>
      </c>
    </row>
    <row r="180" spans="1:51">
      <c r="A180" s="75">
        <v>41030</v>
      </c>
      <c r="B180" s="2">
        <f t="shared" si="119"/>
        <v>2012</v>
      </c>
      <c r="C180" s="2">
        <f t="shared" si="159"/>
        <v>5</v>
      </c>
      <c r="D180" s="43">
        <v>6.0765841985270998E-2</v>
      </c>
      <c r="E180" s="44">
        <f t="shared" ca="1" si="120"/>
        <v>0.50422409555107139</v>
      </c>
      <c r="F180" s="44"/>
      <c r="G180" s="10"/>
      <c r="H180" s="10">
        <f t="shared" si="141"/>
        <v>15965.764532003564</v>
      </c>
      <c r="I180" s="10">
        <f t="shared" si="141"/>
        <v>14901.264213434233</v>
      </c>
      <c r="K180" s="46">
        <f t="shared" ref="K180:P180" si="174">K168</f>
        <v>2226.0672043010754</v>
      </c>
      <c r="L180" s="46">
        <f t="shared" si="174"/>
        <v>1023.6263440860215</v>
      </c>
      <c r="M180" s="46">
        <f t="shared" si="174"/>
        <v>950.16532258064512</v>
      </c>
      <c r="N180" s="46">
        <f t="shared" si="174"/>
        <v>3.3051075268817205</v>
      </c>
      <c r="O180" s="46">
        <f t="shared" si="131"/>
        <v>4203.1639784946237</v>
      </c>
      <c r="P180" s="46">
        <f t="shared" si="174"/>
        <v>2831.510502104928</v>
      </c>
      <c r="Q180" s="46">
        <f t="shared" si="161"/>
        <v>7034.6744805995513</v>
      </c>
      <c r="R180" s="10">
        <f t="shared" si="154"/>
        <v>8931.0900514040131</v>
      </c>
      <c r="T180" s="65">
        <f t="shared" si="155"/>
        <v>48.72</v>
      </c>
      <c r="U180" s="65">
        <f t="shared" si="145"/>
        <v>23</v>
      </c>
      <c r="V180" s="65">
        <f t="shared" si="145"/>
        <v>34</v>
      </c>
      <c r="W180" s="65">
        <f t="shared" si="145"/>
        <v>38</v>
      </c>
      <c r="X180" s="65">
        <f t="shared" si="162"/>
        <v>39.120199926194871</v>
      </c>
      <c r="Y180" s="65">
        <f>$Y$18/1000*CURVES!K139+$Y$14</f>
        <v>78.188132728494622</v>
      </c>
      <c r="Z180" s="65">
        <f t="shared" si="163"/>
        <v>54.845342906202866</v>
      </c>
      <c r="AA180" s="65">
        <f>CHOOSE(AA$18,CURVES!F139,CURVES!G139)</f>
        <v>37.670369855394902</v>
      </c>
      <c r="AB180" s="65">
        <f t="shared" si="156"/>
        <v>45.23783362346677</v>
      </c>
      <c r="AD180" s="65"/>
      <c r="AH180" s="46">
        <f t="shared" si="171"/>
        <v>1895.2591032026239</v>
      </c>
      <c r="AI180" s="46">
        <f t="shared" si="171"/>
        <v>0</v>
      </c>
      <c r="AJ180" s="46">
        <f t="shared" si="171"/>
        <v>1877.6303324734643</v>
      </c>
      <c r="AK180" s="46">
        <f t="shared" si="171"/>
        <v>570.53181663934993</v>
      </c>
      <c r="AL180" s="46">
        <f t="shared" si="133"/>
        <v>4343.4212523154383</v>
      </c>
      <c r="AM180" s="46">
        <f t="shared" si="138"/>
        <v>2186.8418319892476</v>
      </c>
      <c r="AN180" s="46">
        <f t="shared" si="164"/>
        <v>6530.2630843046863</v>
      </c>
      <c r="AO180" s="10">
        <f t="shared" si="157"/>
        <v>8371.0011291295468</v>
      </c>
      <c r="AQ180" s="65">
        <f t="shared" si="158"/>
        <v>43</v>
      </c>
      <c r="AR180" s="65"/>
      <c r="AS180" s="65">
        <f t="shared" si="146"/>
        <v>30</v>
      </c>
      <c r="AT180" s="65">
        <f t="shared" si="146"/>
        <v>38</v>
      </c>
      <c r="AU180" s="65">
        <f t="shared" si="165"/>
        <v>36.723414833221909</v>
      </c>
      <c r="AV180" s="65">
        <f>$Y$18/1000*CURVES!O139+$AV$14</f>
        <v>73.335119288019158</v>
      </c>
      <c r="AW180" s="65">
        <f t="shared" si="166"/>
        <v>48.983871388886463</v>
      </c>
      <c r="AX180" s="65">
        <f>CHOOSE(AX$18,CURVES!B139,CURVES!C139)</f>
        <v>41.480107526881717</v>
      </c>
      <c r="AY180" s="65">
        <f t="shared" si="167"/>
        <v>44.768523290774553</v>
      </c>
    </row>
    <row r="181" spans="1:51">
      <c r="A181" s="75">
        <v>41061</v>
      </c>
      <c r="B181" s="2">
        <f t="shared" si="119"/>
        <v>2012</v>
      </c>
      <c r="C181" s="2">
        <f t="shared" si="159"/>
        <v>6</v>
      </c>
      <c r="D181" s="43">
        <v>6.0790347564122001E-2</v>
      </c>
      <c r="E181" s="44">
        <f t="shared" ca="1" si="120"/>
        <v>0.50161359356266577</v>
      </c>
      <c r="F181" s="44"/>
      <c r="G181" s="10"/>
      <c r="H181" s="10">
        <f t="shared" si="141"/>
        <v>17644.11741820888</v>
      </c>
      <c r="I181" s="10">
        <f t="shared" si="141"/>
        <v>16803.057872597517</v>
      </c>
      <c r="K181" s="46">
        <f t="shared" ref="K181:P181" si="175">K169</f>
        <v>2252.1333333333332</v>
      </c>
      <c r="L181" s="46">
        <f t="shared" si="175"/>
        <v>1398.3916666666667</v>
      </c>
      <c r="M181" s="46">
        <f t="shared" si="175"/>
        <v>957.04027777777776</v>
      </c>
      <c r="N181" s="46">
        <f t="shared" si="175"/>
        <v>3.526388888888889</v>
      </c>
      <c r="O181" s="46">
        <f t="shared" si="131"/>
        <v>4611.0916666666662</v>
      </c>
      <c r="P181" s="46">
        <f t="shared" si="175"/>
        <v>3175.7411781346573</v>
      </c>
      <c r="Q181" s="46">
        <f t="shared" si="161"/>
        <v>7786.8328448013235</v>
      </c>
      <c r="R181" s="10">
        <f t="shared" si="154"/>
        <v>9857.2845734075563</v>
      </c>
      <c r="T181" s="65">
        <f t="shared" si="155"/>
        <v>48.72</v>
      </c>
      <c r="U181" s="65">
        <f t="shared" si="145"/>
        <v>23</v>
      </c>
      <c r="V181" s="65">
        <f t="shared" si="145"/>
        <v>34</v>
      </c>
      <c r="W181" s="65">
        <f t="shared" si="145"/>
        <v>38</v>
      </c>
      <c r="X181" s="65">
        <f t="shared" si="162"/>
        <v>37.856613829094464</v>
      </c>
      <c r="Y181" s="65">
        <f>$Y$18/1000*CURVES!K140+$Y$14</f>
        <v>78.492632728494627</v>
      </c>
      <c r="Z181" s="65">
        <f t="shared" si="163"/>
        <v>54.429395228972567</v>
      </c>
      <c r="AA181" s="65">
        <f>CHOOSE(AA$18,CURVES!F140,CURVES!G140)</f>
        <v>48.878092994793583</v>
      </c>
      <c r="AB181" s="65">
        <f t="shared" si="156"/>
        <v>51.328034895764681</v>
      </c>
      <c r="AD181" s="65"/>
      <c r="AH181" s="46">
        <f t="shared" si="171"/>
        <v>1881.3705563400365</v>
      </c>
      <c r="AI181" s="46">
        <f t="shared" si="171"/>
        <v>0</v>
      </c>
      <c r="AJ181" s="46">
        <f t="shared" si="171"/>
        <v>1162.1616861734683</v>
      </c>
      <c r="AK181" s="46">
        <f t="shared" si="171"/>
        <v>631.24071210358352</v>
      </c>
      <c r="AL181" s="46">
        <f t="shared" si="133"/>
        <v>3674.7729546170881</v>
      </c>
      <c r="AM181" s="46">
        <f t="shared" si="138"/>
        <v>2754.0461410958906</v>
      </c>
      <c r="AN181" s="46">
        <f t="shared" si="164"/>
        <v>6428.8190957129791</v>
      </c>
      <c r="AO181" s="10">
        <f t="shared" si="157"/>
        <v>10374.238776884538</v>
      </c>
      <c r="AQ181" s="65">
        <f t="shared" si="158"/>
        <v>43</v>
      </c>
      <c r="AR181" s="65"/>
      <c r="AS181" s="65">
        <f t="shared" si="146"/>
        <v>30</v>
      </c>
      <c r="AT181" s="65">
        <f t="shared" si="146"/>
        <v>38</v>
      </c>
      <c r="AU181" s="65">
        <f t="shared" si="165"/>
        <v>38.029813894263803</v>
      </c>
      <c r="AV181" s="65">
        <f>$Y$18/1000*CURVES!O140+$AV$14</f>
        <v>73.639619288019162</v>
      </c>
      <c r="AW181" s="65">
        <f t="shared" si="166"/>
        <v>53.284722403860172</v>
      </c>
      <c r="AX181" s="65">
        <f>CHOOSE(AX$18,CURVES!B140,CURVES!C140)</f>
        <v>46.853333333333339</v>
      </c>
      <c r="AY181" s="65">
        <f t="shared" si="167"/>
        <v>49.313970985244914</v>
      </c>
    </row>
    <row r="182" spans="1:51">
      <c r="A182" s="75">
        <v>41091</v>
      </c>
      <c r="B182" s="2">
        <f t="shared" si="119"/>
        <v>2012</v>
      </c>
      <c r="C182" s="2">
        <f t="shared" si="159"/>
        <v>7</v>
      </c>
      <c r="D182" s="43">
        <v>6.0814062640618997E-2</v>
      </c>
      <c r="E182" s="44">
        <f t="shared" ca="1" si="120"/>
        <v>0.4989372592087285</v>
      </c>
      <c r="F182" s="44"/>
      <c r="G182" s="10"/>
      <c r="H182" s="10">
        <f t="shared" si="141"/>
        <v>17414.614305860076</v>
      </c>
      <c r="I182" s="10">
        <f t="shared" si="141"/>
        <v>15950.987113546456</v>
      </c>
      <c r="K182" s="46">
        <f t="shared" ref="K182:P182" si="176">K170</f>
        <v>2248.4569892473119</v>
      </c>
      <c r="L182" s="46">
        <f t="shared" si="176"/>
        <v>1358.3225806451612</v>
      </c>
      <c r="M182" s="46">
        <f t="shared" si="176"/>
        <v>653.55107526881716</v>
      </c>
      <c r="N182" s="46">
        <f t="shared" si="176"/>
        <v>3.8373655913978495</v>
      </c>
      <c r="O182" s="46">
        <f t="shared" si="131"/>
        <v>4264.1680107526872</v>
      </c>
      <c r="P182" s="46">
        <f t="shared" si="176"/>
        <v>3349.3895623880758</v>
      </c>
      <c r="Q182" s="46">
        <f t="shared" si="161"/>
        <v>7613.5575731407625</v>
      </c>
      <c r="R182" s="10">
        <f t="shared" si="154"/>
        <v>9801.0567327193112</v>
      </c>
      <c r="T182" s="65">
        <f t="shared" si="155"/>
        <v>48.72</v>
      </c>
      <c r="U182" s="65">
        <f t="shared" si="145"/>
        <v>23</v>
      </c>
      <c r="V182" s="65">
        <f t="shared" si="145"/>
        <v>34</v>
      </c>
      <c r="W182" s="65">
        <f t="shared" si="145"/>
        <v>38</v>
      </c>
      <c r="X182" s="65">
        <f t="shared" si="162"/>
        <v>38.261344278923424</v>
      </c>
      <c r="Y182" s="65">
        <f>$Y$18/1000*CURVES!K141+$Y$14</f>
        <v>78.807632728494625</v>
      </c>
      <c r="Z182" s="65">
        <f t="shared" si="163"/>
        <v>56.098644912948487</v>
      </c>
      <c r="AA182" s="65">
        <f>CHOOSE(AA$18,CURVES!F141,CURVES!G141)</f>
        <v>59.108740733570968</v>
      </c>
      <c r="AB182" s="65">
        <f t="shared" si="156"/>
        <v>57.79274616553348</v>
      </c>
      <c r="AD182" s="65"/>
      <c r="AH182" s="46">
        <f t="shared" si="171"/>
        <v>1914.3216201186069</v>
      </c>
      <c r="AI182" s="46">
        <f t="shared" si="171"/>
        <v>0</v>
      </c>
      <c r="AJ182" s="46">
        <f t="shared" si="171"/>
        <v>1193.3319743059751</v>
      </c>
      <c r="AK182" s="46">
        <f t="shared" si="171"/>
        <v>610.72305844211053</v>
      </c>
      <c r="AL182" s="46">
        <f t="shared" si="133"/>
        <v>3718.3766528666924</v>
      </c>
      <c r="AM182" s="46">
        <f t="shared" si="138"/>
        <v>2586.7318602150535</v>
      </c>
      <c r="AN182" s="46">
        <f t="shared" si="164"/>
        <v>6305.1085130817464</v>
      </c>
      <c r="AO182" s="10">
        <f t="shared" si="157"/>
        <v>9645.87860046471</v>
      </c>
      <c r="AQ182" s="65">
        <f t="shared" si="158"/>
        <v>43</v>
      </c>
      <c r="AR182" s="65"/>
      <c r="AS182" s="65">
        <f t="shared" si="146"/>
        <v>30</v>
      </c>
      <c r="AT182" s="65">
        <f t="shared" si="146"/>
        <v>38</v>
      </c>
      <c r="AU182" s="65">
        <f t="shared" si="165"/>
        <v>38.006710537547619</v>
      </c>
      <c r="AV182" s="65">
        <f>$Y$18/1000*CURVES!O141+$AV$14</f>
        <v>73.95461928801916</v>
      </c>
      <c r="AW182" s="65">
        <f t="shared" si="166"/>
        <v>52.754688416123209</v>
      </c>
      <c r="AX182" s="65">
        <f>CHOOSE(AX$18,CURVES!B141,CURVES!C141)</f>
        <v>58.07956989247311</v>
      </c>
      <c r="AY182" s="65">
        <f t="shared" si="167"/>
        <v>55.974749965738155</v>
      </c>
    </row>
    <row r="183" spans="1:51">
      <c r="A183" s="75">
        <v>41122</v>
      </c>
      <c r="B183" s="2">
        <f t="shared" si="119"/>
        <v>2012</v>
      </c>
      <c r="C183" s="2">
        <f t="shared" si="159"/>
        <v>8</v>
      </c>
      <c r="D183" s="43">
        <v>6.0838568219862998E-2</v>
      </c>
      <c r="E183" s="44">
        <f t="shared" ca="1" si="120"/>
        <v>0.49626881612067048</v>
      </c>
      <c r="F183" s="44"/>
      <c r="G183" s="10"/>
      <c r="H183" s="10">
        <f t="shared" si="141"/>
        <v>18674.941844758399</v>
      </c>
      <c r="I183" s="10">
        <f t="shared" si="141"/>
        <v>16543.813014487696</v>
      </c>
      <c r="K183" s="46">
        <f t="shared" ref="K183:P183" si="177">K171</f>
        <v>2226.0658602150538</v>
      </c>
      <c r="L183" s="46">
        <f t="shared" si="177"/>
        <v>1361.989247311828</v>
      </c>
      <c r="M183" s="46">
        <f t="shared" si="177"/>
        <v>483.36424731182797</v>
      </c>
      <c r="N183" s="46">
        <f t="shared" si="177"/>
        <v>3.924731182795699</v>
      </c>
      <c r="O183" s="46">
        <f t="shared" si="131"/>
        <v>4075.3440860215055</v>
      </c>
      <c r="P183" s="46">
        <f t="shared" si="177"/>
        <v>3426.252928840011</v>
      </c>
      <c r="Q183" s="46">
        <f t="shared" si="161"/>
        <v>7501.5970148615161</v>
      </c>
      <c r="R183" s="10">
        <f t="shared" si="154"/>
        <v>11173.344829896883</v>
      </c>
      <c r="T183" s="65">
        <f t="shared" si="155"/>
        <v>48.72</v>
      </c>
      <c r="U183" s="65">
        <f t="shared" si="145"/>
        <v>23</v>
      </c>
      <c r="V183" s="65">
        <f t="shared" si="145"/>
        <v>34</v>
      </c>
      <c r="W183" s="65">
        <f t="shared" si="145"/>
        <v>38</v>
      </c>
      <c r="X183" s="65">
        <f t="shared" si="162"/>
        <v>38.368099058856423</v>
      </c>
      <c r="Y183" s="65">
        <f>$Y$18/1000*CURVES!K142+$Y$14</f>
        <v>79.017632728494618</v>
      </c>
      <c r="Z183" s="65">
        <f t="shared" si="163"/>
        <v>56.934223514176772</v>
      </c>
      <c r="AA183" s="65">
        <f>CHOOSE(AA$18,CURVES!F142,CURVES!G142)</f>
        <v>63.122400731816455</v>
      </c>
      <c r="AB183" s="65">
        <f t="shared" si="156"/>
        <v>60.63665206768826</v>
      </c>
      <c r="AD183" s="65"/>
      <c r="AH183" s="46">
        <f t="shared" si="171"/>
        <v>1859.5945026415061</v>
      </c>
      <c r="AI183" s="46">
        <f t="shared" si="171"/>
        <v>0</v>
      </c>
      <c r="AJ183" s="46">
        <f t="shared" si="171"/>
        <v>1584.5088037693729</v>
      </c>
      <c r="AK183" s="46">
        <f t="shared" si="171"/>
        <v>621.50165686237608</v>
      </c>
      <c r="AL183" s="46">
        <f t="shared" si="133"/>
        <v>4065.6049632732547</v>
      </c>
      <c r="AM183" s="46">
        <f t="shared" si="138"/>
        <v>2208.289016129032</v>
      </c>
      <c r="AN183" s="46">
        <f t="shared" si="164"/>
        <v>6273.8939794022863</v>
      </c>
      <c r="AO183" s="10">
        <f t="shared" si="157"/>
        <v>10269.91903508541</v>
      </c>
      <c r="AQ183" s="65">
        <f t="shared" si="158"/>
        <v>43</v>
      </c>
      <c r="AR183" s="65"/>
      <c r="AS183" s="65">
        <f t="shared" si="146"/>
        <v>30</v>
      </c>
      <c r="AT183" s="65">
        <f t="shared" si="146"/>
        <v>38</v>
      </c>
      <c r="AU183" s="65">
        <f t="shared" si="165"/>
        <v>37.169103258318607</v>
      </c>
      <c r="AV183" s="65">
        <f>$Y$18/1000*CURVES!O142+$AV$14</f>
        <v>74.164619288019153</v>
      </c>
      <c r="AW183" s="65">
        <f t="shared" si="166"/>
        <v>50.190807476246199</v>
      </c>
      <c r="AX183" s="65">
        <f>CHOOSE(AX$18,CURVES!B142,CURVES!C142)</f>
        <v>68.3241935483871</v>
      </c>
      <c r="AY183" s="65">
        <f t="shared" si="167"/>
        <v>61.447487337759931</v>
      </c>
    </row>
    <row r="184" spans="1:51">
      <c r="A184" s="75">
        <v>41153</v>
      </c>
      <c r="B184" s="2">
        <f t="shared" si="119"/>
        <v>2012</v>
      </c>
      <c r="C184" s="2">
        <f t="shared" si="159"/>
        <v>9</v>
      </c>
      <c r="D184" s="43">
        <v>6.0863073799306E-2</v>
      </c>
      <c r="E184" s="44">
        <f t="shared" ca="1" si="120"/>
        <v>0.49369368608106101</v>
      </c>
      <c r="F184" s="44"/>
      <c r="G184" s="10"/>
      <c r="H184" s="10">
        <f t="shared" ref="H184:I203" si="178">(1+$I$17)*H172</f>
        <v>16915.979879995943</v>
      </c>
      <c r="I184" s="10">
        <f t="shared" si="178"/>
        <v>15583.209670162287</v>
      </c>
      <c r="K184" s="46">
        <f t="shared" ref="K184:P184" si="179">K172</f>
        <v>2263.6333333333332</v>
      </c>
      <c r="L184" s="46">
        <f t="shared" si="179"/>
        <v>1380.7361111111111</v>
      </c>
      <c r="M184" s="46">
        <f t="shared" si="179"/>
        <v>542.60277777777776</v>
      </c>
      <c r="N184" s="46">
        <f t="shared" si="179"/>
        <v>3.4194444444444443</v>
      </c>
      <c r="O184" s="46">
        <f t="shared" si="131"/>
        <v>4190.3916666666673</v>
      </c>
      <c r="P184" s="46">
        <f t="shared" si="179"/>
        <v>3348.1339323547272</v>
      </c>
      <c r="Q184" s="46">
        <f t="shared" si="161"/>
        <v>7538.5255990213946</v>
      </c>
      <c r="R184" s="10">
        <f t="shared" si="154"/>
        <v>9377.454280974549</v>
      </c>
      <c r="T184" s="65">
        <f t="shared" si="155"/>
        <v>48.72</v>
      </c>
      <c r="U184" s="65">
        <f t="shared" si="145"/>
        <v>23</v>
      </c>
      <c r="V184" s="65">
        <f t="shared" si="145"/>
        <v>34</v>
      </c>
      <c r="W184" s="65">
        <f t="shared" si="145"/>
        <v>38</v>
      </c>
      <c r="X184" s="65">
        <f t="shared" si="162"/>
        <v>38.330445615995849</v>
      </c>
      <c r="Y184" s="65">
        <f>$Y$18/1000*CURVES!K143+$Y$14</f>
        <v>79.238132728494634</v>
      </c>
      <c r="Z184" s="65">
        <f t="shared" si="163"/>
        <v>56.499040192803704</v>
      </c>
      <c r="AA184" s="65">
        <f>CHOOSE(AA$18,CURVES!F143,CURVES!G143)</f>
        <v>56.547352708439007</v>
      </c>
      <c r="AB184" s="65">
        <f t="shared" si="156"/>
        <v>56.525822466711745</v>
      </c>
      <c r="AD184" s="65"/>
      <c r="AH184" s="46">
        <f t="shared" si="171"/>
        <v>1890.9773416389726</v>
      </c>
      <c r="AI184" s="46">
        <f t="shared" si="171"/>
        <v>0</v>
      </c>
      <c r="AJ184" s="46">
        <f t="shared" si="171"/>
        <v>765.82060543821262</v>
      </c>
      <c r="AK184" s="46">
        <f t="shared" si="171"/>
        <v>570.92254509204622</v>
      </c>
      <c r="AL184" s="46">
        <f t="shared" si="133"/>
        <v>3227.7204921692314</v>
      </c>
      <c r="AM184" s="46">
        <f t="shared" si="138"/>
        <v>2371.5769315068492</v>
      </c>
      <c r="AN184" s="46">
        <f t="shared" si="164"/>
        <v>5599.2974236760801</v>
      </c>
      <c r="AO184" s="10">
        <f t="shared" si="157"/>
        <v>9983.9122464862048</v>
      </c>
      <c r="AQ184" s="65">
        <f t="shared" si="158"/>
        <v>43</v>
      </c>
      <c r="AR184" s="65"/>
      <c r="AS184" s="65">
        <f t="shared" si="146"/>
        <v>30</v>
      </c>
      <c r="AT184" s="65">
        <f t="shared" si="146"/>
        <v>38</v>
      </c>
      <c r="AU184" s="65">
        <f t="shared" si="165"/>
        <v>39.031167931908605</v>
      </c>
      <c r="AV184" s="65">
        <f>$Y$18/1000*CURVES!O143+$AV$14</f>
        <v>74.385119288019155</v>
      </c>
      <c r="AW184" s="65">
        <f t="shared" si="166"/>
        <v>54.005299350475212</v>
      </c>
      <c r="AX184" s="65">
        <f>CHOOSE(AX$18,CURVES!B143,CURVES!C143)</f>
        <v>58.7</v>
      </c>
      <c r="AY184" s="65">
        <f t="shared" si="167"/>
        <v>57.013118682979204</v>
      </c>
    </row>
    <row r="185" spans="1:51">
      <c r="A185" s="75">
        <v>41183</v>
      </c>
      <c r="B185" s="2">
        <f t="shared" si="119"/>
        <v>2012</v>
      </c>
      <c r="C185" s="2">
        <f t="shared" si="159"/>
        <v>10</v>
      </c>
      <c r="D185" s="43">
        <v>6.0886788876375997E-2</v>
      </c>
      <c r="E185" s="44">
        <f t="shared" ca="1" si="120"/>
        <v>0.49105382439316136</v>
      </c>
      <c r="F185" s="44"/>
      <c r="G185" s="10"/>
      <c r="H185" s="10">
        <f t="shared" si="178"/>
        <v>15714.92772851112</v>
      </c>
      <c r="I185" s="10">
        <f t="shared" si="178"/>
        <v>13488.392054616677</v>
      </c>
      <c r="K185" s="46">
        <f t="shared" ref="K185:P185" si="180">K173</f>
        <v>2069.2916666666665</v>
      </c>
      <c r="L185" s="46">
        <f t="shared" si="180"/>
        <v>1227.5241935483871</v>
      </c>
      <c r="M185" s="46">
        <f t="shared" si="180"/>
        <v>369.34005376344084</v>
      </c>
      <c r="N185" s="46">
        <f t="shared" si="180"/>
        <v>3.278225806451613</v>
      </c>
      <c r="O185" s="46">
        <f t="shared" si="131"/>
        <v>3669.4341397849457</v>
      </c>
      <c r="P185" s="46">
        <f t="shared" si="180"/>
        <v>3171.075494984625</v>
      </c>
      <c r="Q185" s="46">
        <f t="shared" si="161"/>
        <v>6840.5096347695708</v>
      </c>
      <c r="R185" s="10">
        <f t="shared" si="154"/>
        <v>8874.4180937415495</v>
      </c>
      <c r="T185" s="65">
        <f t="shared" si="155"/>
        <v>48.72</v>
      </c>
      <c r="U185" s="65">
        <f t="shared" si="145"/>
        <v>23</v>
      </c>
      <c r="V185" s="65">
        <f t="shared" si="145"/>
        <v>34</v>
      </c>
      <c r="W185" s="65">
        <f t="shared" si="145"/>
        <v>38</v>
      </c>
      <c r="X185" s="65">
        <f t="shared" si="162"/>
        <v>38.624778497461044</v>
      </c>
      <c r="Y185" s="65">
        <f>$Y$18/1000*CURVES!K144+$Y$14</f>
        <v>79.553132728494631</v>
      </c>
      <c r="Z185" s="65">
        <f t="shared" si="163"/>
        <v>57.598057987104347</v>
      </c>
      <c r="AA185" s="65">
        <f>CHOOSE(AA$18,CURVES!F144,CURVES!G144)</f>
        <v>46.494561381267495</v>
      </c>
      <c r="AB185" s="65">
        <f t="shared" si="156"/>
        <v>51.327773268972074</v>
      </c>
      <c r="AD185" s="65"/>
      <c r="AH185" s="46">
        <f t="shared" si="171"/>
        <v>1913.8399491890309</v>
      </c>
      <c r="AI185" s="46">
        <f t="shared" si="171"/>
        <v>0</v>
      </c>
      <c r="AJ185" s="46">
        <f t="shared" si="171"/>
        <v>1075.3801160883429</v>
      </c>
      <c r="AK185" s="46">
        <f t="shared" si="171"/>
        <v>576.38556050292607</v>
      </c>
      <c r="AL185" s="46">
        <f t="shared" si="133"/>
        <v>3565.6056257802998</v>
      </c>
      <c r="AM185" s="46">
        <f t="shared" si="138"/>
        <v>2259.7132500000002</v>
      </c>
      <c r="AN185" s="46">
        <f t="shared" si="164"/>
        <v>5825.3188757803</v>
      </c>
      <c r="AO185" s="10">
        <f t="shared" si="157"/>
        <v>7663.0731788363773</v>
      </c>
      <c r="AQ185" s="65">
        <f t="shared" si="158"/>
        <v>43</v>
      </c>
      <c r="AR185" s="65"/>
      <c r="AS185" s="65">
        <f t="shared" si="146"/>
        <v>30</v>
      </c>
      <c r="AT185" s="65">
        <f t="shared" si="146"/>
        <v>38</v>
      </c>
      <c r="AU185" s="65">
        <f t="shared" si="165"/>
        <v>38.270966258930272</v>
      </c>
      <c r="AV185" s="65">
        <f>$Y$18/1000*CURVES!O144+$AV$14</f>
        <v>74.700119288019152</v>
      </c>
      <c r="AW185" s="65">
        <f t="shared" si="166"/>
        <v>52.402285340597388</v>
      </c>
      <c r="AX185" s="65">
        <f>CHOOSE(AX$18,CURVES!B144,CURVES!C144)</f>
        <v>46.054838709677426</v>
      </c>
      <c r="AY185" s="65">
        <f t="shared" si="167"/>
        <v>48.796151426744423</v>
      </c>
    </row>
    <row r="186" spans="1:51">
      <c r="A186" s="75">
        <v>41214</v>
      </c>
      <c r="B186" s="2">
        <f t="shared" si="119"/>
        <v>2012</v>
      </c>
      <c r="C186" s="2">
        <f t="shared" si="159"/>
        <v>11</v>
      </c>
      <c r="D186" s="43">
        <v>6.0911294456210997E-2</v>
      </c>
      <c r="E186" s="44">
        <f t="shared" ca="1" si="120"/>
        <v>0.48850194021023696</v>
      </c>
      <c r="F186" s="44"/>
      <c r="G186" s="10"/>
      <c r="H186" s="10">
        <f t="shared" si="178"/>
        <v>15372.303545774081</v>
      </c>
      <c r="I186" s="10">
        <f t="shared" si="178"/>
        <v>13693.133983918133</v>
      </c>
      <c r="K186" s="46">
        <f t="shared" ref="K186:P186" si="181">K174</f>
        <v>2201.1583333333333</v>
      </c>
      <c r="L186" s="46">
        <f t="shared" si="181"/>
        <v>1270.0277777777778</v>
      </c>
      <c r="M186" s="46">
        <f t="shared" si="181"/>
        <v>241.3111111111111</v>
      </c>
      <c r="N186" s="46">
        <f t="shared" si="181"/>
        <v>3.1194444444444445</v>
      </c>
      <c r="O186" s="46">
        <f t="shared" si="131"/>
        <v>3715.6166666666668</v>
      </c>
      <c r="P186" s="46">
        <f t="shared" si="181"/>
        <v>3029.0331582980816</v>
      </c>
      <c r="Q186" s="46">
        <f t="shared" si="161"/>
        <v>6744.6498249647484</v>
      </c>
      <c r="R186" s="10">
        <f t="shared" si="154"/>
        <v>8627.6537208093323</v>
      </c>
      <c r="T186" s="65">
        <f t="shared" si="155"/>
        <v>48.72</v>
      </c>
      <c r="U186" s="65">
        <f t="shared" ref="U186:W205" si="182">U$18</f>
        <v>23</v>
      </c>
      <c r="V186" s="65">
        <f t="shared" si="182"/>
        <v>34</v>
      </c>
      <c r="W186" s="65">
        <f t="shared" si="182"/>
        <v>38</v>
      </c>
      <c r="X186" s="65">
        <f t="shared" si="162"/>
        <v>38.963704424717896</v>
      </c>
      <c r="Y186" s="65">
        <f>$Y$18/1000*CURVES!K145+$Y$14</f>
        <v>79.763132728494625</v>
      </c>
      <c r="Z186" s="65">
        <f t="shared" si="163"/>
        <v>57.28679374424248</v>
      </c>
      <c r="AA186" s="65">
        <f>CHOOSE(AA$18,CURVES!F145,CURVES!G145)</f>
        <v>38.753428604222677</v>
      </c>
      <c r="AB186" s="65">
        <f t="shared" si="156"/>
        <v>46.885004823455333</v>
      </c>
      <c r="AD186" s="65"/>
      <c r="AH186" s="46">
        <f t="shared" si="171"/>
        <v>1838.7874362867092</v>
      </c>
      <c r="AI186" s="46">
        <f t="shared" si="171"/>
        <v>0</v>
      </c>
      <c r="AJ186" s="46">
        <f t="shared" si="171"/>
        <v>1347.8791847211178</v>
      </c>
      <c r="AK186" s="46">
        <f t="shared" si="171"/>
        <v>499.43911251442188</v>
      </c>
      <c r="AL186" s="46">
        <f t="shared" si="133"/>
        <v>3686.105733522249</v>
      </c>
      <c r="AM186" s="46">
        <f t="shared" si="138"/>
        <v>2451.2376410958905</v>
      </c>
      <c r="AN186" s="46">
        <f t="shared" si="164"/>
        <v>6137.3433746181399</v>
      </c>
      <c r="AO186" s="10">
        <f t="shared" si="157"/>
        <v>7555.7906092999938</v>
      </c>
      <c r="AQ186" s="65">
        <f t="shared" si="158"/>
        <v>43</v>
      </c>
      <c r="AR186" s="65"/>
      <c r="AS186" s="65">
        <f t="shared" ref="AS186:AT205" si="183">AS$18</f>
        <v>30</v>
      </c>
      <c r="AT186" s="65">
        <f t="shared" si="183"/>
        <v>38</v>
      </c>
      <c r="AU186" s="65">
        <f t="shared" si="165"/>
        <v>37.568895628282228</v>
      </c>
      <c r="AV186" s="65">
        <f>$Y$18/1000*CURVES!O145+$AV$14</f>
        <v>76.170119288019151</v>
      </c>
      <c r="AW186" s="65">
        <f t="shared" si="166"/>
        <v>52.986115531347473</v>
      </c>
      <c r="AX186" s="65">
        <f>CHOOSE(AX$18,CURVES!B145,CURVES!C145)</f>
        <v>44.144444444444446</v>
      </c>
      <c r="AY186" s="65">
        <f t="shared" si="167"/>
        <v>48.107333548537611</v>
      </c>
    </row>
    <row r="187" spans="1:51">
      <c r="A187" s="75">
        <v>41244</v>
      </c>
      <c r="B187" s="2">
        <f t="shared" si="119"/>
        <v>2012</v>
      </c>
      <c r="C187" s="2">
        <f t="shared" si="159"/>
        <v>12</v>
      </c>
      <c r="D187" s="43">
        <v>6.0935009533661003E-2</v>
      </c>
      <c r="E187" s="44">
        <f t="shared" ca="1" si="120"/>
        <v>0.48588604539298785</v>
      </c>
      <c r="F187" s="44"/>
      <c r="G187" s="10"/>
      <c r="H187" s="10">
        <f t="shared" si="178"/>
        <v>15261.615019288607</v>
      </c>
      <c r="I187" s="10">
        <f t="shared" si="178"/>
        <v>13662.025568684829</v>
      </c>
      <c r="K187" s="46">
        <f t="shared" ref="K187:P187" si="184">K175</f>
        <v>2256.4126344086021</v>
      </c>
      <c r="L187" s="46">
        <f t="shared" si="184"/>
        <v>1157.2150537634409</v>
      </c>
      <c r="M187" s="46">
        <f t="shared" si="184"/>
        <v>239.86021505376345</v>
      </c>
      <c r="N187" s="46">
        <f t="shared" si="184"/>
        <v>2.9690860215053765</v>
      </c>
      <c r="O187" s="46">
        <f t="shared" si="131"/>
        <v>3656.4569892473123</v>
      </c>
      <c r="P187" s="46">
        <f t="shared" si="184"/>
        <v>2977.5968497309718</v>
      </c>
      <c r="Q187" s="46">
        <f t="shared" si="161"/>
        <v>6634.0538389782841</v>
      </c>
      <c r="R187" s="10">
        <f t="shared" si="154"/>
        <v>8627.5611803103238</v>
      </c>
      <c r="T187" s="65">
        <f t="shared" si="155"/>
        <v>48.72</v>
      </c>
      <c r="U187" s="65">
        <f t="shared" si="182"/>
        <v>23</v>
      </c>
      <c r="V187" s="65">
        <f t="shared" si="182"/>
        <v>34</v>
      </c>
      <c r="W187" s="65">
        <f t="shared" si="182"/>
        <v>38</v>
      </c>
      <c r="X187" s="65">
        <f t="shared" si="162"/>
        <v>39.60567368670241</v>
      </c>
      <c r="Y187" s="65">
        <f>$Y$18/1000*CURVES!K146+$Y$14</f>
        <v>81.075632728494625</v>
      </c>
      <c r="Z187" s="65">
        <f t="shared" si="163"/>
        <v>58.218850847822686</v>
      </c>
      <c r="AA187" s="65">
        <f>CHOOSE(AA$18,CURVES!F146,CURVES!G146)</f>
        <v>38.253437283207951</v>
      </c>
      <c r="AB187" s="65">
        <f t="shared" si="156"/>
        <v>46.932179889263772</v>
      </c>
      <c r="AD187" s="65"/>
      <c r="AH187" s="46">
        <f t="shared" si="171"/>
        <v>1921.095004536046</v>
      </c>
      <c r="AI187" s="46">
        <f t="shared" si="171"/>
        <v>0</v>
      </c>
      <c r="AJ187" s="46">
        <f t="shared" si="171"/>
        <v>1326.4786927345147</v>
      </c>
      <c r="AK187" s="46">
        <f t="shared" si="171"/>
        <v>519.61972313456249</v>
      </c>
      <c r="AL187" s="46">
        <f t="shared" si="133"/>
        <v>3767.1934204051231</v>
      </c>
      <c r="AM187" s="46">
        <f t="shared" si="138"/>
        <v>2024.2479112903225</v>
      </c>
      <c r="AN187" s="46">
        <f t="shared" si="164"/>
        <v>5791.4413316954451</v>
      </c>
      <c r="AO187" s="10">
        <f t="shared" si="157"/>
        <v>7870.5842369893835</v>
      </c>
      <c r="AQ187" s="65">
        <f t="shared" si="158"/>
        <v>43</v>
      </c>
      <c r="AR187" s="65"/>
      <c r="AS187" s="65">
        <f t="shared" si="183"/>
        <v>30</v>
      </c>
      <c r="AT187" s="65">
        <f t="shared" si="183"/>
        <v>38</v>
      </c>
      <c r="AU187" s="65">
        <f t="shared" si="165"/>
        <v>37.732863591833393</v>
      </c>
      <c r="AV187" s="65">
        <f>$Y$18/1000*CURVES!O146+$AV$14</f>
        <v>77.482619288019151</v>
      </c>
      <c r="AW187" s="65">
        <f t="shared" si="166"/>
        <v>51.626358377310048</v>
      </c>
      <c r="AX187" s="65">
        <f>CHOOSE(AX$18,CURVES!B146,CURVES!C146)</f>
        <v>43.033333333333331</v>
      </c>
      <c r="AY187" s="65">
        <f t="shared" si="167"/>
        <v>46.675985014358659</v>
      </c>
    </row>
    <row r="188" spans="1:51">
      <c r="A188" s="75">
        <v>41275</v>
      </c>
      <c r="B188" s="2">
        <f t="shared" si="119"/>
        <v>2013</v>
      </c>
      <c r="C188" s="2">
        <f t="shared" si="159"/>
        <v>1</v>
      </c>
      <c r="D188" s="43">
        <v>6.0959515113889001E-2</v>
      </c>
      <c r="E188" s="44">
        <f t="shared" ca="1" si="120"/>
        <v>0.48327778267836063</v>
      </c>
      <c r="F188" s="44"/>
      <c r="G188" s="10"/>
      <c r="H188" s="10">
        <f t="shared" si="178"/>
        <v>15542.031716473195</v>
      </c>
      <c r="I188" s="10">
        <f t="shared" si="178"/>
        <v>14774.639209735467</v>
      </c>
      <c r="K188" s="46">
        <f t="shared" ref="K188:P188" si="185">K176</f>
        <v>2185.9180107526881</v>
      </c>
      <c r="L188" s="46">
        <f t="shared" si="185"/>
        <v>1282.3306451612902</v>
      </c>
      <c r="M188" s="46">
        <f t="shared" si="185"/>
        <v>142.8521505376344</v>
      </c>
      <c r="N188" s="46">
        <f t="shared" si="185"/>
        <v>3.168010752688172</v>
      </c>
      <c r="O188" s="46">
        <f t="shared" si="131"/>
        <v>3614.2688172043008</v>
      </c>
      <c r="P188" s="46">
        <f t="shared" si="185"/>
        <v>2792.6655547379</v>
      </c>
      <c r="Q188" s="46">
        <f t="shared" si="161"/>
        <v>6406.9343719422013</v>
      </c>
      <c r="R188" s="10">
        <f t="shared" si="154"/>
        <v>9135.0973445309955</v>
      </c>
      <c r="T188" s="65">
        <f t="shared" si="155"/>
        <v>48.72</v>
      </c>
      <c r="U188" s="65">
        <f t="shared" si="182"/>
        <v>23</v>
      </c>
      <c r="V188" s="65">
        <f t="shared" si="182"/>
        <v>34</v>
      </c>
      <c r="W188" s="65">
        <f t="shared" si="182"/>
        <v>38</v>
      </c>
      <c r="X188" s="65">
        <f t="shared" si="162"/>
        <v>39.003431946853418</v>
      </c>
      <c r="Y188" s="65">
        <f>$Y$18/1000*CURVES!K147+$Y$14</f>
        <v>82.587632728494626</v>
      </c>
      <c r="Z188" s="65">
        <f t="shared" si="163"/>
        <v>58.000988217555928</v>
      </c>
      <c r="AA188" s="65">
        <f>CHOOSE(AA$18,CURVES!F147,CURVES!G147)</f>
        <v>39.903314016316536</v>
      </c>
      <c r="AB188" s="65">
        <f t="shared" si="156"/>
        <v>47.363767900813173</v>
      </c>
      <c r="AD188" s="65"/>
      <c r="AH188" s="46">
        <f t="shared" si="171"/>
        <v>1826.0560878589888</v>
      </c>
      <c r="AI188" s="46">
        <f t="shared" si="171"/>
        <v>0</v>
      </c>
      <c r="AJ188" s="46">
        <f t="shared" si="171"/>
        <v>1744.0893186443859</v>
      </c>
      <c r="AK188" s="46">
        <f t="shared" si="171"/>
        <v>538.87289280137145</v>
      </c>
      <c r="AL188" s="46">
        <f t="shared" si="133"/>
        <v>4109.0182993047465</v>
      </c>
      <c r="AM188" s="46">
        <f t="shared" si="138"/>
        <v>2445.3687016129034</v>
      </c>
      <c r="AN188" s="46">
        <f t="shared" si="164"/>
        <v>6554.3870009176499</v>
      </c>
      <c r="AO188" s="10">
        <f t="shared" si="157"/>
        <v>8220.2522088178157</v>
      </c>
      <c r="AQ188" s="65">
        <f t="shared" si="158"/>
        <v>43</v>
      </c>
      <c r="AR188" s="65"/>
      <c r="AS188" s="65">
        <f t="shared" si="183"/>
        <v>30</v>
      </c>
      <c r="AT188" s="65">
        <f t="shared" si="183"/>
        <v>38</v>
      </c>
      <c r="AU188" s="65">
        <f t="shared" si="165"/>
        <v>36.826378040059808</v>
      </c>
      <c r="AV188" s="65">
        <f>$Y$18/1000*CURVES!O147+$AV$14</f>
        <v>78.994619288019152</v>
      </c>
      <c r="AW188" s="65">
        <f t="shared" si="166"/>
        <v>52.55887862865567</v>
      </c>
      <c r="AX188" s="65">
        <f>CHOOSE(AX$18,CURVES!B147,CURVES!C147)</f>
        <v>47.468817204301075</v>
      </c>
      <c r="AY188" s="65">
        <f t="shared" si="167"/>
        <v>49.726891459791432</v>
      </c>
    </row>
    <row r="189" spans="1:51">
      <c r="A189" s="75">
        <v>41306</v>
      </c>
      <c r="B189" s="2">
        <f t="shared" si="119"/>
        <v>2013</v>
      </c>
      <c r="C189" s="2">
        <f t="shared" si="159"/>
        <v>2</v>
      </c>
      <c r="D189" s="43">
        <v>6.0984020694317E-2</v>
      </c>
      <c r="E189" s="44">
        <f t="shared" ca="1" si="120"/>
        <v>0.480918814423753</v>
      </c>
      <c r="F189" s="44"/>
      <c r="G189" s="10"/>
      <c r="H189" s="10">
        <f t="shared" si="178"/>
        <v>15583.836704529815</v>
      </c>
      <c r="I189" s="10">
        <f t="shared" si="178"/>
        <v>14754.948108676414</v>
      </c>
      <c r="K189" s="46">
        <f t="shared" ref="K189:P189" si="186">K177</f>
        <v>2261.8764367816093</v>
      </c>
      <c r="L189" s="46">
        <f t="shared" si="186"/>
        <v>1335.9798850574712</v>
      </c>
      <c r="M189" s="46">
        <f t="shared" si="186"/>
        <v>236.0028735632184</v>
      </c>
      <c r="N189" s="46">
        <f t="shared" si="186"/>
        <v>3.8491379310344827</v>
      </c>
      <c r="O189" s="46">
        <f t="shared" si="131"/>
        <v>3837.7083333333335</v>
      </c>
      <c r="P189" s="46">
        <f t="shared" si="186"/>
        <v>3011.7717013676738</v>
      </c>
      <c r="Q189" s="46">
        <f t="shared" si="161"/>
        <v>6849.4800347010078</v>
      </c>
      <c r="R189" s="10">
        <f t="shared" si="154"/>
        <v>8734.3566698288068</v>
      </c>
      <c r="T189" s="65">
        <f t="shared" si="155"/>
        <v>48.72</v>
      </c>
      <c r="U189" s="65">
        <f t="shared" si="182"/>
        <v>23</v>
      </c>
      <c r="V189" s="65">
        <f t="shared" si="182"/>
        <v>34</v>
      </c>
      <c r="W189" s="65">
        <f t="shared" si="182"/>
        <v>38</v>
      </c>
      <c r="X189" s="65">
        <f t="shared" si="162"/>
        <v>38.850404811599958</v>
      </c>
      <c r="Y189" s="65">
        <f>$Y$18/1000*CURVES!K148+$Y$14</f>
        <v>81.57963272849463</v>
      </c>
      <c r="Z189" s="65">
        <f t="shared" si="163"/>
        <v>57.63879149342354</v>
      </c>
      <c r="AA189" s="65">
        <f>CHOOSE(AA$18,CURVES!F148,CURVES!G148)</f>
        <v>39.944883180132635</v>
      </c>
      <c r="AB189" s="65">
        <f t="shared" si="156"/>
        <v>47.721791654313975</v>
      </c>
      <c r="AD189" s="65"/>
      <c r="AH189" s="46">
        <f t="shared" si="171"/>
        <v>1925.7468502510062</v>
      </c>
      <c r="AI189" s="46">
        <f t="shared" si="171"/>
        <v>0</v>
      </c>
      <c r="AJ189" s="46">
        <f t="shared" si="171"/>
        <v>2201.9273871825426</v>
      </c>
      <c r="AK189" s="46">
        <f t="shared" si="171"/>
        <v>548.47547775416388</v>
      </c>
      <c r="AL189" s="46">
        <f t="shared" si="133"/>
        <v>4676.1497151877129</v>
      </c>
      <c r="AM189" s="46">
        <f t="shared" si="138"/>
        <v>2161.5456443452381</v>
      </c>
      <c r="AN189" s="46">
        <f t="shared" si="164"/>
        <v>6837.6953595329505</v>
      </c>
      <c r="AO189" s="10">
        <f t="shared" si="157"/>
        <v>7917.252749143463</v>
      </c>
      <c r="AQ189" s="65">
        <f t="shared" si="158"/>
        <v>43</v>
      </c>
      <c r="AR189" s="65"/>
      <c r="AS189" s="65">
        <f t="shared" si="183"/>
        <v>30</v>
      </c>
      <c r="AT189" s="65">
        <f t="shared" si="183"/>
        <v>38</v>
      </c>
      <c r="AU189" s="65">
        <f t="shared" si="165"/>
        <v>36.29203825098557</v>
      </c>
      <c r="AV189" s="65">
        <f>$Y$18/1000*CURVES!O148+$AV$14</f>
        <v>77.986619288019156</v>
      </c>
      <c r="AW189" s="65">
        <f t="shared" si="166"/>
        <v>49.472610840805586</v>
      </c>
      <c r="AX189" s="65">
        <f>CHOOSE(AX$18,CURVES!B148,CURVES!C148)</f>
        <v>46.164285714285711</v>
      </c>
      <c r="AY189" s="65">
        <f t="shared" si="167"/>
        <v>47.697420171880246</v>
      </c>
    </row>
    <row r="190" spans="1:51">
      <c r="A190" s="75">
        <v>41334</v>
      </c>
      <c r="B190" s="2">
        <f t="shared" si="119"/>
        <v>2013</v>
      </c>
      <c r="C190" s="2">
        <f t="shared" si="159"/>
        <v>3</v>
      </c>
      <c r="D190" s="43">
        <v>6.1006154767133003E-2</v>
      </c>
      <c r="E190" s="44">
        <f t="shared" ca="1" si="120"/>
        <v>0.47834695909185565</v>
      </c>
      <c r="F190" s="44"/>
      <c r="G190" s="10"/>
      <c r="H190" s="10">
        <f t="shared" si="178"/>
        <v>15493.619326519316</v>
      </c>
      <c r="I190" s="10">
        <f t="shared" si="178"/>
        <v>14423.704334175074</v>
      </c>
      <c r="K190" s="46">
        <f t="shared" ref="K190:P190" si="187">K178</f>
        <v>2263.9462365591398</v>
      </c>
      <c r="L190" s="46">
        <f t="shared" si="187"/>
        <v>1258.630376344086</v>
      </c>
      <c r="M190" s="46">
        <f t="shared" si="187"/>
        <v>620.64650537634407</v>
      </c>
      <c r="N190" s="46">
        <f t="shared" si="187"/>
        <v>2.581989247311828</v>
      </c>
      <c r="O190" s="46">
        <f t="shared" si="131"/>
        <v>4145.8051075268813</v>
      </c>
      <c r="P190" s="46">
        <f t="shared" si="187"/>
        <v>2834.3973290285558</v>
      </c>
      <c r="Q190" s="46">
        <f t="shared" si="161"/>
        <v>6980.2024365554371</v>
      </c>
      <c r="R190" s="10">
        <f t="shared" si="154"/>
        <v>8513.4168899638789</v>
      </c>
      <c r="T190" s="65">
        <f t="shared" si="155"/>
        <v>48.72</v>
      </c>
      <c r="U190" s="65">
        <f t="shared" si="182"/>
        <v>23</v>
      </c>
      <c r="V190" s="65">
        <f t="shared" si="182"/>
        <v>34</v>
      </c>
      <c r="W190" s="65">
        <f t="shared" si="182"/>
        <v>38</v>
      </c>
      <c r="X190" s="65">
        <f t="shared" si="162"/>
        <v>38.701302138870133</v>
      </c>
      <c r="Y190" s="65">
        <f>$Y$18/1000*CURVES!K149+$Y$14</f>
        <v>80.004632728494627</v>
      </c>
      <c r="Z190" s="65">
        <f t="shared" si="163"/>
        <v>55.473029172189001</v>
      </c>
      <c r="AA190" s="65">
        <f>CHOOSE(AA$18,CURVES!F149,CURVES!G149)</f>
        <v>39.351554039367883</v>
      </c>
      <c r="AB190" s="65">
        <f t="shared" si="156"/>
        <v>46.614618765011066</v>
      </c>
      <c r="AD190" s="65"/>
      <c r="AH190" s="46">
        <f t="shared" si="171"/>
        <v>1891.2387324311178</v>
      </c>
      <c r="AI190" s="46">
        <f t="shared" si="171"/>
        <v>0</v>
      </c>
      <c r="AJ190" s="46">
        <f t="shared" si="171"/>
        <v>1966.5504926356311</v>
      </c>
      <c r="AK190" s="46">
        <f t="shared" si="171"/>
        <v>526.07330501492243</v>
      </c>
      <c r="AL190" s="46">
        <f t="shared" si="133"/>
        <v>4383.8625300816711</v>
      </c>
      <c r="AM190" s="46">
        <f t="shared" si="138"/>
        <v>2044.2222728494623</v>
      </c>
      <c r="AN190" s="46">
        <f t="shared" si="164"/>
        <v>6428.0848029311337</v>
      </c>
      <c r="AO190" s="10">
        <f t="shared" si="157"/>
        <v>7995.6195312439404</v>
      </c>
      <c r="AQ190" s="65">
        <f t="shared" si="158"/>
        <v>43</v>
      </c>
      <c r="AR190" s="65"/>
      <c r="AS190" s="65">
        <f t="shared" si="183"/>
        <v>30</v>
      </c>
      <c r="AT190" s="65">
        <f t="shared" si="183"/>
        <v>38</v>
      </c>
      <c r="AU190" s="65">
        <f t="shared" si="165"/>
        <v>36.56833779894724</v>
      </c>
      <c r="AV190" s="65">
        <f>$Y$18/1000*CURVES!O149+$AV$14</f>
        <v>76.411619288019153</v>
      </c>
      <c r="AW190" s="65">
        <f t="shared" si="166"/>
        <v>49.239067252645782</v>
      </c>
      <c r="AX190" s="65">
        <f>CHOOSE(AX$18,CURVES!B149,CURVES!C149)</f>
        <v>43.939247311827955</v>
      </c>
      <c r="AY190" s="65">
        <f t="shared" si="167"/>
        <v>46.301171213659714</v>
      </c>
    </row>
    <row r="191" spans="1:51">
      <c r="A191" s="75">
        <v>41365</v>
      </c>
      <c r="B191" s="2">
        <f t="shared" si="119"/>
        <v>2013</v>
      </c>
      <c r="C191" s="2">
        <f t="shared" si="159"/>
        <v>4</v>
      </c>
      <c r="D191" s="43">
        <v>6.1030660347938998E-2</v>
      </c>
      <c r="E191" s="44">
        <f t="shared" ca="1" si="120"/>
        <v>0.47585191155067053</v>
      </c>
      <c r="F191" s="44"/>
      <c r="G191" s="10"/>
      <c r="H191" s="10">
        <f t="shared" si="178"/>
        <v>15562.369360875196</v>
      </c>
      <c r="I191" s="10">
        <f t="shared" si="178"/>
        <v>14090.470635181571</v>
      </c>
      <c r="K191" s="46">
        <f t="shared" ref="K191:P191" si="188">K179</f>
        <v>2319.8402777777778</v>
      </c>
      <c r="L191" s="46">
        <f t="shared" si="188"/>
        <v>1179.1659722222223</v>
      </c>
      <c r="M191" s="46">
        <f t="shared" si="188"/>
        <v>811.58611111111111</v>
      </c>
      <c r="N191" s="46">
        <f t="shared" si="188"/>
        <v>3.0416666666666665</v>
      </c>
      <c r="O191" s="46">
        <f t="shared" si="131"/>
        <v>4313.6340277777781</v>
      </c>
      <c r="P191" s="46">
        <f t="shared" si="188"/>
        <v>2923.3945906815438</v>
      </c>
      <c r="Q191" s="46">
        <f t="shared" si="161"/>
        <v>7237.0286184593224</v>
      </c>
      <c r="R191" s="10">
        <f t="shared" si="154"/>
        <v>8325.340742415874</v>
      </c>
      <c r="T191" s="65">
        <f t="shared" si="155"/>
        <v>48.72</v>
      </c>
      <c r="U191" s="65">
        <f t="shared" si="182"/>
        <v>23</v>
      </c>
      <c r="V191" s="65">
        <f t="shared" si="182"/>
        <v>34</v>
      </c>
      <c r="W191" s="65">
        <f t="shared" si="182"/>
        <v>38</v>
      </c>
      <c r="X191" s="65">
        <f t="shared" si="162"/>
        <v>38.912189982891782</v>
      </c>
      <c r="Y191" s="65">
        <f>$Y$18/1000*CURVES!K150+$Y$14</f>
        <v>79.343132728494624</v>
      </c>
      <c r="Z191" s="65">
        <f t="shared" si="163"/>
        <v>55.24425187596924</v>
      </c>
      <c r="AA191" s="65">
        <f>CHOOSE(AA$18,CURVES!F150,CURVES!G150)</f>
        <v>38.395870422566304</v>
      </c>
      <c r="AB191" s="65">
        <f t="shared" si="156"/>
        <v>46.230938202125749</v>
      </c>
      <c r="AD191" s="65"/>
      <c r="AH191" s="46">
        <f t="shared" si="171"/>
        <v>1937.9310849074075</v>
      </c>
      <c r="AI191" s="46">
        <f t="shared" si="171"/>
        <v>0</v>
      </c>
      <c r="AJ191" s="46">
        <f t="shared" si="171"/>
        <v>2070.9500209392572</v>
      </c>
      <c r="AK191" s="46">
        <f t="shared" si="171"/>
        <v>513.91932921853174</v>
      </c>
      <c r="AL191" s="46">
        <f t="shared" si="133"/>
        <v>4522.8004350651963</v>
      </c>
      <c r="AM191" s="46">
        <f t="shared" si="138"/>
        <v>2152.9968589041096</v>
      </c>
      <c r="AN191" s="46">
        <f t="shared" si="164"/>
        <v>6675.7972939693063</v>
      </c>
      <c r="AO191" s="10">
        <f t="shared" si="157"/>
        <v>7414.6733412122667</v>
      </c>
      <c r="AQ191" s="65">
        <f t="shared" si="158"/>
        <v>43</v>
      </c>
      <c r="AR191" s="65"/>
      <c r="AS191" s="65">
        <f t="shared" si="183"/>
        <v>30</v>
      </c>
      <c r="AT191" s="65">
        <f t="shared" si="183"/>
        <v>38</v>
      </c>
      <c r="AU191" s="65">
        <f t="shared" si="165"/>
        <v>36.479272998726103</v>
      </c>
      <c r="AV191" s="65">
        <f>$Y$18/1000*CURVES!O150+$AV$14</f>
        <v>74.490119288019145</v>
      </c>
      <c r="AW191" s="65">
        <f t="shared" si="166"/>
        <v>48.73806832480107</v>
      </c>
      <c r="AX191" s="65">
        <f>CHOOSE(AX$18,CURVES!B150,CURVES!C150)</f>
        <v>42.286666666666662</v>
      </c>
      <c r="AY191" s="65">
        <f t="shared" si="167"/>
        <v>45.343218207546258</v>
      </c>
    </row>
    <row r="192" spans="1:51">
      <c r="A192" s="75">
        <v>41395</v>
      </c>
      <c r="B192" s="2">
        <f t="shared" si="119"/>
        <v>2013</v>
      </c>
      <c r="C192" s="2">
        <f t="shared" si="159"/>
        <v>5</v>
      </c>
      <c r="D192" s="43">
        <v>6.105437542633E-2</v>
      </c>
      <c r="E192" s="44">
        <f t="shared" ca="1" si="120"/>
        <v>0.47329460834958342</v>
      </c>
      <c r="F192" s="44"/>
      <c r="G192" s="10"/>
      <c r="H192" s="10">
        <f t="shared" si="178"/>
        <v>16444.73746796367</v>
      </c>
      <c r="I192" s="10">
        <f t="shared" si="178"/>
        <v>15348.30213983726</v>
      </c>
      <c r="K192" s="46">
        <f t="shared" ref="K192:P192" si="189">K180</f>
        <v>2226.0672043010754</v>
      </c>
      <c r="L192" s="46">
        <f t="shared" si="189"/>
        <v>1023.6263440860215</v>
      </c>
      <c r="M192" s="46">
        <f t="shared" si="189"/>
        <v>950.16532258064512</v>
      </c>
      <c r="N192" s="46">
        <f t="shared" si="189"/>
        <v>3.3051075268817205</v>
      </c>
      <c r="O192" s="46">
        <f t="shared" si="131"/>
        <v>4203.1639784946237</v>
      </c>
      <c r="P192" s="46">
        <f t="shared" si="189"/>
        <v>2831.510502104928</v>
      </c>
      <c r="Q192" s="46">
        <f t="shared" si="161"/>
        <v>7034.6744805995513</v>
      </c>
      <c r="R192" s="10">
        <f t="shared" si="154"/>
        <v>9410.0629873641192</v>
      </c>
      <c r="T192" s="65">
        <f t="shared" si="155"/>
        <v>48.72</v>
      </c>
      <c r="U192" s="65">
        <f t="shared" si="182"/>
        <v>23</v>
      </c>
      <c r="V192" s="65">
        <f t="shared" si="182"/>
        <v>34</v>
      </c>
      <c r="W192" s="65">
        <f t="shared" si="182"/>
        <v>38</v>
      </c>
      <c r="X192" s="65">
        <f t="shared" si="162"/>
        <v>39.120199926194871</v>
      </c>
      <c r="Y192" s="65">
        <f>$Y$18/1000*CURVES!K151+$Y$14</f>
        <v>79.080632728494635</v>
      </c>
      <c r="Z192" s="65">
        <f t="shared" si="163"/>
        <v>55.204581010268384</v>
      </c>
      <c r="AA192" s="65">
        <f>CHOOSE(AA$18,CURVES!F151,CURVES!G151)</f>
        <v>37.998890228325706</v>
      </c>
      <c r="AB192" s="65">
        <f t="shared" si="156"/>
        <v>45.359082758040003</v>
      </c>
      <c r="AD192" s="65"/>
      <c r="AH192" s="46">
        <f t="shared" si="171"/>
        <v>1895.2591032026239</v>
      </c>
      <c r="AI192" s="46">
        <f t="shared" si="171"/>
        <v>0</v>
      </c>
      <c r="AJ192" s="46">
        <f t="shared" si="171"/>
        <v>1877.6303324734643</v>
      </c>
      <c r="AK192" s="46">
        <f t="shared" si="171"/>
        <v>570.53181663934993</v>
      </c>
      <c r="AL192" s="46">
        <f t="shared" si="133"/>
        <v>4343.4212523154383</v>
      </c>
      <c r="AM192" s="46">
        <f t="shared" si="138"/>
        <v>2186.8418319892476</v>
      </c>
      <c r="AN192" s="46">
        <f t="shared" si="164"/>
        <v>6530.2630843046863</v>
      </c>
      <c r="AO192" s="10">
        <f t="shared" si="157"/>
        <v>8818.0390555325739</v>
      </c>
      <c r="AQ192" s="65">
        <f t="shared" si="158"/>
        <v>43</v>
      </c>
      <c r="AR192" s="65"/>
      <c r="AS192" s="65">
        <f t="shared" si="183"/>
        <v>30</v>
      </c>
      <c r="AT192" s="65">
        <f t="shared" si="183"/>
        <v>38</v>
      </c>
      <c r="AU192" s="65">
        <f t="shared" si="165"/>
        <v>36.723414833221909</v>
      </c>
      <c r="AV192" s="65">
        <f>$Y$18/1000*CURVES!O151+$AV$14</f>
        <v>74.227619288019156</v>
      </c>
      <c r="AW192" s="65">
        <f t="shared" si="166"/>
        <v>49.282750057303588</v>
      </c>
      <c r="AX192" s="65">
        <f>CHOOSE(AX$18,CURVES!B151,CURVES!C151)</f>
        <v>42.119892473118277</v>
      </c>
      <c r="AY192" s="65">
        <f t="shared" si="167"/>
        <v>45.167483277232662</v>
      </c>
    </row>
    <row r="193" spans="1:51">
      <c r="A193" s="75">
        <v>41426</v>
      </c>
      <c r="B193" s="2">
        <f t="shared" si="119"/>
        <v>2013</v>
      </c>
      <c r="C193" s="2">
        <f t="shared" si="159"/>
        <v>6</v>
      </c>
      <c r="D193" s="43">
        <v>6.1078881007529E-2</v>
      </c>
      <c r="E193" s="44">
        <f t="shared" ca="1" si="120"/>
        <v>0.47082223762846226</v>
      </c>
      <c r="F193" s="44"/>
      <c r="G193" s="10"/>
      <c r="H193" s="10">
        <f t="shared" si="178"/>
        <v>18173.440940755147</v>
      </c>
      <c r="I193" s="10">
        <f t="shared" si="178"/>
        <v>17307.149608775442</v>
      </c>
      <c r="K193" s="46">
        <f t="shared" ref="K193:P193" si="190">K181</f>
        <v>2252.1333333333332</v>
      </c>
      <c r="L193" s="46">
        <f t="shared" si="190"/>
        <v>1398.3916666666667</v>
      </c>
      <c r="M193" s="46">
        <f t="shared" si="190"/>
        <v>957.04027777777776</v>
      </c>
      <c r="N193" s="46">
        <f t="shared" si="190"/>
        <v>3.526388888888889</v>
      </c>
      <c r="O193" s="46">
        <f t="shared" si="131"/>
        <v>4611.0916666666662</v>
      </c>
      <c r="P193" s="46">
        <f t="shared" si="190"/>
        <v>3175.7411781346573</v>
      </c>
      <c r="Q193" s="46">
        <f t="shared" si="161"/>
        <v>7786.8328448013235</v>
      </c>
      <c r="R193" s="10">
        <f t="shared" si="154"/>
        <v>10386.608095953823</v>
      </c>
      <c r="T193" s="65">
        <f t="shared" si="155"/>
        <v>48.72</v>
      </c>
      <c r="U193" s="65">
        <f t="shared" si="182"/>
        <v>23</v>
      </c>
      <c r="V193" s="65">
        <f t="shared" si="182"/>
        <v>34</v>
      </c>
      <c r="W193" s="65">
        <f t="shared" si="182"/>
        <v>38</v>
      </c>
      <c r="X193" s="65">
        <f t="shared" si="162"/>
        <v>37.856613829094464</v>
      </c>
      <c r="Y193" s="65">
        <f>$Y$18/1000*CURVES!K152+$Y$14</f>
        <v>79.385132728494625</v>
      </c>
      <c r="Z193" s="65">
        <f t="shared" si="163"/>
        <v>54.793387760721522</v>
      </c>
      <c r="AA193" s="65">
        <f>CHOOSE(AA$18,CURVES!F152,CURVES!G152)</f>
        <v>48.511070363731903</v>
      </c>
      <c r="AB193" s="65">
        <f t="shared" si="156"/>
        <v>51.202875157761895</v>
      </c>
      <c r="AD193" s="65"/>
      <c r="AH193" s="46">
        <f t="shared" si="171"/>
        <v>1881.3705563400365</v>
      </c>
      <c r="AI193" s="46">
        <f t="shared" si="171"/>
        <v>0</v>
      </c>
      <c r="AJ193" s="46">
        <f t="shared" si="171"/>
        <v>1162.1616861734683</v>
      </c>
      <c r="AK193" s="46">
        <f t="shared" si="171"/>
        <v>631.24071210358352</v>
      </c>
      <c r="AL193" s="46">
        <f t="shared" si="133"/>
        <v>3674.7729546170881</v>
      </c>
      <c r="AM193" s="46">
        <f t="shared" ref="AM193:AM224" si="191">AM181</f>
        <v>2754.0461410958906</v>
      </c>
      <c r="AN193" s="46">
        <f t="shared" si="164"/>
        <v>6428.8190957129791</v>
      </c>
      <c r="AO193" s="10">
        <f t="shared" si="157"/>
        <v>10878.330513062463</v>
      </c>
      <c r="AQ193" s="65">
        <f t="shared" si="158"/>
        <v>43</v>
      </c>
      <c r="AR193" s="65"/>
      <c r="AS193" s="65">
        <f t="shared" si="183"/>
        <v>30</v>
      </c>
      <c r="AT193" s="65">
        <f t="shared" si="183"/>
        <v>38</v>
      </c>
      <c r="AU193" s="65">
        <f t="shared" si="165"/>
        <v>38.029813894263803</v>
      </c>
      <c r="AV193" s="65">
        <f>$Y$18/1000*CURVES!O152+$AV$14</f>
        <v>74.532119288019146</v>
      </c>
      <c r="AW193" s="65">
        <f t="shared" si="166"/>
        <v>53.667061079802565</v>
      </c>
      <c r="AX193" s="65">
        <f>CHOOSE(AX$18,CURVES!B152,CURVES!C152)</f>
        <v>47.00555555555556</v>
      </c>
      <c r="AY193" s="65">
        <f t="shared" si="167"/>
        <v>49.480001948436005</v>
      </c>
    </row>
    <row r="194" spans="1:51">
      <c r="A194" s="75">
        <v>41456</v>
      </c>
      <c r="B194" s="2">
        <f t="shared" si="119"/>
        <v>2013</v>
      </c>
      <c r="C194" s="2">
        <f t="shared" si="159"/>
        <v>7</v>
      </c>
      <c r="D194" s="43">
        <v>6.1102596086298998E-2</v>
      </c>
      <c r="E194" s="44">
        <f t="shared" ca="1" si="120"/>
        <v>0.4682883082986864</v>
      </c>
      <c r="F194" s="44"/>
      <c r="G194" s="10"/>
      <c r="H194" s="10">
        <f t="shared" si="178"/>
        <v>17937.052735035879</v>
      </c>
      <c r="I194" s="10">
        <f t="shared" si="178"/>
        <v>16429.51672695285</v>
      </c>
      <c r="K194" s="46">
        <f t="shared" ref="K194:P194" si="192">K182</f>
        <v>2248.4569892473119</v>
      </c>
      <c r="L194" s="46">
        <f t="shared" si="192"/>
        <v>1358.3225806451612</v>
      </c>
      <c r="M194" s="46">
        <f t="shared" si="192"/>
        <v>653.55107526881716</v>
      </c>
      <c r="N194" s="46">
        <f t="shared" si="192"/>
        <v>3.8373655913978495</v>
      </c>
      <c r="O194" s="46">
        <f t="shared" si="131"/>
        <v>4264.1680107526872</v>
      </c>
      <c r="P194" s="46">
        <f t="shared" si="192"/>
        <v>3349.3895623880758</v>
      </c>
      <c r="Q194" s="46">
        <f t="shared" si="161"/>
        <v>7613.5575731407625</v>
      </c>
      <c r="R194" s="10">
        <f t="shared" si="154"/>
        <v>10323.495161895115</v>
      </c>
      <c r="T194" s="65">
        <f t="shared" si="155"/>
        <v>48.72</v>
      </c>
      <c r="U194" s="65">
        <f t="shared" si="182"/>
        <v>23</v>
      </c>
      <c r="V194" s="65">
        <f t="shared" si="182"/>
        <v>34</v>
      </c>
      <c r="W194" s="65">
        <f t="shared" si="182"/>
        <v>38</v>
      </c>
      <c r="X194" s="65">
        <f t="shared" si="162"/>
        <v>38.261344278923424</v>
      </c>
      <c r="Y194" s="65">
        <f>$Y$18/1000*CURVES!K153+$Y$14</f>
        <v>79.700132728494623</v>
      </c>
      <c r="Z194" s="65">
        <f t="shared" si="163"/>
        <v>56.49127741828044</v>
      </c>
      <c r="AA194" s="65">
        <f>CHOOSE(AA$18,CURVES!F153,CURVES!G153)</f>
        <v>59.866596161680846</v>
      </c>
      <c r="AB194" s="65">
        <f t="shared" si="156"/>
        <v>58.433909088715687</v>
      </c>
      <c r="AD194" s="65"/>
      <c r="AH194" s="46">
        <f t="shared" si="171"/>
        <v>1914.3216201186069</v>
      </c>
      <c r="AI194" s="46">
        <f t="shared" si="171"/>
        <v>0</v>
      </c>
      <c r="AJ194" s="46">
        <f t="shared" si="171"/>
        <v>1193.3319743059751</v>
      </c>
      <c r="AK194" s="46">
        <f t="shared" si="171"/>
        <v>610.72305844211053</v>
      </c>
      <c r="AL194" s="46">
        <f t="shared" si="133"/>
        <v>3718.3766528666924</v>
      </c>
      <c r="AM194" s="46">
        <f t="shared" si="191"/>
        <v>2586.7318602150535</v>
      </c>
      <c r="AN194" s="46">
        <f t="shared" si="164"/>
        <v>6305.1085130817464</v>
      </c>
      <c r="AO194" s="10">
        <f t="shared" si="157"/>
        <v>10124.408213871104</v>
      </c>
      <c r="AQ194" s="65">
        <f t="shared" si="158"/>
        <v>43</v>
      </c>
      <c r="AR194" s="65"/>
      <c r="AS194" s="65">
        <f t="shared" si="183"/>
        <v>30</v>
      </c>
      <c r="AT194" s="65">
        <f t="shared" si="183"/>
        <v>38</v>
      </c>
      <c r="AU194" s="65">
        <f t="shared" si="165"/>
        <v>38.006710537547619</v>
      </c>
      <c r="AV194" s="65">
        <f>$Y$18/1000*CURVES!O153+$AV$14</f>
        <v>74.847119288019144</v>
      </c>
      <c r="AW194" s="65">
        <f t="shared" si="166"/>
        <v>53.120845188913378</v>
      </c>
      <c r="AX194" s="65">
        <f>CHOOSE(AX$18,CURVES!B153,CURVES!C153)</f>
        <v>59.450537634408597</v>
      </c>
      <c r="AY194" s="65">
        <f t="shared" si="167"/>
        <v>57.021409718685483</v>
      </c>
    </row>
    <row r="195" spans="1:51">
      <c r="A195" s="75">
        <v>41487</v>
      </c>
      <c r="B195" s="2">
        <f t="shared" si="119"/>
        <v>2013</v>
      </c>
      <c r="C195" s="2">
        <f t="shared" si="159"/>
        <v>8</v>
      </c>
      <c r="D195" s="43">
        <v>6.1127101667890003E-2</v>
      </c>
      <c r="E195" s="44">
        <f t="shared" ca="1" si="120"/>
        <v>0.4657616648361883</v>
      </c>
      <c r="F195" s="44"/>
      <c r="G195" s="10"/>
      <c r="H195" s="10">
        <f t="shared" si="178"/>
        <v>19235.19010010115</v>
      </c>
      <c r="I195" s="10">
        <f t="shared" si="178"/>
        <v>17040.127404922328</v>
      </c>
      <c r="K195" s="46">
        <f t="shared" ref="K195:P195" si="193">K183</f>
        <v>2226.0658602150538</v>
      </c>
      <c r="L195" s="46">
        <f t="shared" si="193"/>
        <v>1361.989247311828</v>
      </c>
      <c r="M195" s="46">
        <f t="shared" si="193"/>
        <v>483.36424731182797</v>
      </c>
      <c r="N195" s="46">
        <f t="shared" si="193"/>
        <v>3.924731182795699</v>
      </c>
      <c r="O195" s="46">
        <f t="shared" si="131"/>
        <v>4075.3440860215055</v>
      </c>
      <c r="P195" s="46">
        <f t="shared" si="193"/>
        <v>3426.252928840011</v>
      </c>
      <c r="Q195" s="46">
        <f t="shared" si="161"/>
        <v>7501.5970148615161</v>
      </c>
      <c r="R195" s="10">
        <f t="shared" si="154"/>
        <v>11733.593085239634</v>
      </c>
      <c r="T195" s="65">
        <f t="shared" si="155"/>
        <v>48.72</v>
      </c>
      <c r="U195" s="65">
        <f t="shared" si="182"/>
        <v>23</v>
      </c>
      <c r="V195" s="65">
        <f t="shared" si="182"/>
        <v>34</v>
      </c>
      <c r="W195" s="65">
        <f t="shared" si="182"/>
        <v>38</v>
      </c>
      <c r="X195" s="65">
        <f t="shared" si="162"/>
        <v>38.368099058856423</v>
      </c>
      <c r="Y195" s="65">
        <f>$Y$18/1000*CURVES!K154+$Y$14</f>
        <v>79.910132728494631</v>
      </c>
      <c r="Z195" s="65">
        <f t="shared" si="163"/>
        <v>57.341860812332307</v>
      </c>
      <c r="AA195" s="65">
        <f>CHOOSE(AA$18,CURVES!F154,CURVES!G154)</f>
        <v>63.298353267616861</v>
      </c>
      <c r="AB195" s="65">
        <f t="shared" si="156"/>
        <v>60.975360576144958</v>
      </c>
      <c r="AD195" s="65"/>
      <c r="AH195" s="46">
        <f t="shared" si="171"/>
        <v>1859.5945026415061</v>
      </c>
      <c r="AI195" s="46">
        <f t="shared" si="171"/>
        <v>0</v>
      </c>
      <c r="AJ195" s="46">
        <f t="shared" si="171"/>
        <v>1584.5088037693729</v>
      </c>
      <c r="AK195" s="46">
        <f t="shared" si="171"/>
        <v>621.50165686237608</v>
      </c>
      <c r="AL195" s="46">
        <f t="shared" si="133"/>
        <v>4065.6049632732547</v>
      </c>
      <c r="AM195" s="46">
        <f t="shared" si="191"/>
        <v>2208.289016129032</v>
      </c>
      <c r="AN195" s="46">
        <f t="shared" si="164"/>
        <v>6273.8939794022863</v>
      </c>
      <c r="AO195" s="10">
        <f t="shared" si="157"/>
        <v>10766.233425520042</v>
      </c>
      <c r="AQ195" s="65">
        <f t="shared" si="158"/>
        <v>43</v>
      </c>
      <c r="AR195" s="65"/>
      <c r="AS195" s="65">
        <f t="shared" si="183"/>
        <v>30</v>
      </c>
      <c r="AT195" s="65">
        <f t="shared" si="183"/>
        <v>38</v>
      </c>
      <c r="AU195" s="65">
        <f t="shared" si="165"/>
        <v>37.169103258318607</v>
      </c>
      <c r="AV195" s="65">
        <f>$Y$18/1000*CURVES!O154+$AV$14</f>
        <v>75.057119288019152</v>
      </c>
      <c r="AW195" s="65">
        <f t="shared" si="166"/>
        <v>50.504950168705747</v>
      </c>
      <c r="AX195" s="65">
        <f>CHOOSE(AX$18,CURVES!B154,CURVES!C154)</f>
        <v>68.969354838709677</v>
      </c>
      <c r="AY195" s="65">
        <f t="shared" si="167"/>
        <v>62.171065451570371</v>
      </c>
    </row>
    <row r="196" spans="1:51">
      <c r="A196" s="75">
        <v>41518</v>
      </c>
      <c r="B196" s="2">
        <f t="shared" si="119"/>
        <v>2013</v>
      </c>
      <c r="C196" s="2">
        <f t="shared" si="159"/>
        <v>9</v>
      </c>
      <c r="D196" s="43">
        <v>6.1151607249682001E-2</v>
      </c>
      <c r="E196" s="44">
        <f t="shared" ca="1" si="120"/>
        <v>0.46332318850235205</v>
      </c>
      <c r="F196" s="44"/>
      <c r="G196" s="10"/>
      <c r="H196" s="10">
        <f t="shared" si="178"/>
        <v>17423.459276395821</v>
      </c>
      <c r="I196" s="10">
        <f t="shared" si="178"/>
        <v>16050.705960267156</v>
      </c>
      <c r="K196" s="46">
        <f t="shared" ref="K196:P196" si="194">K184</f>
        <v>2263.6333333333332</v>
      </c>
      <c r="L196" s="46">
        <f t="shared" si="194"/>
        <v>1380.7361111111111</v>
      </c>
      <c r="M196" s="46">
        <f t="shared" si="194"/>
        <v>542.60277777777776</v>
      </c>
      <c r="N196" s="46">
        <f t="shared" si="194"/>
        <v>3.4194444444444443</v>
      </c>
      <c r="O196" s="46">
        <f t="shared" si="131"/>
        <v>4190.3916666666673</v>
      </c>
      <c r="P196" s="46">
        <f t="shared" si="194"/>
        <v>3348.1339323547272</v>
      </c>
      <c r="Q196" s="46">
        <f t="shared" si="161"/>
        <v>7538.5255990213946</v>
      </c>
      <c r="R196" s="10">
        <f t="shared" si="154"/>
        <v>9884.9336773744271</v>
      </c>
      <c r="T196" s="65">
        <f t="shared" si="155"/>
        <v>48.72</v>
      </c>
      <c r="U196" s="65">
        <f t="shared" si="182"/>
        <v>23</v>
      </c>
      <c r="V196" s="65">
        <f t="shared" si="182"/>
        <v>34</v>
      </c>
      <c r="W196" s="65">
        <f t="shared" si="182"/>
        <v>38</v>
      </c>
      <c r="X196" s="65">
        <f t="shared" si="162"/>
        <v>38.330445615995849</v>
      </c>
      <c r="Y196" s="65">
        <f>$Y$18/1000*CURVES!K155+$Y$14</f>
        <v>80.130632728494618</v>
      </c>
      <c r="Z196" s="65">
        <f t="shared" si="163"/>
        <v>56.895431966682473</v>
      </c>
      <c r="AA196" s="65">
        <f>CHOOSE(AA$18,CURVES!F155,CURVES!G155)</f>
        <v>56.705936022757655</v>
      </c>
      <c r="AB196" s="65">
        <f t="shared" si="156"/>
        <v>56.787924335269352</v>
      </c>
      <c r="AD196" s="65"/>
      <c r="AH196" s="46">
        <f t="shared" si="171"/>
        <v>1890.9773416389726</v>
      </c>
      <c r="AI196" s="46">
        <f t="shared" si="171"/>
        <v>0</v>
      </c>
      <c r="AJ196" s="46">
        <f t="shared" si="171"/>
        <v>765.82060543821262</v>
      </c>
      <c r="AK196" s="46">
        <f t="shared" si="171"/>
        <v>570.92254509204622</v>
      </c>
      <c r="AL196" s="46">
        <f t="shared" si="133"/>
        <v>3227.7204921692314</v>
      </c>
      <c r="AM196" s="46">
        <f t="shared" si="191"/>
        <v>2371.5769315068492</v>
      </c>
      <c r="AN196" s="46">
        <f t="shared" si="164"/>
        <v>5599.2974236760801</v>
      </c>
      <c r="AO196" s="10">
        <f t="shared" si="157"/>
        <v>10451.408536591076</v>
      </c>
      <c r="AQ196" s="65">
        <f t="shared" si="158"/>
        <v>43</v>
      </c>
      <c r="AR196" s="65"/>
      <c r="AS196" s="65">
        <f t="shared" si="183"/>
        <v>30</v>
      </c>
      <c r="AT196" s="65">
        <f t="shared" si="183"/>
        <v>38</v>
      </c>
      <c r="AU196" s="65">
        <f t="shared" si="165"/>
        <v>39.031167931908605</v>
      </c>
      <c r="AV196" s="65">
        <f>$Y$18/1000*CURVES!O155+$AV$14</f>
        <v>75.277619288019153</v>
      </c>
      <c r="AW196" s="65">
        <f t="shared" si="166"/>
        <v>54.383316850031484</v>
      </c>
      <c r="AX196" s="65">
        <f>CHOOSE(AX$18,CURVES!B155,CURVES!C155)</f>
        <v>59.333333333333329</v>
      </c>
      <c r="AY196" s="65">
        <f t="shared" si="167"/>
        <v>57.606517415658587</v>
      </c>
    </row>
    <row r="197" spans="1:51">
      <c r="A197" s="75">
        <v>41548</v>
      </c>
      <c r="B197" s="2">
        <f t="shared" si="119"/>
        <v>2013</v>
      </c>
      <c r="C197" s="2">
        <f t="shared" si="159"/>
        <v>10</v>
      </c>
      <c r="D197" s="43">
        <v>6.1175322329024999E-2</v>
      </c>
      <c r="E197" s="44">
        <f t="shared" ca="1" si="120"/>
        <v>0.46082419205165831</v>
      </c>
      <c r="F197" s="44"/>
      <c r="G197" s="10"/>
      <c r="H197" s="10">
        <f t="shared" si="178"/>
        <v>16186.375560366454</v>
      </c>
      <c r="I197" s="10">
        <f t="shared" si="178"/>
        <v>13893.043816255178</v>
      </c>
      <c r="K197" s="46">
        <f t="shared" ref="K197:P197" si="195">K185</f>
        <v>2069.2916666666665</v>
      </c>
      <c r="L197" s="46">
        <f t="shared" si="195"/>
        <v>1227.5241935483871</v>
      </c>
      <c r="M197" s="46">
        <f t="shared" si="195"/>
        <v>369.34005376344084</v>
      </c>
      <c r="N197" s="46">
        <f t="shared" si="195"/>
        <v>3.278225806451613</v>
      </c>
      <c r="O197" s="46">
        <f t="shared" si="131"/>
        <v>3669.4341397849457</v>
      </c>
      <c r="P197" s="46">
        <f t="shared" si="195"/>
        <v>3171.075494984625</v>
      </c>
      <c r="Q197" s="46">
        <f t="shared" si="161"/>
        <v>6840.5096347695708</v>
      </c>
      <c r="R197" s="10">
        <f t="shared" si="154"/>
        <v>9345.8659255968832</v>
      </c>
      <c r="T197" s="65">
        <f t="shared" si="155"/>
        <v>48.72</v>
      </c>
      <c r="U197" s="65">
        <f t="shared" si="182"/>
        <v>23</v>
      </c>
      <c r="V197" s="65">
        <f t="shared" si="182"/>
        <v>34</v>
      </c>
      <c r="W197" s="65">
        <f t="shared" si="182"/>
        <v>38</v>
      </c>
      <c r="X197" s="65">
        <f t="shared" si="162"/>
        <v>38.624778497461044</v>
      </c>
      <c r="Y197" s="65">
        <f>$Y$18/1000*CURVES!K156+$Y$14</f>
        <v>80.44563272849463</v>
      </c>
      <c r="Z197" s="65">
        <f t="shared" si="163"/>
        <v>58.011796879436034</v>
      </c>
      <c r="AA197" s="65">
        <f>CHOOSE(AA$18,CURVES!F156,CURVES!G156)</f>
        <v>46.7592721414089</v>
      </c>
      <c r="AB197" s="65">
        <f t="shared" si="156"/>
        <v>51.514691512403331</v>
      </c>
      <c r="AD197" s="65"/>
      <c r="AH197" s="46">
        <f t="shared" ref="AH197:AK216" si="196">AH185</f>
        <v>1913.8399491890309</v>
      </c>
      <c r="AI197" s="46">
        <f t="shared" si="196"/>
        <v>0</v>
      </c>
      <c r="AJ197" s="46">
        <f t="shared" si="196"/>
        <v>1075.3801160883429</v>
      </c>
      <c r="AK197" s="46">
        <f t="shared" si="196"/>
        <v>576.38556050292607</v>
      </c>
      <c r="AL197" s="46">
        <f t="shared" si="133"/>
        <v>3565.6056257802998</v>
      </c>
      <c r="AM197" s="46">
        <f t="shared" si="191"/>
        <v>2259.7132500000002</v>
      </c>
      <c r="AN197" s="46">
        <f t="shared" si="164"/>
        <v>5825.3188757803</v>
      </c>
      <c r="AO197" s="10">
        <f t="shared" si="157"/>
        <v>8067.7249404748782</v>
      </c>
      <c r="AQ197" s="65">
        <f t="shared" si="158"/>
        <v>43</v>
      </c>
      <c r="AR197" s="65"/>
      <c r="AS197" s="65">
        <f t="shared" si="183"/>
        <v>30</v>
      </c>
      <c r="AT197" s="65">
        <f t="shared" si="183"/>
        <v>38</v>
      </c>
      <c r="AU197" s="65">
        <f t="shared" si="165"/>
        <v>38.270966258930272</v>
      </c>
      <c r="AV197" s="65">
        <f>$Y$18/1000*CURVES!O156+$AV$14</f>
        <v>75.592619288019165</v>
      </c>
      <c r="AW197" s="65">
        <f t="shared" si="166"/>
        <v>52.748497130652375</v>
      </c>
      <c r="AX197" s="65">
        <f>CHOOSE(AX$18,CURVES!B156,CURVES!C156)</f>
        <v>46.7</v>
      </c>
      <c r="AY197" s="65">
        <f t="shared" si="167"/>
        <v>49.236119872023089</v>
      </c>
    </row>
    <row r="198" spans="1:51">
      <c r="A198" s="75">
        <v>41579</v>
      </c>
      <c r="B198" s="2">
        <f t="shared" si="119"/>
        <v>2013</v>
      </c>
      <c r="C198" s="2">
        <f t="shared" si="159"/>
        <v>11</v>
      </c>
      <c r="D198" s="43">
        <v>6.1199827911208003E-2</v>
      </c>
      <c r="E198" s="44">
        <f t="shared" ca="1" si="120"/>
        <v>0.45840798676862976</v>
      </c>
      <c r="F198" s="44"/>
      <c r="G198" s="10"/>
      <c r="H198" s="10">
        <f t="shared" si="178"/>
        <v>15833.472652147304</v>
      </c>
      <c r="I198" s="10">
        <f t="shared" si="178"/>
        <v>14103.928003435678</v>
      </c>
      <c r="K198" s="46">
        <f t="shared" ref="K198:P198" si="197">K186</f>
        <v>2201.1583333333333</v>
      </c>
      <c r="L198" s="46">
        <f t="shared" si="197"/>
        <v>1270.0277777777778</v>
      </c>
      <c r="M198" s="46">
        <f t="shared" si="197"/>
        <v>241.3111111111111</v>
      </c>
      <c r="N198" s="46">
        <f t="shared" si="197"/>
        <v>3.1194444444444445</v>
      </c>
      <c r="O198" s="46">
        <f t="shared" si="131"/>
        <v>3715.6166666666668</v>
      </c>
      <c r="P198" s="46">
        <f t="shared" si="197"/>
        <v>3029.0331582980816</v>
      </c>
      <c r="Q198" s="46">
        <f t="shared" si="161"/>
        <v>6744.6498249647484</v>
      </c>
      <c r="R198" s="10">
        <f t="shared" si="154"/>
        <v>9088.8228271825556</v>
      </c>
      <c r="T198" s="65">
        <f t="shared" si="155"/>
        <v>48.72</v>
      </c>
      <c r="U198" s="65">
        <f t="shared" si="182"/>
        <v>23</v>
      </c>
      <c r="V198" s="65">
        <f t="shared" si="182"/>
        <v>34</v>
      </c>
      <c r="W198" s="65">
        <f t="shared" si="182"/>
        <v>38</v>
      </c>
      <c r="X198" s="65">
        <f t="shared" si="162"/>
        <v>38.963704424717896</v>
      </c>
      <c r="Y198" s="65">
        <f>$Y$18/1000*CURVES!K157+$Y$14</f>
        <v>77.505632728494618</v>
      </c>
      <c r="Z198" s="65">
        <f t="shared" si="163"/>
        <v>56.272946838574008</v>
      </c>
      <c r="AA198" s="65">
        <f>CHOOSE(AA$18,CURVES!F157,CURVES!G157)</f>
        <v>39.006187241694363</v>
      </c>
      <c r="AB198" s="65">
        <f t="shared" si="156"/>
        <v>46.361380233865212</v>
      </c>
      <c r="AD198" s="65"/>
      <c r="AH198" s="46">
        <f t="shared" si="196"/>
        <v>1838.7874362867092</v>
      </c>
      <c r="AI198" s="46">
        <f t="shared" si="196"/>
        <v>0</v>
      </c>
      <c r="AJ198" s="46">
        <f t="shared" si="196"/>
        <v>1347.8791847211178</v>
      </c>
      <c r="AK198" s="46">
        <f t="shared" si="196"/>
        <v>499.43911251442188</v>
      </c>
      <c r="AL198" s="46">
        <f t="shared" si="133"/>
        <v>3686.105733522249</v>
      </c>
      <c r="AM198" s="46">
        <f t="shared" si="191"/>
        <v>2451.2376410958905</v>
      </c>
      <c r="AN198" s="46">
        <f t="shared" si="164"/>
        <v>6137.3433746181399</v>
      </c>
      <c r="AO198" s="10">
        <f t="shared" si="157"/>
        <v>7966.5846288175389</v>
      </c>
      <c r="AQ198" s="65">
        <f t="shared" si="158"/>
        <v>43</v>
      </c>
      <c r="AR198" s="65"/>
      <c r="AS198" s="65">
        <f t="shared" si="183"/>
        <v>30</v>
      </c>
      <c r="AT198" s="65">
        <f t="shared" si="183"/>
        <v>38</v>
      </c>
      <c r="AU198" s="65">
        <f t="shared" si="165"/>
        <v>37.568895628282228</v>
      </c>
      <c r="AV198" s="65">
        <f>$Y$18/1000*CURVES!O157+$AV$14</f>
        <v>77.06261928801915</v>
      </c>
      <c r="AW198" s="65">
        <f t="shared" si="166"/>
        <v>53.342577515163754</v>
      </c>
      <c r="AX198" s="65">
        <f>CHOOSE(AX$18,CURVES!B157,CURVES!C157)</f>
        <v>44.783333333333339</v>
      </c>
      <c r="AY198" s="65">
        <f t="shared" si="167"/>
        <v>48.507900032645708</v>
      </c>
    </row>
    <row r="199" spans="1:51">
      <c r="A199" s="75">
        <v>41609</v>
      </c>
      <c r="B199" s="2">
        <f t="shared" si="119"/>
        <v>2013</v>
      </c>
      <c r="C199" s="2">
        <f t="shared" si="159"/>
        <v>12</v>
      </c>
      <c r="D199" s="43">
        <v>6.1223542990929997E-2</v>
      </c>
      <c r="E199" s="44">
        <f t="shared" ca="1" si="120"/>
        <v>0.45593194152535016</v>
      </c>
      <c r="F199" s="44"/>
      <c r="G199" s="10"/>
      <c r="H199" s="10">
        <f t="shared" si="178"/>
        <v>15719.463469867265</v>
      </c>
      <c r="I199" s="10">
        <f t="shared" si="178"/>
        <v>14071.886335745374</v>
      </c>
      <c r="K199" s="46">
        <f t="shared" ref="K199:P199" si="198">K187</f>
        <v>2256.4126344086021</v>
      </c>
      <c r="L199" s="46">
        <f t="shared" si="198"/>
        <v>1157.2150537634409</v>
      </c>
      <c r="M199" s="46">
        <f t="shared" si="198"/>
        <v>239.86021505376345</v>
      </c>
      <c r="N199" s="46">
        <f t="shared" si="198"/>
        <v>2.9690860215053765</v>
      </c>
      <c r="O199" s="46">
        <f t="shared" si="131"/>
        <v>3656.4569892473123</v>
      </c>
      <c r="P199" s="46">
        <f t="shared" si="198"/>
        <v>2977.5968497309718</v>
      </c>
      <c r="Q199" s="46">
        <f t="shared" si="161"/>
        <v>6634.0538389782841</v>
      </c>
      <c r="R199" s="10">
        <f t="shared" si="154"/>
        <v>9085.4096308889821</v>
      </c>
      <c r="T199" s="65">
        <f t="shared" si="155"/>
        <v>48.72</v>
      </c>
      <c r="U199" s="65">
        <f t="shared" si="182"/>
        <v>23</v>
      </c>
      <c r="V199" s="65">
        <f t="shared" si="182"/>
        <v>34</v>
      </c>
      <c r="W199" s="65">
        <f t="shared" si="182"/>
        <v>38</v>
      </c>
      <c r="X199" s="65">
        <f t="shared" si="162"/>
        <v>39.60567368670241</v>
      </c>
      <c r="Y199" s="65">
        <f>$Y$18/1000*CURVES!K158+$Y$14</f>
        <v>78.818132728494618</v>
      </c>
      <c r="Z199" s="65">
        <f t="shared" si="163"/>
        <v>57.205605394677121</v>
      </c>
      <c r="AA199" s="65">
        <f>CHOOSE(AA$18,CURVES!F158,CURVES!G158)</f>
        <v>38.507238529308047</v>
      </c>
      <c r="AB199" s="65">
        <f t="shared" si="156"/>
        <v>46.398473031275017</v>
      </c>
      <c r="AD199" s="65"/>
      <c r="AH199" s="46">
        <f t="shared" si="196"/>
        <v>1921.095004536046</v>
      </c>
      <c r="AI199" s="46">
        <f t="shared" si="196"/>
        <v>0</v>
      </c>
      <c r="AJ199" s="46">
        <f t="shared" si="196"/>
        <v>1326.4786927345147</v>
      </c>
      <c r="AK199" s="46">
        <f t="shared" si="196"/>
        <v>519.61972313456249</v>
      </c>
      <c r="AL199" s="46">
        <f t="shared" si="133"/>
        <v>3767.1934204051231</v>
      </c>
      <c r="AM199" s="46">
        <f t="shared" si="191"/>
        <v>2024.2479112903225</v>
      </c>
      <c r="AN199" s="46">
        <f t="shared" si="164"/>
        <v>5791.4413316954451</v>
      </c>
      <c r="AO199" s="10">
        <f t="shared" si="157"/>
        <v>8280.4450040499287</v>
      </c>
      <c r="AQ199" s="65">
        <f t="shared" si="158"/>
        <v>43</v>
      </c>
      <c r="AR199" s="65"/>
      <c r="AS199" s="65">
        <f t="shared" si="183"/>
        <v>30</v>
      </c>
      <c r="AT199" s="65">
        <f t="shared" si="183"/>
        <v>38</v>
      </c>
      <c r="AU199" s="65">
        <f t="shared" si="165"/>
        <v>37.732863591833393</v>
      </c>
      <c r="AV199" s="65">
        <f>$Y$18/1000*CURVES!O158+$AV$14</f>
        <v>78.37511928801915</v>
      </c>
      <c r="AW199" s="65">
        <f t="shared" si="166"/>
        <v>51.938308573704035</v>
      </c>
      <c r="AX199" s="65">
        <f>CHOOSE(AX$18,CURVES!B158,CURVES!C158)</f>
        <v>43.667741935483875</v>
      </c>
      <c r="AY199" s="65">
        <f t="shared" si="167"/>
        <v>47.071585622272195</v>
      </c>
    </row>
    <row r="200" spans="1:51">
      <c r="A200" s="75">
        <v>41640</v>
      </c>
      <c r="B200" s="2">
        <f t="shared" si="119"/>
        <v>2014</v>
      </c>
      <c r="C200" s="2">
        <f t="shared" si="159"/>
        <v>1</v>
      </c>
      <c r="D200" s="43">
        <v>6.1248048573505999E-2</v>
      </c>
      <c r="E200" s="44">
        <f t="shared" ca="1" si="120"/>
        <v>0.45346294127957282</v>
      </c>
      <c r="F200" s="44"/>
      <c r="G200" s="10"/>
      <c r="H200" s="10">
        <f t="shared" si="178"/>
        <v>16008.292667967391</v>
      </c>
      <c r="I200" s="10">
        <f t="shared" si="178"/>
        <v>15217.878386027533</v>
      </c>
      <c r="K200" s="46">
        <f t="shared" ref="K200:P200" si="199">K188</f>
        <v>2185.9180107526881</v>
      </c>
      <c r="L200" s="46">
        <f t="shared" si="199"/>
        <v>1282.3306451612902</v>
      </c>
      <c r="M200" s="46">
        <f t="shared" si="199"/>
        <v>142.8521505376344</v>
      </c>
      <c r="N200" s="46">
        <f t="shared" si="199"/>
        <v>3.168010752688172</v>
      </c>
      <c r="O200" s="46">
        <f t="shared" si="131"/>
        <v>3614.2688172043008</v>
      </c>
      <c r="P200" s="46">
        <f t="shared" si="199"/>
        <v>2792.6655547379</v>
      </c>
      <c r="Q200" s="46">
        <f t="shared" si="161"/>
        <v>6406.9343719422013</v>
      </c>
      <c r="R200" s="10">
        <f t="shared" si="154"/>
        <v>9601.3582960251897</v>
      </c>
      <c r="T200" s="65">
        <f t="shared" si="155"/>
        <v>48.72</v>
      </c>
      <c r="U200" s="65">
        <f t="shared" si="182"/>
        <v>23</v>
      </c>
      <c r="V200" s="65">
        <f t="shared" si="182"/>
        <v>34</v>
      </c>
      <c r="W200" s="65">
        <f t="shared" si="182"/>
        <v>38</v>
      </c>
      <c r="X200" s="65">
        <f t="shared" si="162"/>
        <v>39.003431946853418</v>
      </c>
      <c r="Y200" s="65">
        <f>$Y$18/1000*CURVES!K159+$Y$14</f>
        <v>80.382632728494627</v>
      </c>
      <c r="Z200" s="65">
        <f t="shared" si="163"/>
        <v>57.039869031574575</v>
      </c>
      <c r="AA200" s="65">
        <f>CHOOSE(AA$18,CURVES!F159,CURVES!G159)</f>
        <v>40.153314016316536</v>
      </c>
      <c r="AB200" s="65">
        <f t="shared" si="156"/>
        <v>46.911751783227189</v>
      </c>
      <c r="AD200" s="65"/>
      <c r="AH200" s="46">
        <f t="shared" si="196"/>
        <v>1826.0560878589888</v>
      </c>
      <c r="AI200" s="46">
        <f t="shared" si="196"/>
        <v>0</v>
      </c>
      <c r="AJ200" s="46">
        <f t="shared" si="196"/>
        <v>1744.0893186443859</v>
      </c>
      <c r="AK200" s="46">
        <f t="shared" si="196"/>
        <v>538.87289280137145</v>
      </c>
      <c r="AL200" s="46">
        <f t="shared" si="133"/>
        <v>4109.0182993047465</v>
      </c>
      <c r="AM200" s="46">
        <f t="shared" si="191"/>
        <v>2445.3687016129034</v>
      </c>
      <c r="AN200" s="46">
        <f t="shared" si="164"/>
        <v>6554.3870009176499</v>
      </c>
      <c r="AO200" s="10">
        <f t="shared" si="157"/>
        <v>8663.4913851098827</v>
      </c>
      <c r="AQ200" s="65">
        <f t="shared" si="158"/>
        <v>43</v>
      </c>
      <c r="AR200" s="65"/>
      <c r="AS200" s="65">
        <f t="shared" si="183"/>
        <v>30</v>
      </c>
      <c r="AT200" s="65">
        <f t="shared" si="183"/>
        <v>38</v>
      </c>
      <c r="AU200" s="65">
        <f t="shared" si="165"/>
        <v>36.826378040059808</v>
      </c>
      <c r="AV200" s="65">
        <f>$Y$18/1000*CURVES!O159+$AV$14</f>
        <v>79.939619288019145</v>
      </c>
      <c r="AW200" s="65">
        <f t="shared" si="166"/>
        <v>52.911447590894348</v>
      </c>
      <c r="AX200" s="65">
        <f>CHOOSE(AX$18,CURVES!B159,CURVES!C159)</f>
        <v>48.108602150537635</v>
      </c>
      <c r="AY200" s="65">
        <f t="shared" si="167"/>
        <v>50.177202445740029</v>
      </c>
    </row>
    <row r="201" spans="1:51">
      <c r="A201" s="75">
        <v>41671</v>
      </c>
      <c r="B201" s="2">
        <f t="shared" si="119"/>
        <v>2014</v>
      </c>
      <c r="C201" s="2">
        <f t="shared" si="159"/>
        <v>2</v>
      </c>
      <c r="D201" s="43">
        <v>6.1272554156282001E-2</v>
      </c>
      <c r="E201" s="44">
        <f t="shared" ca="1" si="120"/>
        <v>0.45122911614111927</v>
      </c>
      <c r="F201" s="44"/>
      <c r="G201" s="10"/>
      <c r="H201" s="10">
        <f t="shared" si="178"/>
        <v>16051.35180566571</v>
      </c>
      <c r="I201" s="10">
        <f t="shared" si="178"/>
        <v>15197.596551936706</v>
      </c>
      <c r="K201" s="46">
        <f t="shared" ref="K201:P201" si="200">K189</f>
        <v>2261.8764367816093</v>
      </c>
      <c r="L201" s="46">
        <f t="shared" si="200"/>
        <v>1335.9798850574712</v>
      </c>
      <c r="M201" s="46">
        <f t="shared" si="200"/>
        <v>236.0028735632184</v>
      </c>
      <c r="N201" s="46">
        <f t="shared" si="200"/>
        <v>3.8491379310344827</v>
      </c>
      <c r="O201" s="46">
        <f t="shared" si="131"/>
        <v>3837.7083333333335</v>
      </c>
      <c r="P201" s="46">
        <f t="shared" si="200"/>
        <v>3011.7717013676738</v>
      </c>
      <c r="Q201" s="46">
        <f t="shared" si="161"/>
        <v>6849.4800347010078</v>
      </c>
      <c r="R201" s="10">
        <f t="shared" si="154"/>
        <v>9201.8717709647026</v>
      </c>
      <c r="T201" s="65">
        <f t="shared" si="155"/>
        <v>48.72</v>
      </c>
      <c r="U201" s="65">
        <f t="shared" si="182"/>
        <v>23</v>
      </c>
      <c r="V201" s="65">
        <f t="shared" si="182"/>
        <v>34</v>
      </c>
      <c r="W201" s="65">
        <f t="shared" si="182"/>
        <v>38</v>
      </c>
      <c r="X201" s="65">
        <f t="shared" si="162"/>
        <v>38.850404811599958</v>
      </c>
      <c r="Y201" s="65">
        <f>$Y$18/1000*CURVES!K160+$Y$14</f>
        <v>79.374632728494632</v>
      </c>
      <c r="Z201" s="65">
        <f t="shared" si="163"/>
        <v>56.669235181430345</v>
      </c>
      <c r="AA201" s="65">
        <f>CHOOSE(AA$18,CURVES!F160,CURVES!G160)</f>
        <v>40.181559973585905</v>
      </c>
      <c r="AB201" s="65">
        <f t="shared" si="156"/>
        <v>47.217229213288398</v>
      </c>
      <c r="AD201" s="65"/>
      <c r="AH201" s="46">
        <f t="shared" si="196"/>
        <v>1925.7468502510062</v>
      </c>
      <c r="AI201" s="46">
        <f t="shared" si="196"/>
        <v>0</v>
      </c>
      <c r="AJ201" s="46">
        <f t="shared" si="196"/>
        <v>2201.9273871825426</v>
      </c>
      <c r="AK201" s="46">
        <f t="shared" si="196"/>
        <v>548.47547775416388</v>
      </c>
      <c r="AL201" s="46">
        <f t="shared" si="133"/>
        <v>4676.1497151877129</v>
      </c>
      <c r="AM201" s="46">
        <f t="shared" si="191"/>
        <v>2161.5456443452381</v>
      </c>
      <c r="AN201" s="46">
        <f t="shared" si="164"/>
        <v>6837.6953595329505</v>
      </c>
      <c r="AO201" s="10">
        <f t="shared" si="157"/>
        <v>8359.901192403755</v>
      </c>
      <c r="AQ201" s="65">
        <f t="shared" si="158"/>
        <v>43</v>
      </c>
      <c r="AR201" s="65"/>
      <c r="AS201" s="65">
        <f t="shared" si="183"/>
        <v>30</v>
      </c>
      <c r="AT201" s="65">
        <f t="shared" si="183"/>
        <v>38</v>
      </c>
      <c r="AU201" s="65">
        <f t="shared" si="165"/>
        <v>36.29203825098557</v>
      </c>
      <c r="AV201" s="65">
        <f>$Y$18/1000*CURVES!O160+$AV$14</f>
        <v>78.931619288019149</v>
      </c>
      <c r="AW201" s="65">
        <f t="shared" si="166"/>
        <v>49.771346090988736</v>
      </c>
      <c r="AX201" s="65">
        <f>CHOOSE(AX$18,CURVES!B160,CURVES!C160)</f>
        <v>46.807142857142857</v>
      </c>
      <c r="AY201" s="65">
        <f t="shared" si="167"/>
        <v>48.140795755975574</v>
      </c>
    </row>
    <row r="202" spans="1:51">
      <c r="A202" s="75">
        <v>41699</v>
      </c>
      <c r="B202" s="2">
        <f t="shared" si="119"/>
        <v>2014</v>
      </c>
      <c r="C202" s="2">
        <f t="shared" si="159"/>
        <v>3</v>
      </c>
      <c r="D202" s="43">
        <v>6.1294688231218003E-2</v>
      </c>
      <c r="E202" s="44">
        <f t="shared" ca="1" si="120"/>
        <v>0.4487957550568708</v>
      </c>
      <c r="F202" s="44"/>
      <c r="G202" s="10"/>
      <c r="H202" s="10">
        <f t="shared" si="178"/>
        <v>15958.427906314895</v>
      </c>
      <c r="I202" s="10">
        <f t="shared" si="178"/>
        <v>14856.415464200327</v>
      </c>
      <c r="K202" s="46">
        <f t="shared" ref="K202:P202" si="201">K190</f>
        <v>2263.9462365591398</v>
      </c>
      <c r="L202" s="46">
        <f t="shared" si="201"/>
        <v>1258.630376344086</v>
      </c>
      <c r="M202" s="46">
        <f t="shared" si="201"/>
        <v>620.64650537634407</v>
      </c>
      <c r="N202" s="46">
        <f t="shared" si="201"/>
        <v>2.581989247311828</v>
      </c>
      <c r="O202" s="46">
        <f t="shared" si="131"/>
        <v>4145.8051075268813</v>
      </c>
      <c r="P202" s="46">
        <f t="shared" si="201"/>
        <v>2834.3973290285558</v>
      </c>
      <c r="Q202" s="46">
        <f t="shared" si="161"/>
        <v>6980.2024365554371</v>
      </c>
      <c r="R202" s="10">
        <f t="shared" si="154"/>
        <v>8978.2254697594581</v>
      </c>
      <c r="T202" s="65">
        <f t="shared" si="155"/>
        <v>48.72</v>
      </c>
      <c r="U202" s="65">
        <f t="shared" si="182"/>
        <v>23</v>
      </c>
      <c r="V202" s="65">
        <f t="shared" si="182"/>
        <v>34</v>
      </c>
      <c r="W202" s="65">
        <f t="shared" si="182"/>
        <v>38</v>
      </c>
      <c r="X202" s="65">
        <f t="shared" si="162"/>
        <v>38.701302138870133</v>
      </c>
      <c r="Y202" s="65">
        <f>$Y$18/1000*CURVES!K161+$Y$14</f>
        <v>77.799632728494629</v>
      </c>
      <c r="Z202" s="65">
        <f t="shared" si="163"/>
        <v>54.577661714394736</v>
      </c>
      <c r="AA202" s="65">
        <f>CHOOSE(AA$18,CURVES!F161,CURVES!G161)</f>
        <v>39.588517353392056</v>
      </c>
      <c r="AB202" s="65">
        <f t="shared" si="156"/>
        <v>46.144756013288507</v>
      </c>
      <c r="AD202" s="65"/>
      <c r="AH202" s="46">
        <f t="shared" si="196"/>
        <v>1891.2387324311178</v>
      </c>
      <c r="AI202" s="46">
        <f t="shared" si="196"/>
        <v>0</v>
      </c>
      <c r="AJ202" s="46">
        <f t="shared" si="196"/>
        <v>1966.5504926356311</v>
      </c>
      <c r="AK202" s="46">
        <f t="shared" si="196"/>
        <v>526.07330501492243</v>
      </c>
      <c r="AL202" s="46">
        <f t="shared" si="133"/>
        <v>4383.8625300816711</v>
      </c>
      <c r="AM202" s="46">
        <f t="shared" si="191"/>
        <v>2044.2222728494623</v>
      </c>
      <c r="AN202" s="46">
        <f t="shared" si="164"/>
        <v>6428.0848029311337</v>
      </c>
      <c r="AO202" s="10">
        <f t="shared" si="157"/>
        <v>8428.330661269194</v>
      </c>
      <c r="AQ202" s="65">
        <f t="shared" si="158"/>
        <v>43</v>
      </c>
      <c r="AR202" s="65"/>
      <c r="AS202" s="65">
        <f t="shared" si="183"/>
        <v>30</v>
      </c>
      <c r="AT202" s="65">
        <f t="shared" si="183"/>
        <v>38</v>
      </c>
      <c r="AU202" s="65">
        <f t="shared" si="165"/>
        <v>36.56833779894724</v>
      </c>
      <c r="AV202" s="65">
        <f>$Y$18/1000*CURVES!O161+$AV$14</f>
        <v>77.356619288019161</v>
      </c>
      <c r="AW202" s="65">
        <f t="shared" si="166"/>
        <v>49.53959067557291</v>
      </c>
      <c r="AX202" s="65">
        <f>CHOOSE(AX$18,CURVES!B161,CURVES!C161)</f>
        <v>44.579032258064515</v>
      </c>
      <c r="AY202" s="65">
        <f t="shared" si="167"/>
        <v>46.725370333657253</v>
      </c>
    </row>
    <row r="203" spans="1:51">
      <c r="A203" s="75">
        <v>41730</v>
      </c>
      <c r="B203" s="2">
        <f t="shared" si="119"/>
        <v>2014</v>
      </c>
      <c r="C203" s="2">
        <f t="shared" si="159"/>
        <v>4</v>
      </c>
      <c r="D203" s="43">
        <v>6.1319193814373001E-2</v>
      </c>
      <c r="E203" s="44">
        <f t="shared" ca="1" si="120"/>
        <v>0.44643399025898378</v>
      </c>
      <c r="F203" s="44"/>
      <c r="G203" s="10"/>
      <c r="H203" s="10">
        <f t="shared" si="178"/>
        <v>16029.240441701453</v>
      </c>
      <c r="I203" s="10">
        <f t="shared" si="178"/>
        <v>14513.184754237018</v>
      </c>
      <c r="K203" s="46">
        <f t="shared" ref="K203:P203" si="202">K191</f>
        <v>2319.8402777777778</v>
      </c>
      <c r="L203" s="46">
        <f t="shared" si="202"/>
        <v>1179.1659722222223</v>
      </c>
      <c r="M203" s="46">
        <f t="shared" si="202"/>
        <v>811.58611111111111</v>
      </c>
      <c r="N203" s="46">
        <f t="shared" si="202"/>
        <v>3.0416666666666665</v>
      </c>
      <c r="O203" s="46">
        <f t="shared" si="131"/>
        <v>4313.6340277777781</v>
      </c>
      <c r="P203" s="46">
        <f t="shared" si="202"/>
        <v>2923.3945906815438</v>
      </c>
      <c r="Q203" s="46">
        <f t="shared" si="161"/>
        <v>7237.0286184593224</v>
      </c>
      <c r="R203" s="10">
        <f t="shared" si="154"/>
        <v>8792.2118232421308</v>
      </c>
      <c r="T203" s="65">
        <f t="shared" si="155"/>
        <v>48.72</v>
      </c>
      <c r="U203" s="65">
        <f t="shared" si="182"/>
        <v>23</v>
      </c>
      <c r="V203" s="65">
        <f t="shared" si="182"/>
        <v>34</v>
      </c>
      <c r="W203" s="65">
        <f t="shared" si="182"/>
        <v>38</v>
      </c>
      <c r="X203" s="65">
        <f t="shared" si="162"/>
        <v>38.912189982891782</v>
      </c>
      <c r="Y203" s="65">
        <f>$Y$18/1000*CURVES!K162+$Y$14</f>
        <v>77.715632728494626</v>
      </c>
      <c r="Z203" s="65">
        <f t="shared" si="163"/>
        <v>54.586823952553473</v>
      </c>
      <c r="AA203" s="65">
        <f>CHOOSE(AA$18,CURVES!F162,CURVES!G162)</f>
        <v>38.645870422566304</v>
      </c>
      <c r="AB203" s="65">
        <f t="shared" si="156"/>
        <v>45.843038455676279</v>
      </c>
      <c r="AD203" s="65"/>
      <c r="AH203" s="46">
        <f t="shared" si="196"/>
        <v>1937.9310849074075</v>
      </c>
      <c r="AI203" s="46">
        <f t="shared" si="196"/>
        <v>0</v>
      </c>
      <c r="AJ203" s="46">
        <f t="shared" si="196"/>
        <v>2070.9500209392572</v>
      </c>
      <c r="AK203" s="46">
        <f t="shared" si="196"/>
        <v>513.91932921853174</v>
      </c>
      <c r="AL203" s="46">
        <f t="shared" si="133"/>
        <v>4522.8004350651963</v>
      </c>
      <c r="AM203" s="46">
        <f t="shared" si="191"/>
        <v>2152.9968589041096</v>
      </c>
      <c r="AN203" s="46">
        <f t="shared" si="164"/>
        <v>6675.7972939693063</v>
      </c>
      <c r="AO203" s="10">
        <f t="shared" si="157"/>
        <v>7837.3874602677133</v>
      </c>
      <c r="AQ203" s="65">
        <f t="shared" si="158"/>
        <v>43</v>
      </c>
      <c r="AR203" s="65"/>
      <c r="AS203" s="65">
        <f t="shared" si="183"/>
        <v>30</v>
      </c>
      <c r="AT203" s="65">
        <f t="shared" si="183"/>
        <v>38</v>
      </c>
      <c r="AU203" s="65">
        <f t="shared" si="165"/>
        <v>36.479272998726103</v>
      </c>
      <c r="AV203" s="65">
        <f>$Y$18/1000*CURVES!O162+$AV$14</f>
        <v>75.435119288019152</v>
      </c>
      <c r="AW203" s="65">
        <f t="shared" si="166"/>
        <v>49.042838218503853</v>
      </c>
      <c r="AX203" s="65">
        <f>CHOOSE(AX$18,CURVES!B162,CURVES!C162)</f>
        <v>42.931111111111107</v>
      </c>
      <c r="AY203" s="65">
        <f t="shared" si="167"/>
        <v>45.7423928508478</v>
      </c>
    </row>
    <row r="204" spans="1:51">
      <c r="A204" s="75">
        <v>41760</v>
      </c>
      <c r="B204" s="2">
        <f t="shared" si="119"/>
        <v>2014</v>
      </c>
      <c r="C204" s="2">
        <f t="shared" si="159"/>
        <v>5</v>
      </c>
      <c r="D204" s="43">
        <v>6.1342908895034999E-2</v>
      </c>
      <c r="E204" s="44">
        <f t="shared" ca="1" si="120"/>
        <v>0.44401404070041733</v>
      </c>
      <c r="F204" s="44"/>
      <c r="G204" s="10"/>
      <c r="H204" s="10">
        <f t="shared" ref="H204:I223" si="203">(1+$I$17)*H192</f>
        <v>16938.079592002581</v>
      </c>
      <c r="I204" s="10">
        <f t="shared" si="203"/>
        <v>15808.751204032378</v>
      </c>
      <c r="K204" s="46">
        <f t="shared" ref="K204:P204" si="204">K192</f>
        <v>2226.0672043010754</v>
      </c>
      <c r="L204" s="46">
        <f t="shared" si="204"/>
        <v>1023.6263440860215</v>
      </c>
      <c r="M204" s="46">
        <f t="shared" si="204"/>
        <v>950.16532258064512</v>
      </c>
      <c r="N204" s="46">
        <f t="shared" si="204"/>
        <v>3.3051075268817205</v>
      </c>
      <c r="O204" s="46">
        <f t="shared" si="131"/>
        <v>4203.1639784946237</v>
      </c>
      <c r="P204" s="46">
        <f t="shared" si="204"/>
        <v>2831.510502104928</v>
      </c>
      <c r="Q204" s="46">
        <f t="shared" si="161"/>
        <v>7034.6744805995513</v>
      </c>
      <c r="R204" s="10">
        <f t="shared" si="154"/>
        <v>9903.4051114030299</v>
      </c>
      <c r="T204" s="65">
        <f t="shared" si="155"/>
        <v>48.72</v>
      </c>
      <c r="U204" s="65">
        <f t="shared" si="182"/>
        <v>23</v>
      </c>
      <c r="V204" s="65">
        <f t="shared" si="182"/>
        <v>34</v>
      </c>
      <c r="W204" s="65">
        <f t="shared" si="182"/>
        <v>38</v>
      </c>
      <c r="X204" s="65">
        <f t="shared" si="162"/>
        <v>39.120199926194871</v>
      </c>
      <c r="Y204" s="65">
        <f>$Y$18/1000*CURVES!K163+$Y$14</f>
        <v>77.453132728494623</v>
      </c>
      <c r="Z204" s="65">
        <f t="shared" si="163"/>
        <v>54.549499761678319</v>
      </c>
      <c r="AA204" s="65">
        <f>CHOOSE(AA$18,CURVES!F163,CURVES!G163)</f>
        <v>38.235938898388653</v>
      </c>
      <c r="AB204" s="65">
        <f t="shared" si="156"/>
        <v>45.011240057492685</v>
      </c>
      <c r="AD204" s="65"/>
      <c r="AH204" s="46">
        <f t="shared" si="196"/>
        <v>1895.2591032026239</v>
      </c>
      <c r="AI204" s="46">
        <f t="shared" si="196"/>
        <v>0</v>
      </c>
      <c r="AJ204" s="46">
        <f t="shared" si="196"/>
        <v>1877.6303324734643</v>
      </c>
      <c r="AK204" s="46">
        <f t="shared" si="196"/>
        <v>570.53181663934993</v>
      </c>
      <c r="AL204" s="46">
        <f t="shared" si="133"/>
        <v>4343.4212523154383</v>
      </c>
      <c r="AM204" s="46">
        <f t="shared" si="191"/>
        <v>2186.8418319892476</v>
      </c>
      <c r="AN204" s="46">
        <f t="shared" si="164"/>
        <v>6530.2630843046863</v>
      </c>
      <c r="AO204" s="10">
        <f t="shared" si="157"/>
        <v>9278.4881197276918</v>
      </c>
      <c r="AQ204" s="65">
        <f t="shared" si="158"/>
        <v>43</v>
      </c>
      <c r="AR204" s="65"/>
      <c r="AS204" s="65">
        <f t="shared" si="183"/>
        <v>30</v>
      </c>
      <c r="AT204" s="65">
        <f t="shared" si="183"/>
        <v>38</v>
      </c>
      <c r="AU204" s="65">
        <f t="shared" si="165"/>
        <v>36.723414833221909</v>
      </c>
      <c r="AV204" s="65">
        <f>$Y$18/1000*CURVES!O163+$AV$14</f>
        <v>75.172619288019149</v>
      </c>
      <c r="AW204" s="65">
        <f t="shared" si="166"/>
        <v>49.599209823862878</v>
      </c>
      <c r="AX204" s="65">
        <f>CHOOSE(AX$18,CURVES!B163,CURVES!C163)</f>
        <v>42.759677419354837</v>
      </c>
      <c r="AY204" s="65">
        <f t="shared" si="167"/>
        <v>45.584944601981633</v>
      </c>
    </row>
    <row r="205" spans="1:51">
      <c r="A205" s="75">
        <v>41791</v>
      </c>
      <c r="B205" s="2">
        <f t="shared" si="119"/>
        <v>2014</v>
      </c>
      <c r="C205" s="2">
        <f t="shared" si="159"/>
        <v>6</v>
      </c>
      <c r="D205" s="43">
        <v>6.1367414478583002E-2</v>
      </c>
      <c r="E205" s="44">
        <f t="shared" ca="1" si="120"/>
        <v>0.44167399161094967</v>
      </c>
      <c r="F205" s="44"/>
      <c r="G205" s="10"/>
      <c r="H205" s="10">
        <f t="shared" si="203"/>
        <v>18718.6441689778</v>
      </c>
      <c r="I205" s="10">
        <f t="shared" si="203"/>
        <v>17826.364097038706</v>
      </c>
      <c r="K205" s="46">
        <f t="shared" ref="K205:P205" si="205">K193</f>
        <v>2252.1333333333332</v>
      </c>
      <c r="L205" s="46">
        <f t="shared" si="205"/>
        <v>1398.3916666666667</v>
      </c>
      <c r="M205" s="46">
        <f t="shared" si="205"/>
        <v>957.04027777777776</v>
      </c>
      <c r="N205" s="46">
        <f t="shared" si="205"/>
        <v>3.526388888888889</v>
      </c>
      <c r="O205" s="46">
        <f t="shared" si="131"/>
        <v>4611.0916666666662</v>
      </c>
      <c r="P205" s="46">
        <f t="shared" si="205"/>
        <v>3175.7411781346573</v>
      </c>
      <c r="Q205" s="46">
        <f t="shared" si="161"/>
        <v>7786.8328448013235</v>
      </c>
      <c r="R205" s="10">
        <f t="shared" si="154"/>
        <v>10931.811324176477</v>
      </c>
      <c r="T205" s="65">
        <f t="shared" si="155"/>
        <v>48.72</v>
      </c>
      <c r="U205" s="65">
        <f t="shared" si="182"/>
        <v>23</v>
      </c>
      <c r="V205" s="65">
        <f t="shared" si="182"/>
        <v>34</v>
      </c>
      <c r="W205" s="65">
        <f t="shared" si="182"/>
        <v>38</v>
      </c>
      <c r="X205" s="65">
        <f t="shared" si="162"/>
        <v>37.856613829094464</v>
      </c>
      <c r="Y205" s="65">
        <f>$Y$18/1000*CURVES!K164+$Y$14</f>
        <v>77.757632728494627</v>
      </c>
      <c r="Z205" s="65">
        <f t="shared" si="163"/>
        <v>54.129636673414602</v>
      </c>
      <c r="AA205" s="65">
        <f>CHOOSE(AA$18,CURVES!F164,CURVES!G164)</f>
        <v>48.748202055140602</v>
      </c>
      <c r="AB205" s="65">
        <f t="shared" si="156"/>
        <v>50.986843457768167</v>
      </c>
      <c r="AD205" s="65"/>
      <c r="AH205" s="46">
        <f t="shared" si="196"/>
        <v>1881.3705563400365</v>
      </c>
      <c r="AI205" s="46">
        <f t="shared" si="196"/>
        <v>0</v>
      </c>
      <c r="AJ205" s="46">
        <f t="shared" si="196"/>
        <v>1162.1616861734683</v>
      </c>
      <c r="AK205" s="46">
        <f t="shared" si="196"/>
        <v>631.24071210358352</v>
      </c>
      <c r="AL205" s="46">
        <f t="shared" si="133"/>
        <v>3674.7729546170881</v>
      </c>
      <c r="AM205" s="46">
        <f t="shared" si="191"/>
        <v>2754.0461410958906</v>
      </c>
      <c r="AN205" s="46">
        <f t="shared" si="164"/>
        <v>6428.8190957129791</v>
      </c>
      <c r="AO205" s="10">
        <f t="shared" si="157"/>
        <v>11397.545001325727</v>
      </c>
      <c r="AQ205" s="65">
        <f t="shared" si="158"/>
        <v>43</v>
      </c>
      <c r="AR205" s="65"/>
      <c r="AS205" s="65">
        <f t="shared" si="183"/>
        <v>30</v>
      </c>
      <c r="AT205" s="65">
        <f t="shared" si="183"/>
        <v>38</v>
      </c>
      <c r="AU205" s="65">
        <f t="shared" si="165"/>
        <v>38.029813894263803</v>
      </c>
      <c r="AV205" s="65">
        <f>$Y$18/1000*CURVES!O164+$AV$14</f>
        <v>75.477119288019153</v>
      </c>
      <c r="AW205" s="65">
        <f t="shared" si="166"/>
        <v>54.071890266094513</v>
      </c>
      <c r="AX205" s="65">
        <f>CHOOSE(AX$18,CURVES!B164,CURVES!C164)</f>
        <v>47.644444444444446</v>
      </c>
      <c r="AY205" s="65">
        <f t="shared" si="167"/>
        <v>49.962409353606638</v>
      </c>
    </row>
    <row r="206" spans="1:51">
      <c r="A206" s="75">
        <v>41821</v>
      </c>
      <c r="B206" s="2">
        <f t="shared" si="119"/>
        <v>2014</v>
      </c>
      <c r="C206" s="2">
        <f t="shared" si="159"/>
        <v>7</v>
      </c>
      <c r="D206" s="43">
        <v>6.1391129559625002E-2</v>
      </c>
      <c r="E206" s="44">
        <f t="shared" ca="1" si="120"/>
        <v>0.43927641505262349</v>
      </c>
      <c r="F206" s="44"/>
      <c r="G206" s="10"/>
      <c r="H206" s="10">
        <f t="shared" si="203"/>
        <v>18475.164317086957</v>
      </c>
      <c r="I206" s="10">
        <f t="shared" si="203"/>
        <v>16922.402228761435</v>
      </c>
      <c r="K206" s="46">
        <f t="shared" ref="K206:P206" si="206">K194</f>
        <v>2248.4569892473119</v>
      </c>
      <c r="L206" s="46">
        <f t="shared" si="206"/>
        <v>1358.3225806451612</v>
      </c>
      <c r="M206" s="46">
        <f t="shared" si="206"/>
        <v>653.55107526881716</v>
      </c>
      <c r="N206" s="46">
        <f t="shared" si="206"/>
        <v>3.8373655913978495</v>
      </c>
      <c r="O206" s="46">
        <f t="shared" si="131"/>
        <v>4264.1680107526872</v>
      </c>
      <c r="P206" s="46">
        <f t="shared" si="206"/>
        <v>3349.3895623880758</v>
      </c>
      <c r="Q206" s="46">
        <f t="shared" si="161"/>
        <v>7613.5575731407625</v>
      </c>
      <c r="R206" s="10">
        <f t="shared" si="154"/>
        <v>10861.606743946193</v>
      </c>
      <c r="T206" s="65">
        <f t="shared" si="155"/>
        <v>48.72</v>
      </c>
      <c r="U206" s="65">
        <f t="shared" ref="U206:W225" si="207">U$18</f>
        <v>23</v>
      </c>
      <c r="V206" s="65">
        <f t="shared" si="207"/>
        <v>34</v>
      </c>
      <c r="W206" s="65">
        <f t="shared" si="207"/>
        <v>38</v>
      </c>
      <c r="X206" s="65">
        <f t="shared" si="162"/>
        <v>38.261344278923424</v>
      </c>
      <c r="Y206" s="65">
        <f>$Y$18/1000*CURVES!K165+$Y$14</f>
        <v>78.072632728494625</v>
      </c>
      <c r="Z206" s="65">
        <f t="shared" si="163"/>
        <v>55.775300496792759</v>
      </c>
      <c r="AA206" s="65">
        <f>CHOOSE(AA$18,CURVES!F165,CURVES!G165)</f>
        <v>60.116596161680846</v>
      </c>
      <c r="AB206" s="65">
        <f t="shared" si="156"/>
        <v>58.327561762886205</v>
      </c>
      <c r="AD206" s="65"/>
      <c r="AH206" s="46">
        <f t="shared" si="196"/>
        <v>1914.3216201186069</v>
      </c>
      <c r="AI206" s="46">
        <f t="shared" si="196"/>
        <v>0</v>
      </c>
      <c r="AJ206" s="46">
        <f t="shared" si="196"/>
        <v>1193.3319743059751</v>
      </c>
      <c r="AK206" s="46">
        <f t="shared" si="196"/>
        <v>610.72305844211053</v>
      </c>
      <c r="AL206" s="46">
        <f t="shared" si="133"/>
        <v>3718.3766528666924</v>
      </c>
      <c r="AM206" s="46">
        <f t="shared" si="191"/>
        <v>2586.7318602150535</v>
      </c>
      <c r="AN206" s="46">
        <f t="shared" si="164"/>
        <v>6305.1085130817464</v>
      </c>
      <c r="AO206" s="10">
        <f t="shared" si="157"/>
        <v>10617.293715679689</v>
      </c>
      <c r="AQ206" s="65">
        <f t="shared" si="158"/>
        <v>43</v>
      </c>
      <c r="AR206" s="65"/>
      <c r="AS206" s="65">
        <f t="shared" ref="AS206:AT225" si="208">AS$18</f>
        <v>30</v>
      </c>
      <c r="AT206" s="65">
        <f t="shared" si="208"/>
        <v>38</v>
      </c>
      <c r="AU206" s="65">
        <f t="shared" si="165"/>
        <v>38.006710537547619</v>
      </c>
      <c r="AV206" s="65">
        <f>$Y$18/1000*CURVES!O165+$AV$14</f>
        <v>75.792119288019165</v>
      </c>
      <c r="AW206" s="65">
        <f t="shared" si="166"/>
        <v>53.508540595397129</v>
      </c>
      <c r="AX206" s="65">
        <f>CHOOSE(AX$18,CURVES!B165,CURVES!C165)</f>
        <v>60.09032258064515</v>
      </c>
      <c r="AY206" s="65">
        <f t="shared" si="167"/>
        <v>57.638020060858473</v>
      </c>
    </row>
    <row r="207" spans="1:51">
      <c r="A207" s="75">
        <v>41852</v>
      </c>
      <c r="B207" s="2">
        <f t="shared" si="119"/>
        <v>2014</v>
      </c>
      <c r="C207" s="2">
        <f t="shared" si="159"/>
        <v>8</v>
      </c>
      <c r="D207" s="43">
        <v>6.1415635143565003E-2</v>
      </c>
      <c r="E207" s="44">
        <f t="shared" ca="1" si="120"/>
        <v>0.4368855618003919</v>
      </c>
      <c r="F207" s="44"/>
      <c r="G207" s="10"/>
      <c r="H207" s="10">
        <f t="shared" si="203"/>
        <v>19812.245803104186</v>
      </c>
      <c r="I207" s="10">
        <f t="shared" si="203"/>
        <v>17551.331227069997</v>
      </c>
      <c r="K207" s="46">
        <f t="shared" ref="K207:P207" si="209">K195</f>
        <v>2226.0658602150538</v>
      </c>
      <c r="L207" s="46">
        <f t="shared" si="209"/>
        <v>1361.989247311828</v>
      </c>
      <c r="M207" s="46">
        <f t="shared" si="209"/>
        <v>483.36424731182797</v>
      </c>
      <c r="N207" s="46">
        <f t="shared" si="209"/>
        <v>3.924731182795699</v>
      </c>
      <c r="O207" s="46">
        <f t="shared" si="131"/>
        <v>4075.3440860215055</v>
      </c>
      <c r="P207" s="46">
        <f t="shared" si="209"/>
        <v>3426.252928840011</v>
      </c>
      <c r="Q207" s="46">
        <f t="shared" si="161"/>
        <v>7501.5970148615161</v>
      </c>
      <c r="R207" s="10">
        <f t="shared" si="154"/>
        <v>12310.64878824267</v>
      </c>
      <c r="T207" s="65">
        <f t="shared" si="155"/>
        <v>48.72</v>
      </c>
      <c r="U207" s="65">
        <f t="shared" si="207"/>
        <v>23</v>
      </c>
      <c r="V207" s="65">
        <f t="shared" si="207"/>
        <v>34</v>
      </c>
      <c r="W207" s="65">
        <f t="shared" si="207"/>
        <v>38</v>
      </c>
      <c r="X207" s="65">
        <f t="shared" si="162"/>
        <v>38.368099058856423</v>
      </c>
      <c r="Y207" s="65">
        <f>$Y$18/1000*CURVES!K166+$Y$14</f>
        <v>78.282632728494633</v>
      </c>
      <c r="Z207" s="65">
        <f t="shared" si="163"/>
        <v>56.598522209813403</v>
      </c>
      <c r="AA207" s="65">
        <f>CHOOSE(AA$18,CURVES!F166,CURVES!G166)</f>
        <v>62.961195814307963</v>
      </c>
      <c r="AB207" s="65">
        <f t="shared" si="156"/>
        <v>60.55206896456253</v>
      </c>
      <c r="AD207" s="65"/>
      <c r="AH207" s="46">
        <f t="shared" si="196"/>
        <v>1859.5945026415061</v>
      </c>
      <c r="AI207" s="46">
        <f t="shared" si="196"/>
        <v>0</v>
      </c>
      <c r="AJ207" s="46">
        <f t="shared" si="196"/>
        <v>1584.5088037693729</v>
      </c>
      <c r="AK207" s="46">
        <f t="shared" si="196"/>
        <v>621.50165686237608</v>
      </c>
      <c r="AL207" s="46">
        <f t="shared" si="133"/>
        <v>4065.6049632732547</v>
      </c>
      <c r="AM207" s="46">
        <f t="shared" si="191"/>
        <v>2208.289016129032</v>
      </c>
      <c r="AN207" s="46">
        <f t="shared" si="164"/>
        <v>6273.8939794022863</v>
      </c>
      <c r="AO207" s="10">
        <f t="shared" si="157"/>
        <v>11277.437247667711</v>
      </c>
      <c r="AQ207" s="65">
        <f t="shared" si="158"/>
        <v>43</v>
      </c>
      <c r="AR207" s="65"/>
      <c r="AS207" s="65">
        <f t="shared" si="208"/>
        <v>30</v>
      </c>
      <c r="AT207" s="65">
        <f t="shared" si="208"/>
        <v>38</v>
      </c>
      <c r="AU207" s="65">
        <f t="shared" si="165"/>
        <v>37.169103258318607</v>
      </c>
      <c r="AV207" s="65">
        <f>$Y$18/1000*CURVES!O166+$AV$14</f>
        <v>76.002119288019145</v>
      </c>
      <c r="AW207" s="65">
        <f t="shared" si="166"/>
        <v>50.837571843074663</v>
      </c>
      <c r="AX207" s="65">
        <f>CHOOSE(AX$18,CURVES!B166,CURVES!C166)</f>
        <v>68.630645161290317</v>
      </c>
      <c r="AY207" s="65">
        <f t="shared" si="167"/>
        <v>62.270338121215595</v>
      </c>
    </row>
    <row r="208" spans="1:51">
      <c r="A208" s="75">
        <v>41883</v>
      </c>
      <c r="B208" s="2">
        <f t="shared" si="119"/>
        <v>2014</v>
      </c>
      <c r="C208" s="2">
        <f t="shared" si="159"/>
        <v>9</v>
      </c>
      <c r="D208" s="43">
        <v>6.1440140727703998E-2</v>
      </c>
      <c r="E208" s="44">
        <f t="shared" ca="1" si="120"/>
        <v>0.43457796509109087</v>
      </c>
      <c r="F208" s="44"/>
      <c r="G208" s="10"/>
      <c r="H208" s="10">
        <f t="shared" si="203"/>
        <v>17946.163054687695</v>
      </c>
      <c r="I208" s="10">
        <f t="shared" si="203"/>
        <v>16532.22713907517</v>
      </c>
      <c r="K208" s="46">
        <f t="shared" ref="K208:P208" si="210">K196</f>
        <v>2263.6333333333332</v>
      </c>
      <c r="L208" s="46">
        <f t="shared" si="210"/>
        <v>1380.7361111111111</v>
      </c>
      <c r="M208" s="46">
        <f t="shared" si="210"/>
        <v>542.60277777777776</v>
      </c>
      <c r="N208" s="46">
        <f t="shared" si="210"/>
        <v>3.4194444444444443</v>
      </c>
      <c r="O208" s="46">
        <f t="shared" si="131"/>
        <v>4190.3916666666673</v>
      </c>
      <c r="P208" s="46">
        <f t="shared" si="210"/>
        <v>3348.1339323547272</v>
      </c>
      <c r="Q208" s="46">
        <f t="shared" si="161"/>
        <v>7538.5255990213946</v>
      </c>
      <c r="R208" s="10">
        <f t="shared" si="154"/>
        <v>10407.637455666301</v>
      </c>
      <c r="T208" s="65">
        <f t="shared" si="155"/>
        <v>48.72</v>
      </c>
      <c r="U208" s="65">
        <f t="shared" si="207"/>
        <v>23</v>
      </c>
      <c r="V208" s="65">
        <f t="shared" si="207"/>
        <v>34</v>
      </c>
      <c r="W208" s="65">
        <f t="shared" si="207"/>
        <v>38</v>
      </c>
      <c r="X208" s="65">
        <f t="shared" si="162"/>
        <v>38.330445615995849</v>
      </c>
      <c r="Y208" s="65">
        <f>$Y$18/1000*CURVES!K167+$Y$14</f>
        <v>78.503132728494634</v>
      </c>
      <c r="Z208" s="65">
        <f t="shared" si="163"/>
        <v>56.172599908432957</v>
      </c>
      <c r="AA208" s="65">
        <f>CHOOSE(AA$18,CURVES!F167,CURVES!G167)</f>
        <v>57.522082996085587</v>
      </c>
      <c r="AB208" s="65">
        <f t="shared" si="156"/>
        <v>56.955214592476693</v>
      </c>
      <c r="AD208" s="65"/>
      <c r="AH208" s="46">
        <f t="shared" si="196"/>
        <v>1890.9773416389726</v>
      </c>
      <c r="AI208" s="46">
        <f t="shared" si="196"/>
        <v>0</v>
      </c>
      <c r="AJ208" s="46">
        <f t="shared" si="196"/>
        <v>765.82060543821262</v>
      </c>
      <c r="AK208" s="46">
        <f t="shared" si="196"/>
        <v>570.92254509204622</v>
      </c>
      <c r="AL208" s="46">
        <f t="shared" si="133"/>
        <v>3227.7204921692314</v>
      </c>
      <c r="AM208" s="46">
        <f t="shared" si="191"/>
        <v>2371.5769315068492</v>
      </c>
      <c r="AN208" s="46">
        <f t="shared" si="164"/>
        <v>5599.2974236760801</v>
      </c>
      <c r="AO208" s="10">
        <f t="shared" si="157"/>
        <v>10932.929715399088</v>
      </c>
      <c r="AQ208" s="65">
        <f t="shared" si="158"/>
        <v>43</v>
      </c>
      <c r="AR208" s="65"/>
      <c r="AS208" s="65">
        <f t="shared" si="208"/>
        <v>30</v>
      </c>
      <c r="AT208" s="65">
        <f t="shared" si="208"/>
        <v>38</v>
      </c>
      <c r="AU208" s="65">
        <f t="shared" si="165"/>
        <v>39.031167931908605</v>
      </c>
      <c r="AV208" s="65">
        <f>$Y$18/1000*CURVES!O167+$AV$14</f>
        <v>76.22261928801916</v>
      </c>
      <c r="AW208" s="65">
        <f t="shared" si="166"/>
        <v>54.783570673091063</v>
      </c>
      <c r="AX208" s="65">
        <f>CHOOSE(AX$18,CURVES!B167,CURVES!C167)</f>
        <v>60.74444444444444</v>
      </c>
      <c r="AY208" s="65">
        <f t="shared" si="167"/>
        <v>58.725557039255754</v>
      </c>
    </row>
    <row r="209" spans="1:51">
      <c r="A209" s="75">
        <v>41913</v>
      </c>
      <c r="B209" s="2">
        <f t="shared" si="119"/>
        <v>2014</v>
      </c>
      <c r="C209" s="2">
        <f t="shared" si="159"/>
        <v>10</v>
      </c>
      <c r="D209" s="43">
        <v>6.1463855809318999E-2</v>
      </c>
      <c r="E209" s="44">
        <f t="shared" ca="1" si="120"/>
        <v>0.43221382003020259</v>
      </c>
      <c r="F209" s="44"/>
      <c r="G209" s="10"/>
      <c r="H209" s="10">
        <f t="shared" si="203"/>
        <v>16671.966827177446</v>
      </c>
      <c r="I209" s="10">
        <f t="shared" si="203"/>
        <v>14309.835130742835</v>
      </c>
      <c r="K209" s="46">
        <f t="shared" ref="K209:P209" si="211">K197</f>
        <v>2069.2916666666665</v>
      </c>
      <c r="L209" s="46">
        <f t="shared" si="211"/>
        <v>1227.5241935483871</v>
      </c>
      <c r="M209" s="46">
        <f t="shared" si="211"/>
        <v>369.34005376344084</v>
      </c>
      <c r="N209" s="46">
        <f t="shared" si="211"/>
        <v>3.278225806451613</v>
      </c>
      <c r="O209" s="46">
        <f t="shared" si="131"/>
        <v>3669.4341397849457</v>
      </c>
      <c r="P209" s="46">
        <f t="shared" si="211"/>
        <v>3171.075494984625</v>
      </c>
      <c r="Q209" s="46">
        <f t="shared" si="161"/>
        <v>6840.5096347695708</v>
      </c>
      <c r="R209" s="10">
        <f t="shared" si="154"/>
        <v>9831.4571924078755</v>
      </c>
      <c r="T209" s="65">
        <f t="shared" si="155"/>
        <v>48.72</v>
      </c>
      <c r="U209" s="65">
        <f t="shared" si="207"/>
        <v>23</v>
      </c>
      <c r="V209" s="65">
        <f t="shared" si="207"/>
        <v>34</v>
      </c>
      <c r="W209" s="65">
        <f t="shared" si="207"/>
        <v>38</v>
      </c>
      <c r="X209" s="65">
        <f t="shared" si="162"/>
        <v>38.624778497461044</v>
      </c>
      <c r="Y209" s="65">
        <f>$Y$18/1000*CURVES!K168+$Y$14</f>
        <v>78.818132728494618</v>
      </c>
      <c r="Z209" s="65">
        <f t="shared" si="163"/>
        <v>57.257331840478251</v>
      </c>
      <c r="AA209" s="65">
        <f>CHOOSE(AA$18,CURVES!F168,CURVES!G168)</f>
        <v>47.009272141408907</v>
      </c>
      <c r="AB209" s="65">
        <f t="shared" si="156"/>
        <v>51.214052047454693</v>
      </c>
      <c r="AD209" s="65"/>
      <c r="AH209" s="46">
        <f t="shared" si="196"/>
        <v>1913.8399491890309</v>
      </c>
      <c r="AI209" s="46">
        <f t="shared" si="196"/>
        <v>0</v>
      </c>
      <c r="AJ209" s="46">
        <f t="shared" si="196"/>
        <v>1075.3801160883429</v>
      </c>
      <c r="AK209" s="46">
        <f t="shared" si="196"/>
        <v>576.38556050292607</v>
      </c>
      <c r="AL209" s="46">
        <f t="shared" si="133"/>
        <v>3565.6056257802998</v>
      </c>
      <c r="AM209" s="46">
        <f t="shared" si="191"/>
        <v>2259.7132500000002</v>
      </c>
      <c r="AN209" s="46">
        <f t="shared" si="164"/>
        <v>5825.3188757803</v>
      </c>
      <c r="AO209" s="10">
        <f t="shared" si="157"/>
        <v>8484.5162549625347</v>
      </c>
      <c r="AQ209" s="65">
        <f t="shared" si="158"/>
        <v>43</v>
      </c>
      <c r="AR209" s="65"/>
      <c r="AS209" s="65">
        <f t="shared" si="208"/>
        <v>30</v>
      </c>
      <c r="AT209" s="65">
        <f t="shared" si="208"/>
        <v>38</v>
      </c>
      <c r="AU209" s="65">
        <f t="shared" si="165"/>
        <v>38.270966258930272</v>
      </c>
      <c r="AV209" s="65">
        <f>$Y$18/1000*CURVES!O168+$AV$14</f>
        <v>76.537619288019158</v>
      </c>
      <c r="AW209" s="65">
        <f t="shared" si="166"/>
        <v>53.115074320122361</v>
      </c>
      <c r="AX209" s="65">
        <f>CHOOSE(AX$18,CURVES!B168,CURVES!C168)</f>
        <v>47.345161290322579</v>
      </c>
      <c r="AY209" s="65">
        <f t="shared" si="167"/>
        <v>49.694006191539735</v>
      </c>
    </row>
    <row r="210" spans="1:51">
      <c r="A210" s="75">
        <v>41944</v>
      </c>
      <c r="B210" s="2">
        <f t="shared" si="119"/>
        <v>2014</v>
      </c>
      <c r="C210" s="2">
        <f t="shared" si="159"/>
        <v>11</v>
      </c>
      <c r="D210" s="43">
        <v>6.148836139385E-2</v>
      </c>
      <c r="E210" s="44">
        <f t="shared" ca="1" si="120"/>
        <v>0.42992754328255156</v>
      </c>
      <c r="F210" s="44"/>
      <c r="G210" s="10"/>
      <c r="H210" s="10">
        <f t="shared" si="203"/>
        <v>16308.476831711723</v>
      </c>
      <c r="I210" s="10">
        <f t="shared" si="203"/>
        <v>14527.045843538748</v>
      </c>
      <c r="K210" s="46">
        <f t="shared" ref="K210:P210" si="212">K198</f>
        <v>2201.1583333333333</v>
      </c>
      <c r="L210" s="46">
        <f t="shared" si="212"/>
        <v>1270.0277777777778</v>
      </c>
      <c r="M210" s="46">
        <f t="shared" si="212"/>
        <v>241.3111111111111</v>
      </c>
      <c r="N210" s="46">
        <f t="shared" si="212"/>
        <v>3.1194444444444445</v>
      </c>
      <c r="O210" s="46">
        <f t="shared" si="131"/>
        <v>3715.6166666666668</v>
      </c>
      <c r="P210" s="46">
        <f t="shared" si="212"/>
        <v>3029.0331582980816</v>
      </c>
      <c r="Q210" s="46">
        <f t="shared" si="161"/>
        <v>6744.6498249647484</v>
      </c>
      <c r="R210" s="10">
        <f t="shared" si="154"/>
        <v>9563.8270067469748</v>
      </c>
      <c r="T210" s="65">
        <f t="shared" si="155"/>
        <v>48.72</v>
      </c>
      <c r="U210" s="65">
        <f t="shared" si="207"/>
        <v>23</v>
      </c>
      <c r="V210" s="65">
        <f t="shared" si="207"/>
        <v>34</v>
      </c>
      <c r="W210" s="65">
        <f t="shared" si="207"/>
        <v>38</v>
      </c>
      <c r="X210" s="65">
        <f t="shared" si="162"/>
        <v>38.963704424717896</v>
      </c>
      <c r="Y210" s="65">
        <f>$Y$18/1000*CURVES!K169+$Y$14</f>
        <v>78.450632728494639</v>
      </c>
      <c r="Z210" s="65">
        <f t="shared" si="163"/>
        <v>56.697347868853846</v>
      </c>
      <c r="AA210" s="65">
        <f>CHOOSE(AA$18,CURVES!F169,CURVES!G169)</f>
        <v>38.956377987167393</v>
      </c>
      <c r="AB210" s="65">
        <f t="shared" si="156"/>
        <v>46.293459839872973</v>
      </c>
      <c r="AD210" s="65"/>
      <c r="AH210" s="46">
        <f t="shared" si="196"/>
        <v>1838.7874362867092</v>
      </c>
      <c r="AI210" s="46">
        <f t="shared" si="196"/>
        <v>0</v>
      </c>
      <c r="AJ210" s="46">
        <f t="shared" si="196"/>
        <v>1347.8791847211178</v>
      </c>
      <c r="AK210" s="46">
        <f t="shared" si="196"/>
        <v>499.43911251442188</v>
      </c>
      <c r="AL210" s="46">
        <f t="shared" si="133"/>
        <v>3686.105733522249</v>
      </c>
      <c r="AM210" s="46">
        <f t="shared" si="191"/>
        <v>2451.2376410958905</v>
      </c>
      <c r="AN210" s="46">
        <f t="shared" si="164"/>
        <v>6137.3433746181399</v>
      </c>
      <c r="AO210" s="10">
        <f t="shared" si="157"/>
        <v>8389.7024689206082</v>
      </c>
      <c r="AQ210" s="65">
        <f t="shared" si="158"/>
        <v>43</v>
      </c>
      <c r="AR210" s="65"/>
      <c r="AS210" s="65">
        <f t="shared" si="208"/>
        <v>30</v>
      </c>
      <c r="AT210" s="65">
        <f t="shared" si="208"/>
        <v>38</v>
      </c>
      <c r="AU210" s="65">
        <f t="shared" si="165"/>
        <v>37.568895628282228</v>
      </c>
      <c r="AV210" s="65">
        <f>$Y$18/1000*CURVES!O169+$AV$14</f>
        <v>78.007619288019157</v>
      </c>
      <c r="AW210" s="65">
        <f t="shared" si="166"/>
        <v>53.720007850969232</v>
      </c>
      <c r="AX210" s="65">
        <f>CHOOSE(AX$18,CURVES!B169,CURVES!C169)</f>
        <v>45.033333333333331</v>
      </c>
      <c r="AY210" s="65">
        <f t="shared" si="167"/>
        <v>48.703253898909928</v>
      </c>
    </row>
    <row r="211" spans="1:51">
      <c r="A211" s="75">
        <v>41974</v>
      </c>
      <c r="B211" s="2">
        <f t="shared" si="119"/>
        <v>2014</v>
      </c>
      <c r="C211" s="2">
        <f t="shared" si="159"/>
        <v>12</v>
      </c>
      <c r="D211" s="43">
        <v>6.1512076475844002E-2</v>
      </c>
      <c r="E211" s="44">
        <f t="shared" ca="1" si="120"/>
        <v>0.42758535936132119</v>
      </c>
      <c r="F211" s="44"/>
      <c r="G211" s="10"/>
      <c r="H211" s="10">
        <f t="shared" si="203"/>
        <v>16191.047373963283</v>
      </c>
      <c r="I211" s="10">
        <f t="shared" si="203"/>
        <v>14494.042925817736</v>
      </c>
      <c r="K211" s="46">
        <f t="shared" ref="K211:P211" si="213">K199</f>
        <v>2256.4126344086021</v>
      </c>
      <c r="L211" s="46">
        <f t="shared" si="213"/>
        <v>1157.2150537634409</v>
      </c>
      <c r="M211" s="46">
        <f t="shared" si="213"/>
        <v>239.86021505376345</v>
      </c>
      <c r="N211" s="46">
        <f t="shared" si="213"/>
        <v>2.9690860215053765</v>
      </c>
      <c r="O211" s="46">
        <f t="shared" si="131"/>
        <v>3656.4569892473123</v>
      </c>
      <c r="P211" s="46">
        <f t="shared" si="213"/>
        <v>2977.5968497309718</v>
      </c>
      <c r="Q211" s="46">
        <f t="shared" si="161"/>
        <v>6634.0538389782841</v>
      </c>
      <c r="R211" s="10">
        <f t="shared" si="154"/>
        <v>9556.9935349850002</v>
      </c>
      <c r="T211" s="65">
        <f t="shared" si="155"/>
        <v>48.72</v>
      </c>
      <c r="U211" s="65">
        <f t="shared" si="207"/>
        <v>23</v>
      </c>
      <c r="V211" s="65">
        <f t="shared" si="207"/>
        <v>34</v>
      </c>
      <c r="W211" s="65">
        <f t="shared" si="207"/>
        <v>38</v>
      </c>
      <c r="X211" s="65">
        <f t="shared" si="162"/>
        <v>39.60567368670241</v>
      </c>
      <c r="Y211" s="65">
        <f>$Y$18/1000*CURVES!K170+$Y$14</f>
        <v>79.763132728494639</v>
      </c>
      <c r="Z211" s="65">
        <f t="shared" si="163"/>
        <v>57.629754654133407</v>
      </c>
      <c r="AA211" s="65">
        <f>CHOOSE(AA$18,CURVES!F170,CURVES!G170)</f>
        <v>39.00749845740954</v>
      </c>
      <c r="AB211" s="65">
        <f t="shared" si="156"/>
        <v>46.637705902233563</v>
      </c>
      <c r="AD211" s="65"/>
      <c r="AH211" s="46">
        <f t="shared" si="196"/>
        <v>1921.095004536046</v>
      </c>
      <c r="AI211" s="46">
        <f t="shared" si="196"/>
        <v>0</v>
      </c>
      <c r="AJ211" s="46">
        <f t="shared" si="196"/>
        <v>1326.4786927345147</v>
      </c>
      <c r="AK211" s="46">
        <f t="shared" si="196"/>
        <v>519.61972313456249</v>
      </c>
      <c r="AL211" s="46">
        <f t="shared" si="133"/>
        <v>3767.1934204051231</v>
      </c>
      <c r="AM211" s="46">
        <f t="shared" si="191"/>
        <v>2024.2479112903225</v>
      </c>
      <c r="AN211" s="46">
        <f t="shared" si="164"/>
        <v>5791.4413316954451</v>
      </c>
      <c r="AO211" s="10">
        <f t="shared" si="157"/>
        <v>8702.6015941222904</v>
      </c>
      <c r="AQ211" s="65">
        <f t="shared" si="158"/>
        <v>43</v>
      </c>
      <c r="AR211" s="65"/>
      <c r="AS211" s="65">
        <f t="shared" si="208"/>
        <v>30</v>
      </c>
      <c r="AT211" s="65">
        <f t="shared" si="208"/>
        <v>38</v>
      </c>
      <c r="AU211" s="65">
        <f t="shared" si="165"/>
        <v>37.732863591833393</v>
      </c>
      <c r="AV211" s="65">
        <f>$Y$18/1000*CURVES!O170+$AV$14</f>
        <v>79.320119288019157</v>
      </c>
      <c r="AW211" s="65">
        <f t="shared" si="166"/>
        <v>52.268608781650606</v>
      </c>
      <c r="AX211" s="65">
        <f>CHOOSE(AX$18,CURVES!B170,CURVES!C170)</f>
        <v>44.646236559139787</v>
      </c>
      <c r="AY211" s="65">
        <f t="shared" si="167"/>
        <v>47.691937593761622</v>
      </c>
    </row>
    <row r="212" spans="1:51">
      <c r="A212" s="75">
        <v>42005</v>
      </c>
      <c r="B212" s="2">
        <f t="shared" ref="B212:B275" si="214">YEAR(A212)</f>
        <v>2015</v>
      </c>
      <c r="C212" s="2">
        <f t="shared" si="159"/>
        <v>1</v>
      </c>
      <c r="D212" s="43">
        <v>6.1536582060768001E-2</v>
      </c>
      <c r="E212" s="44">
        <f t="shared" ref="E212:E275" ca="1" si="215">(1+D212/2)^(-2*(DATE($B213,$C213,20)-$E$17)/365.25)</f>
        <v>0.42524967502379901</v>
      </c>
      <c r="F212" s="44"/>
      <c r="G212" s="10"/>
      <c r="H212" s="10">
        <f t="shared" si="203"/>
        <v>16488.541448006414</v>
      </c>
      <c r="I212" s="10">
        <f t="shared" si="203"/>
        <v>15674.414737608358</v>
      </c>
      <c r="K212" s="46">
        <f t="shared" ref="K212:P212" si="216">K200</f>
        <v>2185.9180107526881</v>
      </c>
      <c r="L212" s="46">
        <f t="shared" si="216"/>
        <v>1282.3306451612902</v>
      </c>
      <c r="M212" s="46">
        <f t="shared" si="216"/>
        <v>142.8521505376344</v>
      </c>
      <c r="N212" s="46">
        <f t="shared" si="216"/>
        <v>3.168010752688172</v>
      </c>
      <c r="O212" s="46">
        <f t="shared" si="131"/>
        <v>3614.2688172043008</v>
      </c>
      <c r="P212" s="46">
        <f t="shared" si="216"/>
        <v>2792.6655547379</v>
      </c>
      <c r="Q212" s="46">
        <f t="shared" si="161"/>
        <v>6406.9343719422013</v>
      </c>
      <c r="R212" s="10">
        <f t="shared" si="154"/>
        <v>10081.607076064212</v>
      </c>
      <c r="T212" s="65">
        <f t="shared" si="155"/>
        <v>48.72</v>
      </c>
      <c r="U212" s="65">
        <f t="shared" si="207"/>
        <v>23</v>
      </c>
      <c r="V212" s="65">
        <f t="shared" si="207"/>
        <v>34</v>
      </c>
      <c r="W212" s="65">
        <f t="shared" si="207"/>
        <v>38</v>
      </c>
      <c r="X212" s="65">
        <f t="shared" si="162"/>
        <v>39.003431946853418</v>
      </c>
      <c r="Y212" s="65">
        <f>$Y$18/1000*CURVES!K171+$Y$14</f>
        <v>81.38013272849463</v>
      </c>
      <c r="Z212" s="65">
        <f t="shared" si="163"/>
        <v>57.474661044280424</v>
      </c>
      <c r="AA212" s="65">
        <f>CHOOSE(AA$18,CURVES!F171,CURVES!G171)</f>
        <v>40.403314016316536</v>
      </c>
      <c r="AB212" s="65">
        <f t="shared" si="156"/>
        <v>47.036708509923457</v>
      </c>
      <c r="AD212" s="65"/>
      <c r="AH212" s="46">
        <f t="shared" si="196"/>
        <v>1826.0560878589888</v>
      </c>
      <c r="AI212" s="46">
        <f t="shared" si="196"/>
        <v>0</v>
      </c>
      <c r="AJ212" s="46">
        <f t="shared" si="196"/>
        <v>1744.0893186443859</v>
      </c>
      <c r="AK212" s="46">
        <f t="shared" si="196"/>
        <v>538.87289280137145</v>
      </c>
      <c r="AL212" s="46">
        <f t="shared" si="133"/>
        <v>4109.0182993047465</v>
      </c>
      <c r="AM212" s="46">
        <f t="shared" si="191"/>
        <v>2445.3687016129034</v>
      </c>
      <c r="AN212" s="46">
        <f t="shared" si="164"/>
        <v>6554.3870009176499</v>
      </c>
      <c r="AO212" s="10">
        <f t="shared" si="157"/>
        <v>9120.0277366907067</v>
      </c>
      <c r="AQ212" s="65">
        <f t="shared" si="158"/>
        <v>43</v>
      </c>
      <c r="AR212" s="65"/>
      <c r="AS212" s="65">
        <f t="shared" si="208"/>
        <v>30</v>
      </c>
      <c r="AT212" s="65">
        <f t="shared" si="208"/>
        <v>38</v>
      </c>
      <c r="AU212" s="65">
        <f t="shared" si="165"/>
        <v>36.826378040059808</v>
      </c>
      <c r="AV212" s="65">
        <f>$Y$18/1000*CURVES!O171+$AV$14</f>
        <v>80.937119288019147</v>
      </c>
      <c r="AW212" s="65">
        <f t="shared" si="166"/>
        <v>53.283603717701837</v>
      </c>
      <c r="AX212" s="65">
        <f>CHOOSE(AX$18,CURVES!B171,CURVES!C171)</f>
        <v>48.748387096774195</v>
      </c>
      <c r="AY212" s="65">
        <f t="shared" si="167"/>
        <v>50.644825679277169</v>
      </c>
    </row>
    <row r="213" spans="1:51">
      <c r="A213" s="75">
        <v>42036</v>
      </c>
      <c r="B213" s="2">
        <f t="shared" si="214"/>
        <v>2015</v>
      </c>
      <c r="C213" s="2">
        <f t="shared" si="159"/>
        <v>2</v>
      </c>
      <c r="D213" s="43">
        <v>6.1561087645891001E-2</v>
      </c>
      <c r="E213" s="44">
        <f t="shared" ca="1" si="215"/>
        <v>0.42313571741342337</v>
      </c>
      <c r="F213" s="44"/>
      <c r="G213" s="10"/>
      <c r="H213" s="10">
        <f t="shared" si="203"/>
        <v>16532.892359835681</v>
      </c>
      <c r="I213" s="10">
        <f t="shared" si="203"/>
        <v>15653.524448494807</v>
      </c>
      <c r="K213" s="46">
        <f t="shared" ref="K213:P213" si="217">K201</f>
        <v>2261.8764367816093</v>
      </c>
      <c r="L213" s="46">
        <f t="shared" si="217"/>
        <v>1335.9798850574712</v>
      </c>
      <c r="M213" s="46">
        <f t="shared" si="217"/>
        <v>236.0028735632184</v>
      </c>
      <c r="N213" s="46">
        <f t="shared" si="217"/>
        <v>3.8491379310344827</v>
      </c>
      <c r="O213" s="46">
        <f t="shared" si="131"/>
        <v>3837.7083333333335</v>
      </c>
      <c r="P213" s="46">
        <f t="shared" si="217"/>
        <v>3011.7717013676738</v>
      </c>
      <c r="Q213" s="46">
        <f t="shared" si="161"/>
        <v>6849.4800347010078</v>
      </c>
      <c r="R213" s="10">
        <f t="shared" si="154"/>
        <v>9683.4123251346737</v>
      </c>
      <c r="T213" s="65">
        <f t="shared" si="155"/>
        <v>48.72</v>
      </c>
      <c r="U213" s="65">
        <f t="shared" si="207"/>
        <v>23</v>
      </c>
      <c r="V213" s="65">
        <f t="shared" si="207"/>
        <v>34</v>
      </c>
      <c r="W213" s="65">
        <f t="shared" si="207"/>
        <v>38</v>
      </c>
      <c r="X213" s="65">
        <f t="shared" si="162"/>
        <v>38.850404811599958</v>
      </c>
      <c r="Y213" s="65">
        <f>$Y$18/1000*CURVES!K172+$Y$14</f>
        <v>80.372132728494634</v>
      </c>
      <c r="Z213" s="65">
        <f t="shared" si="163"/>
        <v>57.107843989236791</v>
      </c>
      <c r="AA213" s="65">
        <f>CHOOSE(AA$18,CURVES!F172,CURVES!G172)</f>
        <v>40.418236767039183</v>
      </c>
      <c r="AB213" s="65">
        <f t="shared" si="156"/>
        <v>47.3326428471971</v>
      </c>
      <c r="AD213" s="65"/>
      <c r="AH213" s="46">
        <f t="shared" si="196"/>
        <v>1925.7468502510062</v>
      </c>
      <c r="AI213" s="46">
        <f t="shared" si="196"/>
        <v>0</v>
      </c>
      <c r="AJ213" s="46">
        <f t="shared" si="196"/>
        <v>2201.9273871825426</v>
      </c>
      <c r="AK213" s="46">
        <f t="shared" si="196"/>
        <v>548.47547775416388</v>
      </c>
      <c r="AL213" s="46">
        <f t="shared" si="133"/>
        <v>4676.1497151877129</v>
      </c>
      <c r="AM213" s="46">
        <f t="shared" si="191"/>
        <v>2161.5456443452381</v>
      </c>
      <c r="AN213" s="46">
        <f t="shared" si="164"/>
        <v>6837.6953595329505</v>
      </c>
      <c r="AO213" s="10">
        <f t="shared" si="157"/>
        <v>8815.8290889618547</v>
      </c>
      <c r="AQ213" s="65">
        <f t="shared" si="158"/>
        <v>43</v>
      </c>
      <c r="AR213" s="65"/>
      <c r="AS213" s="65">
        <f t="shared" si="208"/>
        <v>30</v>
      </c>
      <c r="AT213" s="65">
        <f t="shared" si="208"/>
        <v>38</v>
      </c>
      <c r="AU213" s="65">
        <f t="shared" si="165"/>
        <v>36.29203825098557</v>
      </c>
      <c r="AV213" s="65">
        <f>$Y$18/1000*CURVES!O172+$AV$14</f>
        <v>79.929119288019152</v>
      </c>
      <c r="AW213" s="65">
        <f t="shared" si="166"/>
        <v>50.086677743959839</v>
      </c>
      <c r="AX213" s="65">
        <f>CHOOSE(AX$18,CURVES!B172,CURVES!C172)</f>
        <v>47.45</v>
      </c>
      <c r="AY213" s="65">
        <f t="shared" si="167"/>
        <v>48.601740570232508</v>
      </c>
    </row>
    <row r="214" spans="1:51">
      <c r="A214" s="75">
        <v>42064</v>
      </c>
      <c r="B214" s="2">
        <f t="shared" si="214"/>
        <v>2015</v>
      </c>
      <c r="C214" s="2">
        <f t="shared" si="159"/>
        <v>3</v>
      </c>
      <c r="D214" s="43">
        <v>6.1583221722948001E-2</v>
      </c>
      <c r="E214" s="44">
        <f t="shared" ca="1" si="215"/>
        <v>0.42083484395031628</v>
      </c>
      <c r="F214" s="44"/>
      <c r="G214" s="10"/>
      <c r="H214" s="10">
        <f t="shared" si="203"/>
        <v>16437.180743504341</v>
      </c>
      <c r="I214" s="10">
        <f t="shared" si="203"/>
        <v>15302.107928126337</v>
      </c>
      <c r="K214" s="46">
        <f t="shared" ref="K214:P214" si="218">K202</f>
        <v>2263.9462365591398</v>
      </c>
      <c r="L214" s="46">
        <f t="shared" si="218"/>
        <v>1258.630376344086</v>
      </c>
      <c r="M214" s="46">
        <f t="shared" si="218"/>
        <v>620.64650537634407</v>
      </c>
      <c r="N214" s="46">
        <f t="shared" si="218"/>
        <v>2.581989247311828</v>
      </c>
      <c r="O214" s="46">
        <f t="shared" si="131"/>
        <v>4145.8051075268813</v>
      </c>
      <c r="P214" s="46">
        <f t="shared" si="218"/>
        <v>2834.3973290285558</v>
      </c>
      <c r="Q214" s="46">
        <f t="shared" si="161"/>
        <v>6980.2024365554371</v>
      </c>
      <c r="R214" s="10">
        <f t="shared" si="154"/>
        <v>9456.978306948904</v>
      </c>
      <c r="T214" s="65">
        <f t="shared" si="155"/>
        <v>48.72</v>
      </c>
      <c r="U214" s="65">
        <f t="shared" si="207"/>
        <v>23</v>
      </c>
      <c r="V214" s="65">
        <f t="shared" si="207"/>
        <v>34</v>
      </c>
      <c r="W214" s="65">
        <f t="shared" si="207"/>
        <v>38</v>
      </c>
      <c r="X214" s="65">
        <f t="shared" si="162"/>
        <v>38.701302138870133</v>
      </c>
      <c r="Y214" s="65">
        <f>$Y$18/1000*CURVES!K173+$Y$14</f>
        <v>78.797132728494631</v>
      </c>
      <c r="Z214" s="65">
        <f t="shared" si="163"/>
        <v>54.982708897682627</v>
      </c>
      <c r="AA214" s="65">
        <f>CHOOSE(AA$18,CURVES!F173,CURVES!G173)</f>
        <v>39.82548066741623</v>
      </c>
      <c r="AB214" s="65">
        <f t="shared" si="156"/>
        <v>46.262139305859606</v>
      </c>
      <c r="AD214" s="65"/>
      <c r="AH214" s="46">
        <f t="shared" si="196"/>
        <v>1891.2387324311178</v>
      </c>
      <c r="AI214" s="46">
        <f t="shared" si="196"/>
        <v>0</v>
      </c>
      <c r="AJ214" s="46">
        <f t="shared" si="196"/>
        <v>1966.5504926356311</v>
      </c>
      <c r="AK214" s="46">
        <f t="shared" si="196"/>
        <v>526.07330501492243</v>
      </c>
      <c r="AL214" s="46">
        <f t="shared" si="133"/>
        <v>4383.8625300816711</v>
      </c>
      <c r="AM214" s="46">
        <f t="shared" si="191"/>
        <v>2044.2222728494623</v>
      </c>
      <c r="AN214" s="46">
        <f t="shared" si="164"/>
        <v>6428.0848029311337</v>
      </c>
      <c r="AO214" s="10">
        <f t="shared" si="157"/>
        <v>8874.0231251952046</v>
      </c>
      <c r="AQ214" s="65">
        <f t="shared" si="158"/>
        <v>43</v>
      </c>
      <c r="AR214" s="65"/>
      <c r="AS214" s="65">
        <f t="shared" si="208"/>
        <v>30</v>
      </c>
      <c r="AT214" s="65">
        <f t="shared" si="208"/>
        <v>38</v>
      </c>
      <c r="AU214" s="65">
        <f t="shared" si="165"/>
        <v>36.56833779894724</v>
      </c>
      <c r="AV214" s="65">
        <f>$Y$18/1000*CURVES!O173+$AV$14</f>
        <v>78.354119288019149</v>
      </c>
      <c r="AW214" s="65">
        <f t="shared" si="166"/>
        <v>49.856809844218212</v>
      </c>
      <c r="AX214" s="65">
        <f>CHOOSE(AX$18,CURVES!B173,CURVES!C173)</f>
        <v>45.218817204301075</v>
      </c>
      <c r="AY214" s="65">
        <f t="shared" si="167"/>
        <v>47.167137667389603</v>
      </c>
    </row>
    <row r="215" spans="1:51">
      <c r="A215" s="75">
        <v>42095</v>
      </c>
      <c r="B215" s="2">
        <f t="shared" si="214"/>
        <v>2015</v>
      </c>
      <c r="C215" s="2">
        <f t="shared" si="159"/>
        <v>4</v>
      </c>
      <c r="D215" s="43">
        <v>6.1607727308451002E-2</v>
      </c>
      <c r="E215" s="44">
        <f t="shared" ca="1" si="215"/>
        <v>0.41860067070705953</v>
      </c>
      <c r="F215" s="44"/>
      <c r="G215" s="10"/>
      <c r="H215" s="10">
        <f t="shared" si="203"/>
        <v>16510.117654952497</v>
      </c>
      <c r="I215" s="10">
        <f t="shared" si="203"/>
        <v>14948.580296864129</v>
      </c>
      <c r="K215" s="46">
        <f t="shared" ref="K215:P215" si="219">K203</f>
        <v>2319.8402777777778</v>
      </c>
      <c r="L215" s="46">
        <f t="shared" si="219"/>
        <v>1179.1659722222223</v>
      </c>
      <c r="M215" s="46">
        <f t="shared" si="219"/>
        <v>811.58611111111111</v>
      </c>
      <c r="N215" s="46">
        <f t="shared" si="219"/>
        <v>3.0416666666666665</v>
      </c>
      <c r="O215" s="46">
        <f t="shared" si="131"/>
        <v>4313.6340277777781</v>
      </c>
      <c r="P215" s="46">
        <f t="shared" si="219"/>
        <v>2923.3945906815438</v>
      </c>
      <c r="Q215" s="46">
        <f t="shared" si="161"/>
        <v>7237.0286184593224</v>
      </c>
      <c r="R215" s="10">
        <f t="shared" si="154"/>
        <v>9273.0890364931747</v>
      </c>
      <c r="T215" s="65">
        <f t="shared" si="155"/>
        <v>48.72</v>
      </c>
      <c r="U215" s="65">
        <f t="shared" si="207"/>
        <v>23</v>
      </c>
      <c r="V215" s="65">
        <f t="shared" si="207"/>
        <v>34</v>
      </c>
      <c r="W215" s="65">
        <f t="shared" si="207"/>
        <v>38</v>
      </c>
      <c r="X215" s="65">
        <f t="shared" si="162"/>
        <v>38.912189982891782</v>
      </c>
      <c r="Y215" s="65">
        <f>$Y$18/1000*CURVES!K174+$Y$14</f>
        <v>78.713132728494628</v>
      </c>
      <c r="Z215" s="65">
        <f t="shared" si="163"/>
        <v>54.989763647550234</v>
      </c>
      <c r="AA215" s="65">
        <f>CHOOSE(AA$18,CURVES!F174,CURVES!G174)</f>
        <v>38.895870422566304</v>
      </c>
      <c r="AB215" s="65">
        <f t="shared" si="156"/>
        <v>45.950451636692264</v>
      </c>
      <c r="AD215" s="65"/>
      <c r="AH215" s="46">
        <f t="shared" si="196"/>
        <v>1937.9310849074075</v>
      </c>
      <c r="AI215" s="46">
        <f t="shared" si="196"/>
        <v>0</v>
      </c>
      <c r="AJ215" s="46">
        <f t="shared" si="196"/>
        <v>2070.9500209392572</v>
      </c>
      <c r="AK215" s="46">
        <f t="shared" si="196"/>
        <v>513.91932921853174</v>
      </c>
      <c r="AL215" s="46">
        <f t="shared" si="133"/>
        <v>4522.8004350651963</v>
      </c>
      <c r="AM215" s="46">
        <f t="shared" si="191"/>
        <v>2152.9968589041096</v>
      </c>
      <c r="AN215" s="46">
        <f t="shared" si="164"/>
        <v>6675.7972939693063</v>
      </c>
      <c r="AO215" s="10">
        <f t="shared" si="157"/>
        <v>8272.7830028948229</v>
      </c>
      <c r="AQ215" s="65">
        <f t="shared" si="158"/>
        <v>43</v>
      </c>
      <c r="AR215" s="65"/>
      <c r="AS215" s="65">
        <f t="shared" si="208"/>
        <v>30</v>
      </c>
      <c r="AT215" s="65">
        <f t="shared" si="208"/>
        <v>38</v>
      </c>
      <c r="AU215" s="65">
        <f t="shared" si="165"/>
        <v>36.479272998726103</v>
      </c>
      <c r="AV215" s="65">
        <f>$Y$18/1000*CURVES!O174+$AV$14</f>
        <v>76.432619288019154</v>
      </c>
      <c r="AW215" s="65">
        <f t="shared" si="166"/>
        <v>49.364539772967909</v>
      </c>
      <c r="AX215" s="65">
        <f>CHOOSE(AX$18,CURVES!B174,CURVES!C174)</f>
        <v>43.575555555555553</v>
      </c>
      <c r="AY215" s="65">
        <f t="shared" si="167"/>
        <v>46.160823481068149</v>
      </c>
    </row>
    <row r="216" spans="1:51">
      <c r="A216" s="75">
        <v>42125</v>
      </c>
      <c r="B216" s="2">
        <f t="shared" si="214"/>
        <v>2015</v>
      </c>
      <c r="C216" s="2">
        <f t="shared" si="159"/>
        <v>5</v>
      </c>
      <c r="D216" s="43">
        <v>6.1631442391386002E-2</v>
      </c>
      <c r="E216" s="44">
        <f t="shared" ca="1" si="215"/>
        <v>0.41631215032586966</v>
      </c>
      <c r="F216" s="44"/>
      <c r="G216" s="10"/>
      <c r="H216" s="10">
        <f t="shared" si="203"/>
        <v>17446.22197976266</v>
      </c>
      <c r="I216" s="10">
        <f t="shared" si="203"/>
        <v>16283.01374015335</v>
      </c>
      <c r="K216" s="46">
        <f t="shared" ref="K216:P216" si="220">K204</f>
        <v>2226.0672043010754</v>
      </c>
      <c r="L216" s="46">
        <f t="shared" si="220"/>
        <v>1023.6263440860215</v>
      </c>
      <c r="M216" s="46">
        <f t="shared" si="220"/>
        <v>950.16532258064512</v>
      </c>
      <c r="N216" s="46">
        <f t="shared" si="220"/>
        <v>3.3051075268817205</v>
      </c>
      <c r="O216" s="46">
        <f t="shared" si="131"/>
        <v>4203.1639784946237</v>
      </c>
      <c r="P216" s="46">
        <f t="shared" si="220"/>
        <v>2831.510502104928</v>
      </c>
      <c r="Q216" s="46">
        <f t="shared" si="161"/>
        <v>7034.6744805995513</v>
      </c>
      <c r="R216" s="10">
        <f t="shared" si="154"/>
        <v>10411.547499163109</v>
      </c>
      <c r="T216" s="65">
        <f t="shared" si="155"/>
        <v>48.72</v>
      </c>
      <c r="U216" s="65">
        <f t="shared" si="207"/>
        <v>23</v>
      </c>
      <c r="V216" s="65">
        <f t="shared" si="207"/>
        <v>34</v>
      </c>
      <c r="W216" s="65">
        <f t="shared" si="207"/>
        <v>38</v>
      </c>
      <c r="X216" s="65">
        <f t="shared" si="162"/>
        <v>39.120199926194871</v>
      </c>
      <c r="Y216" s="65">
        <f>$Y$18/1000*CURVES!K175+$Y$14</f>
        <v>78.450632728494625</v>
      </c>
      <c r="Z216" s="65">
        <f t="shared" si="163"/>
        <v>54.951001172104483</v>
      </c>
      <c r="AA216" s="65">
        <f>CHOOSE(AA$18,CURVES!F175,CURVES!G175)</f>
        <v>38.213731303704435</v>
      </c>
      <c r="AB216" s="65">
        <f t="shared" si="156"/>
        <v>44.962541754168704</v>
      </c>
      <c r="AD216" s="65"/>
      <c r="AH216" s="46">
        <f t="shared" si="196"/>
        <v>1895.2591032026239</v>
      </c>
      <c r="AI216" s="46">
        <f t="shared" si="196"/>
        <v>0</v>
      </c>
      <c r="AJ216" s="46">
        <f t="shared" si="196"/>
        <v>1877.6303324734643</v>
      </c>
      <c r="AK216" s="46">
        <f t="shared" si="196"/>
        <v>570.53181663934993</v>
      </c>
      <c r="AL216" s="46">
        <f t="shared" si="133"/>
        <v>4343.4212523154383</v>
      </c>
      <c r="AM216" s="46">
        <f t="shared" si="191"/>
        <v>2186.8418319892476</v>
      </c>
      <c r="AN216" s="46">
        <f t="shared" si="164"/>
        <v>6530.2630843046863</v>
      </c>
      <c r="AO216" s="10">
        <f t="shared" si="157"/>
        <v>9752.7506558486639</v>
      </c>
      <c r="AQ216" s="65">
        <f t="shared" si="158"/>
        <v>43</v>
      </c>
      <c r="AR216" s="65"/>
      <c r="AS216" s="65">
        <f t="shared" si="208"/>
        <v>30</v>
      </c>
      <c r="AT216" s="65">
        <f t="shared" si="208"/>
        <v>38</v>
      </c>
      <c r="AU216" s="65">
        <f t="shared" si="165"/>
        <v>36.723414833221909</v>
      </c>
      <c r="AV216" s="65">
        <f>$Y$18/1000*CURVES!O175+$AV$14</f>
        <v>76.170119288019151</v>
      </c>
      <c r="AW216" s="65">
        <f t="shared" si="166"/>
        <v>49.93325068856435</v>
      </c>
      <c r="AX216" s="65">
        <f>CHOOSE(AX$18,CURVES!B175,CURVES!C175)</f>
        <v>43.03602150537634</v>
      </c>
      <c r="AY216" s="65">
        <f t="shared" si="167"/>
        <v>45.802138505443267</v>
      </c>
    </row>
    <row r="217" spans="1:51">
      <c r="A217" s="75">
        <v>42156</v>
      </c>
      <c r="B217" s="2">
        <f t="shared" si="214"/>
        <v>2015</v>
      </c>
      <c r="C217" s="2">
        <f t="shared" si="159"/>
        <v>6</v>
      </c>
      <c r="D217" s="43">
        <v>6.1655947977280003E-2</v>
      </c>
      <c r="E217" s="44">
        <f t="shared" ca="1" si="215"/>
        <v>0.41409875576570992</v>
      </c>
      <c r="F217" s="44"/>
      <c r="G217" s="10"/>
      <c r="H217" s="10">
        <f t="shared" si="203"/>
        <v>19280.203494047135</v>
      </c>
      <c r="I217" s="10">
        <f t="shared" si="203"/>
        <v>18361.155019949867</v>
      </c>
      <c r="K217" s="46">
        <f t="shared" ref="K217:P217" si="221">K205</f>
        <v>2252.1333333333332</v>
      </c>
      <c r="L217" s="46">
        <f t="shared" si="221"/>
        <v>1398.3916666666667</v>
      </c>
      <c r="M217" s="46">
        <f t="shared" si="221"/>
        <v>957.04027777777776</v>
      </c>
      <c r="N217" s="46">
        <f t="shared" si="221"/>
        <v>3.526388888888889</v>
      </c>
      <c r="O217" s="46">
        <f t="shared" si="131"/>
        <v>4611.0916666666662</v>
      </c>
      <c r="P217" s="46">
        <f t="shared" si="221"/>
        <v>3175.7411781346573</v>
      </c>
      <c r="Q217" s="46">
        <f t="shared" si="161"/>
        <v>7786.8328448013235</v>
      </c>
      <c r="R217" s="10">
        <f t="shared" si="154"/>
        <v>11493.370649245811</v>
      </c>
      <c r="T217" s="65">
        <f t="shared" si="155"/>
        <v>48.72</v>
      </c>
      <c r="U217" s="65">
        <f t="shared" si="207"/>
        <v>23</v>
      </c>
      <c r="V217" s="65">
        <f t="shared" si="207"/>
        <v>34</v>
      </c>
      <c r="W217" s="65">
        <f t="shared" si="207"/>
        <v>38</v>
      </c>
      <c r="X217" s="65">
        <f t="shared" si="162"/>
        <v>37.856613829094464</v>
      </c>
      <c r="Y217" s="65">
        <f>$Y$18/1000*CURVES!K176+$Y$14</f>
        <v>78.75513272849463</v>
      </c>
      <c r="Z217" s="65">
        <f t="shared" si="163"/>
        <v>54.536451855957559</v>
      </c>
      <c r="AA217" s="65">
        <f>CHOOSE(AA$18,CURVES!F176,CURVES!G176)</f>
        <v>49.675454109010246</v>
      </c>
      <c r="AB217" s="65">
        <f t="shared" si="156"/>
        <v>51.638699825069281</v>
      </c>
      <c r="AD217" s="65"/>
      <c r="AH217" s="46">
        <f t="shared" ref="AH217:AK236" si="222">AH205</f>
        <v>1881.3705563400365</v>
      </c>
      <c r="AI217" s="46">
        <f t="shared" si="222"/>
        <v>0</v>
      </c>
      <c r="AJ217" s="46">
        <f t="shared" si="222"/>
        <v>1162.1616861734683</v>
      </c>
      <c r="AK217" s="46">
        <f t="shared" si="222"/>
        <v>631.24071210358352</v>
      </c>
      <c r="AL217" s="46">
        <f t="shared" si="133"/>
        <v>3674.7729546170881</v>
      </c>
      <c r="AM217" s="46">
        <f t="shared" si="191"/>
        <v>2754.0461410958906</v>
      </c>
      <c r="AN217" s="46">
        <f t="shared" si="164"/>
        <v>6428.8190957129791</v>
      </c>
      <c r="AO217" s="10">
        <f t="shared" si="157"/>
        <v>11932.335924236888</v>
      </c>
      <c r="AQ217" s="65">
        <f t="shared" si="158"/>
        <v>43</v>
      </c>
      <c r="AR217" s="65"/>
      <c r="AS217" s="65">
        <f t="shared" si="208"/>
        <v>30</v>
      </c>
      <c r="AT217" s="65">
        <f t="shared" si="208"/>
        <v>38</v>
      </c>
      <c r="AU217" s="65">
        <f t="shared" si="165"/>
        <v>38.029813894263803</v>
      </c>
      <c r="AV217" s="65">
        <f>$Y$18/1000*CURVES!O176+$AV$14</f>
        <v>76.474619288019156</v>
      </c>
      <c r="AW217" s="65">
        <f t="shared" si="166"/>
        <v>54.49920996273601</v>
      </c>
      <c r="AX217" s="65">
        <f>CHOOSE(AX$18,CURVES!B176,CURVES!C176)</f>
        <v>48.786666666666662</v>
      </c>
      <c r="AY217" s="65">
        <f t="shared" si="167"/>
        <v>50.786808127645301</v>
      </c>
    </row>
    <row r="218" spans="1:51">
      <c r="A218" s="75">
        <v>42186</v>
      </c>
      <c r="B218" s="2">
        <f t="shared" si="214"/>
        <v>2015</v>
      </c>
      <c r="C218" s="2">
        <f t="shared" si="159"/>
        <v>7</v>
      </c>
      <c r="D218" s="43">
        <v>6.1679663060593998E-2</v>
      </c>
      <c r="E218" s="44">
        <f t="shared" ca="1" si="215"/>
        <v>0.41183163344660167</v>
      </c>
      <c r="F218" s="44"/>
      <c r="G218" s="10"/>
      <c r="H218" s="10">
        <f t="shared" si="203"/>
        <v>19029.419246599566</v>
      </c>
      <c r="I218" s="10">
        <f t="shared" si="203"/>
        <v>17430.074295624279</v>
      </c>
      <c r="K218" s="46">
        <f t="shared" ref="K218:P218" si="223">K206</f>
        <v>2248.4569892473119</v>
      </c>
      <c r="L218" s="46">
        <f t="shared" si="223"/>
        <v>1358.3225806451612</v>
      </c>
      <c r="M218" s="46">
        <f t="shared" si="223"/>
        <v>653.55107526881716</v>
      </c>
      <c r="N218" s="46">
        <f t="shared" si="223"/>
        <v>3.8373655913978495</v>
      </c>
      <c r="O218" s="46">
        <f t="shared" si="131"/>
        <v>4264.1680107526872</v>
      </c>
      <c r="P218" s="46">
        <f t="shared" si="223"/>
        <v>3349.3895623880758</v>
      </c>
      <c r="Q218" s="46">
        <f t="shared" si="161"/>
        <v>7613.5575731407625</v>
      </c>
      <c r="R218" s="10">
        <f t="shared" si="154"/>
        <v>11415.861673458801</v>
      </c>
      <c r="T218" s="65">
        <f t="shared" si="155"/>
        <v>48.72</v>
      </c>
      <c r="U218" s="65">
        <f t="shared" si="207"/>
        <v>23</v>
      </c>
      <c r="V218" s="65">
        <f t="shared" si="207"/>
        <v>34</v>
      </c>
      <c r="W218" s="65">
        <f t="shared" si="207"/>
        <v>38</v>
      </c>
      <c r="X218" s="65">
        <f t="shared" si="162"/>
        <v>38.261344278923424</v>
      </c>
      <c r="Y218" s="65">
        <f>$Y$18/1000*CURVES!K177+$Y$14</f>
        <v>79.070132728494627</v>
      </c>
      <c r="Z218" s="65">
        <f t="shared" si="163"/>
        <v>56.21412506157553</v>
      </c>
      <c r="AA218" s="65">
        <f>CHOOSE(AA$18,CURVES!F177,CURVES!G177)</f>
        <v>60.366596161680853</v>
      </c>
      <c r="AB218" s="65">
        <f t="shared" si="156"/>
        <v>58.705217147336803</v>
      </c>
      <c r="AD218" s="65"/>
      <c r="AH218" s="46">
        <f t="shared" si="222"/>
        <v>1914.3216201186069</v>
      </c>
      <c r="AI218" s="46">
        <f t="shared" si="222"/>
        <v>0</v>
      </c>
      <c r="AJ218" s="46">
        <f t="shared" si="222"/>
        <v>1193.3319743059751</v>
      </c>
      <c r="AK218" s="46">
        <f t="shared" si="222"/>
        <v>610.72305844211053</v>
      </c>
      <c r="AL218" s="46">
        <f t="shared" si="133"/>
        <v>3718.3766528666924</v>
      </c>
      <c r="AM218" s="46">
        <f t="shared" si="191"/>
        <v>2586.7318602150535</v>
      </c>
      <c r="AN218" s="46">
        <f t="shared" si="164"/>
        <v>6305.1085130817464</v>
      </c>
      <c r="AO218" s="10">
        <f t="shared" si="157"/>
        <v>11124.965782542533</v>
      </c>
      <c r="AQ218" s="65">
        <f t="shared" si="158"/>
        <v>43</v>
      </c>
      <c r="AR218" s="65"/>
      <c r="AS218" s="65">
        <f t="shared" si="208"/>
        <v>30</v>
      </c>
      <c r="AT218" s="65">
        <f t="shared" si="208"/>
        <v>38</v>
      </c>
      <c r="AU218" s="65">
        <f t="shared" si="165"/>
        <v>38.006710537547619</v>
      </c>
      <c r="AV218" s="65">
        <f>$Y$18/1000*CURVES!O177+$AV$14</f>
        <v>76.789619288019153</v>
      </c>
      <c r="AW218" s="65">
        <f t="shared" si="166"/>
        <v>53.917774635574382</v>
      </c>
      <c r="AX218" s="65">
        <f>CHOOSE(AX$18,CURVES!B177,CURVES!C177)</f>
        <v>60.73010752688171</v>
      </c>
      <c r="AY218" s="65">
        <f t="shared" si="167"/>
        <v>58.265832425213802</v>
      </c>
    </row>
    <row r="219" spans="1:51">
      <c r="A219" s="75">
        <v>42217</v>
      </c>
      <c r="B219" s="2">
        <f t="shared" si="214"/>
        <v>2015</v>
      </c>
      <c r="C219" s="2">
        <f t="shared" si="159"/>
        <v>8</v>
      </c>
      <c r="D219" s="43">
        <v>6.1704168646880997E-2</v>
      </c>
      <c r="E219" s="44">
        <f t="shared" ca="1" si="215"/>
        <v>0.40957071201701095</v>
      </c>
      <c r="F219" s="44"/>
      <c r="G219" s="10"/>
      <c r="H219" s="10">
        <f t="shared" si="203"/>
        <v>20406.613177197312</v>
      </c>
      <c r="I219" s="10">
        <f t="shared" si="203"/>
        <v>18077.871163882097</v>
      </c>
      <c r="K219" s="46">
        <f t="shared" ref="K219:P219" si="224">K207</f>
        <v>2226.0658602150538</v>
      </c>
      <c r="L219" s="46">
        <f t="shared" si="224"/>
        <v>1361.989247311828</v>
      </c>
      <c r="M219" s="46">
        <f t="shared" si="224"/>
        <v>483.36424731182797</v>
      </c>
      <c r="N219" s="46">
        <f t="shared" si="224"/>
        <v>3.924731182795699</v>
      </c>
      <c r="O219" s="46">
        <f t="shared" si="131"/>
        <v>4075.3440860215055</v>
      </c>
      <c r="P219" s="46">
        <f t="shared" si="224"/>
        <v>3426.252928840011</v>
      </c>
      <c r="Q219" s="46">
        <f t="shared" si="161"/>
        <v>7501.5970148615161</v>
      </c>
      <c r="R219" s="10">
        <f t="shared" si="154"/>
        <v>12905.016162335796</v>
      </c>
      <c r="T219" s="65">
        <f t="shared" si="155"/>
        <v>48.72</v>
      </c>
      <c r="U219" s="65">
        <f t="shared" si="207"/>
        <v>23</v>
      </c>
      <c r="V219" s="65">
        <f t="shared" si="207"/>
        <v>34</v>
      </c>
      <c r="W219" s="65">
        <f t="shared" si="207"/>
        <v>38</v>
      </c>
      <c r="X219" s="65">
        <f t="shared" si="162"/>
        <v>38.368099058856423</v>
      </c>
      <c r="Y219" s="65">
        <f>$Y$18/1000*CURVES!K178+$Y$14</f>
        <v>79.280132728494621</v>
      </c>
      <c r="Z219" s="65">
        <f t="shared" si="163"/>
        <v>57.054116837163697</v>
      </c>
      <c r="AA219" s="65">
        <f>CHOOSE(AA$18,CURVES!F178,CURVES!G178)</f>
        <v>63.256955290480526</v>
      </c>
      <c r="AB219" s="65">
        <f t="shared" si="156"/>
        <v>60.97675357248724</v>
      </c>
      <c r="AD219" s="65"/>
      <c r="AH219" s="46">
        <f t="shared" si="222"/>
        <v>1859.5945026415061</v>
      </c>
      <c r="AI219" s="46">
        <f t="shared" si="222"/>
        <v>0</v>
      </c>
      <c r="AJ219" s="46">
        <f t="shared" si="222"/>
        <v>1584.5088037693729</v>
      </c>
      <c r="AK219" s="46">
        <f t="shared" si="222"/>
        <v>621.50165686237608</v>
      </c>
      <c r="AL219" s="46">
        <f t="shared" si="133"/>
        <v>4065.6049632732547</v>
      </c>
      <c r="AM219" s="46">
        <f t="shared" si="191"/>
        <v>2208.289016129032</v>
      </c>
      <c r="AN219" s="46">
        <f t="shared" si="164"/>
        <v>6273.8939794022863</v>
      </c>
      <c r="AO219" s="10">
        <f t="shared" si="157"/>
        <v>11803.977184479811</v>
      </c>
      <c r="AQ219" s="65">
        <f t="shared" si="158"/>
        <v>43</v>
      </c>
      <c r="AR219" s="65"/>
      <c r="AS219" s="65">
        <f t="shared" si="208"/>
        <v>30</v>
      </c>
      <c r="AT219" s="65">
        <f t="shared" si="208"/>
        <v>38</v>
      </c>
      <c r="AU219" s="65">
        <f t="shared" si="165"/>
        <v>37.169103258318607</v>
      </c>
      <c r="AV219" s="65">
        <f>$Y$18/1000*CURVES!O178+$AV$14</f>
        <v>76.999619288019147</v>
      </c>
      <c r="AW219" s="65">
        <f t="shared" si="166"/>
        <v>51.18867249935299</v>
      </c>
      <c r="AX219" s="65">
        <f>CHOOSE(AX$18,CURVES!B178,CURVES!C178)</f>
        <v>69.270430107526877</v>
      </c>
      <c r="AY219" s="65">
        <f t="shared" si="167"/>
        <v>62.995187344342341</v>
      </c>
    </row>
    <row r="220" spans="1:51">
      <c r="A220" s="75">
        <v>42248</v>
      </c>
      <c r="B220" s="2">
        <f t="shared" si="214"/>
        <v>2015</v>
      </c>
      <c r="C220" s="2">
        <f t="shared" si="159"/>
        <v>9</v>
      </c>
      <c r="D220" s="43">
        <v>6.1728674233368003E-2</v>
      </c>
      <c r="E220" s="44">
        <f t="shared" ca="1" si="215"/>
        <v>0.40738836434412989</v>
      </c>
      <c r="F220" s="44"/>
      <c r="G220" s="10"/>
      <c r="H220" s="10">
        <f t="shared" si="203"/>
        <v>18484.547946328326</v>
      </c>
      <c r="I220" s="10">
        <f t="shared" si="203"/>
        <v>17028.193953247424</v>
      </c>
      <c r="K220" s="46">
        <f t="shared" ref="K220:P220" si="225">K208</f>
        <v>2263.6333333333332</v>
      </c>
      <c r="L220" s="46">
        <f t="shared" si="225"/>
        <v>1380.7361111111111</v>
      </c>
      <c r="M220" s="46">
        <f t="shared" si="225"/>
        <v>542.60277777777776</v>
      </c>
      <c r="N220" s="46">
        <f t="shared" si="225"/>
        <v>3.4194444444444443</v>
      </c>
      <c r="O220" s="46">
        <f t="shared" si="131"/>
        <v>4190.3916666666673</v>
      </c>
      <c r="P220" s="46">
        <f t="shared" si="225"/>
        <v>3348.1339323547272</v>
      </c>
      <c r="Q220" s="46">
        <f t="shared" si="161"/>
        <v>7538.5255990213946</v>
      </c>
      <c r="R220" s="10">
        <f t="shared" si="154"/>
        <v>10946.022347306933</v>
      </c>
      <c r="T220" s="65">
        <f t="shared" si="155"/>
        <v>48.72</v>
      </c>
      <c r="U220" s="65">
        <f t="shared" si="207"/>
        <v>23</v>
      </c>
      <c r="V220" s="65">
        <f t="shared" si="207"/>
        <v>34</v>
      </c>
      <c r="W220" s="65">
        <f t="shared" si="207"/>
        <v>38</v>
      </c>
      <c r="X220" s="65">
        <f t="shared" si="162"/>
        <v>38.330445615995849</v>
      </c>
      <c r="Y220" s="65">
        <f>$Y$18/1000*CURVES!K179+$Y$14</f>
        <v>79.500632728494622</v>
      </c>
      <c r="Z220" s="65">
        <f t="shared" si="163"/>
        <v>56.615626008650402</v>
      </c>
      <c r="AA220" s="65">
        <f>CHOOSE(AA$18,CURVES!F179,CURVES!G179)</f>
        <v>57.817549142282687</v>
      </c>
      <c r="AB220" s="65">
        <f t="shared" si="156"/>
        <v>57.327370624676973</v>
      </c>
      <c r="AD220" s="65"/>
      <c r="AH220" s="46">
        <f t="shared" si="222"/>
        <v>1890.9773416389726</v>
      </c>
      <c r="AI220" s="46">
        <f t="shared" si="222"/>
        <v>0</v>
      </c>
      <c r="AJ220" s="46">
        <f t="shared" si="222"/>
        <v>765.82060543821262</v>
      </c>
      <c r="AK220" s="46">
        <f t="shared" si="222"/>
        <v>570.92254509204622</v>
      </c>
      <c r="AL220" s="46">
        <f t="shared" si="133"/>
        <v>3227.7204921692314</v>
      </c>
      <c r="AM220" s="46">
        <f t="shared" si="191"/>
        <v>2371.5769315068492</v>
      </c>
      <c r="AN220" s="46">
        <f t="shared" si="164"/>
        <v>5599.2974236760801</v>
      </c>
      <c r="AO220" s="10">
        <f t="shared" si="157"/>
        <v>11428.896529571342</v>
      </c>
      <c r="AQ220" s="65">
        <f t="shared" si="158"/>
        <v>43</v>
      </c>
      <c r="AR220" s="65"/>
      <c r="AS220" s="65">
        <f t="shared" si="208"/>
        <v>30</v>
      </c>
      <c r="AT220" s="65">
        <f t="shared" si="208"/>
        <v>38</v>
      </c>
      <c r="AU220" s="65">
        <f t="shared" si="165"/>
        <v>39.031167931908605</v>
      </c>
      <c r="AV220" s="65">
        <f>$Y$18/1000*CURVES!O179+$AV$14</f>
        <v>77.220119288019148</v>
      </c>
      <c r="AW220" s="65">
        <f t="shared" si="166"/>
        <v>55.206060819653935</v>
      </c>
      <c r="AX220" s="65">
        <f>CHOOSE(AX$18,CURVES!B179,CURVES!C179)</f>
        <v>61.383333333333333</v>
      </c>
      <c r="AY220" s="65">
        <f t="shared" si="167"/>
        <v>59.352091137821816</v>
      </c>
    </row>
    <row r="221" spans="1:51">
      <c r="A221" s="75">
        <v>42278</v>
      </c>
      <c r="B221" s="2">
        <f t="shared" si="214"/>
        <v>2015</v>
      </c>
      <c r="C221" s="2">
        <f t="shared" si="159"/>
        <v>10</v>
      </c>
      <c r="D221" s="43">
        <v>6.1752389317254998E-2</v>
      </c>
      <c r="E221" s="44">
        <f t="shared" ca="1" si="215"/>
        <v>0.40515321142252214</v>
      </c>
      <c r="F221" s="44"/>
      <c r="G221" s="10"/>
      <c r="H221" s="10">
        <f t="shared" si="203"/>
        <v>17172.125831992769</v>
      </c>
      <c r="I221" s="10">
        <f t="shared" si="203"/>
        <v>14739.13018466512</v>
      </c>
      <c r="K221" s="46">
        <f t="shared" ref="K221:P221" si="226">K209</f>
        <v>2069.2916666666665</v>
      </c>
      <c r="L221" s="46">
        <f t="shared" si="226"/>
        <v>1227.5241935483871</v>
      </c>
      <c r="M221" s="46">
        <f t="shared" si="226"/>
        <v>369.34005376344084</v>
      </c>
      <c r="N221" s="46">
        <f t="shared" si="226"/>
        <v>3.278225806451613</v>
      </c>
      <c r="O221" s="46">
        <f t="shared" ref="O221:O284" si="227">SUM(K221:N221)</f>
        <v>3669.4341397849457</v>
      </c>
      <c r="P221" s="46">
        <f t="shared" si="226"/>
        <v>3171.075494984625</v>
      </c>
      <c r="Q221" s="46">
        <f t="shared" si="161"/>
        <v>6840.5096347695708</v>
      </c>
      <c r="R221" s="10">
        <f t="shared" si="154"/>
        <v>10331.616197223198</v>
      </c>
      <c r="T221" s="65">
        <f t="shared" si="155"/>
        <v>48.72</v>
      </c>
      <c r="U221" s="65">
        <f t="shared" si="207"/>
        <v>23</v>
      </c>
      <c r="V221" s="65">
        <f t="shared" si="207"/>
        <v>34</v>
      </c>
      <c r="W221" s="65">
        <f t="shared" si="207"/>
        <v>38</v>
      </c>
      <c r="X221" s="65">
        <f t="shared" si="162"/>
        <v>38.624778497461044</v>
      </c>
      <c r="Y221" s="65">
        <f>$Y$18/1000*CURVES!K180+$Y$14</f>
        <v>79.815632728494634</v>
      </c>
      <c r="Z221" s="65">
        <f t="shared" si="163"/>
        <v>57.719745896613667</v>
      </c>
      <c r="AA221" s="65">
        <f>CHOOSE(AA$18,CURVES!F180,CURVES!G180)</f>
        <v>47.259272141408907</v>
      </c>
      <c r="AB221" s="65">
        <f t="shared" si="156"/>
        <v>51.426197786306112</v>
      </c>
      <c r="AD221" s="65"/>
      <c r="AH221" s="46">
        <f t="shared" si="222"/>
        <v>1913.8399491890309</v>
      </c>
      <c r="AI221" s="46">
        <f t="shared" si="222"/>
        <v>0</v>
      </c>
      <c r="AJ221" s="46">
        <f t="shared" si="222"/>
        <v>1075.3801160883429</v>
      </c>
      <c r="AK221" s="46">
        <f t="shared" si="222"/>
        <v>576.38556050292607</v>
      </c>
      <c r="AL221" s="46">
        <f t="shared" ref="AL221:AL284" si="228">SUM(AH221:AK221)</f>
        <v>3565.6056257802998</v>
      </c>
      <c r="AM221" s="46">
        <f t="shared" si="191"/>
        <v>2259.7132500000002</v>
      </c>
      <c r="AN221" s="46">
        <f t="shared" si="164"/>
        <v>5825.3188757803</v>
      </c>
      <c r="AO221" s="10">
        <f t="shared" si="157"/>
        <v>8913.8113088848204</v>
      </c>
      <c r="AQ221" s="65">
        <f t="shared" si="158"/>
        <v>43</v>
      </c>
      <c r="AR221" s="65"/>
      <c r="AS221" s="65">
        <f t="shared" si="208"/>
        <v>30</v>
      </c>
      <c r="AT221" s="65">
        <f t="shared" si="208"/>
        <v>38</v>
      </c>
      <c r="AU221" s="65">
        <f t="shared" si="165"/>
        <v>38.270966258930272</v>
      </c>
      <c r="AV221" s="65">
        <f>$Y$18/1000*CURVES!O180+$AV$14</f>
        <v>77.53511928801916</v>
      </c>
      <c r="AW221" s="65">
        <f t="shared" si="166"/>
        <v>53.502016909007345</v>
      </c>
      <c r="AX221" s="65">
        <f>CHOOSE(AX$18,CURVES!B180,CURVES!C180)</f>
        <v>47.99032258064517</v>
      </c>
      <c r="AY221" s="65">
        <f t="shared" si="167"/>
        <v>50.168699228810247</v>
      </c>
    </row>
    <row r="222" spans="1:51">
      <c r="A222" s="75">
        <v>42309</v>
      </c>
      <c r="B222" s="2">
        <f t="shared" si="214"/>
        <v>2015</v>
      </c>
      <c r="C222" s="2">
        <f t="shared" si="159"/>
        <v>11</v>
      </c>
      <c r="D222" s="43">
        <v>6.1776894904134003E-2</v>
      </c>
      <c r="E222" s="44">
        <f t="shared" ca="1" si="215"/>
        <v>0.40299125695254329</v>
      </c>
      <c r="F222" s="44"/>
      <c r="G222" s="10"/>
      <c r="H222" s="10">
        <f t="shared" si="203"/>
        <v>16797.731136663075</v>
      </c>
      <c r="I222" s="10">
        <f t="shared" si="203"/>
        <v>14962.857218844911</v>
      </c>
      <c r="K222" s="46">
        <f t="shared" ref="K222:P222" si="229">K210</f>
        <v>2201.1583333333333</v>
      </c>
      <c r="L222" s="46">
        <f t="shared" si="229"/>
        <v>1270.0277777777778</v>
      </c>
      <c r="M222" s="46">
        <f t="shared" si="229"/>
        <v>241.3111111111111</v>
      </c>
      <c r="N222" s="46">
        <f t="shared" si="229"/>
        <v>3.1194444444444445</v>
      </c>
      <c r="O222" s="46">
        <f t="shared" si="227"/>
        <v>3715.6166666666668</v>
      </c>
      <c r="P222" s="46">
        <f t="shared" si="229"/>
        <v>3029.0331582980816</v>
      </c>
      <c r="Q222" s="46">
        <f t="shared" si="161"/>
        <v>6744.6498249647484</v>
      </c>
      <c r="R222" s="10">
        <f t="shared" si="154"/>
        <v>10053.081311698326</v>
      </c>
      <c r="T222" s="65">
        <f t="shared" si="155"/>
        <v>48.72</v>
      </c>
      <c r="U222" s="65">
        <f t="shared" si="207"/>
        <v>23</v>
      </c>
      <c r="V222" s="65">
        <f t="shared" si="207"/>
        <v>34</v>
      </c>
      <c r="W222" s="65">
        <f t="shared" si="207"/>
        <v>38</v>
      </c>
      <c r="X222" s="65">
        <f t="shared" si="162"/>
        <v>38.963704424717896</v>
      </c>
      <c r="Y222" s="65">
        <f>$Y$18/1000*CURVES!K181+$Y$14</f>
        <v>79.448132728494627</v>
      </c>
      <c r="Z222" s="65">
        <f t="shared" si="163"/>
        <v>57.145326734149208</v>
      </c>
      <c r="AA222" s="65">
        <f>CHOOSE(AA$18,CURVES!F181,CURVES!G181)</f>
        <v>39.191931802666126</v>
      </c>
      <c r="AB222" s="65">
        <f t="shared" si="156"/>
        <v>46.400605462042556</v>
      </c>
      <c r="AD222" s="65"/>
      <c r="AH222" s="46">
        <f t="shared" si="222"/>
        <v>1838.7874362867092</v>
      </c>
      <c r="AI222" s="46">
        <f t="shared" si="222"/>
        <v>0</v>
      </c>
      <c r="AJ222" s="46">
        <f t="shared" si="222"/>
        <v>1347.8791847211178</v>
      </c>
      <c r="AK222" s="46">
        <f t="shared" si="222"/>
        <v>499.43911251442188</v>
      </c>
      <c r="AL222" s="46">
        <f t="shared" si="228"/>
        <v>3686.105733522249</v>
      </c>
      <c r="AM222" s="46">
        <f t="shared" si="191"/>
        <v>2451.2376410958905</v>
      </c>
      <c r="AN222" s="46">
        <f t="shared" si="164"/>
        <v>6137.3433746181399</v>
      </c>
      <c r="AO222" s="10">
        <f t="shared" si="157"/>
        <v>8825.5138442267707</v>
      </c>
      <c r="AQ222" s="65">
        <f t="shared" si="158"/>
        <v>43</v>
      </c>
      <c r="AR222" s="65"/>
      <c r="AS222" s="65">
        <f t="shared" si="208"/>
        <v>30</v>
      </c>
      <c r="AT222" s="65">
        <f t="shared" si="208"/>
        <v>38</v>
      </c>
      <c r="AU222" s="65">
        <f t="shared" si="165"/>
        <v>37.568895628282228</v>
      </c>
      <c r="AV222" s="65">
        <f>$Y$18/1000*CURVES!O181+$AV$14</f>
        <v>79.005119288019159</v>
      </c>
      <c r="AW222" s="65">
        <f t="shared" si="166"/>
        <v>54.1184065387639</v>
      </c>
      <c r="AX222" s="65">
        <f>CHOOSE(AX$18,CURVES!B181,CURVES!C181)</f>
        <v>45.666666666666671</v>
      </c>
      <c r="AY222" s="65">
        <f t="shared" si="167"/>
        <v>49.133332755191724</v>
      </c>
    </row>
    <row r="223" spans="1:51">
      <c r="A223" s="75">
        <v>42339</v>
      </c>
      <c r="B223" s="2">
        <f t="shared" si="214"/>
        <v>2015</v>
      </c>
      <c r="C223" s="2">
        <f t="shared" si="159"/>
        <v>12</v>
      </c>
      <c r="D223" s="43">
        <v>6.1800609988399001E-2</v>
      </c>
      <c r="E223" s="44">
        <f t="shared" ca="1" si="215"/>
        <v>0.40077710125649435</v>
      </c>
      <c r="F223" s="44"/>
      <c r="G223" s="10"/>
      <c r="H223" s="10">
        <f t="shared" si="203"/>
        <v>16676.778795182181</v>
      </c>
      <c r="I223" s="10">
        <f t="shared" si="203"/>
        <v>14928.864213592267</v>
      </c>
      <c r="K223" s="46">
        <f t="shared" ref="K223:P223" si="230">K211</f>
        <v>2256.4126344086021</v>
      </c>
      <c r="L223" s="46">
        <f t="shared" si="230"/>
        <v>1157.2150537634409</v>
      </c>
      <c r="M223" s="46">
        <f t="shared" si="230"/>
        <v>239.86021505376345</v>
      </c>
      <c r="N223" s="46">
        <f t="shared" si="230"/>
        <v>2.9690860215053765</v>
      </c>
      <c r="O223" s="46">
        <f t="shared" si="227"/>
        <v>3656.4569892473123</v>
      </c>
      <c r="P223" s="46">
        <f t="shared" si="230"/>
        <v>2977.5968497309718</v>
      </c>
      <c r="Q223" s="46">
        <f t="shared" si="161"/>
        <v>6634.0538389782841</v>
      </c>
      <c r="R223" s="10">
        <f t="shared" si="154"/>
        <v>10042.724956203898</v>
      </c>
      <c r="T223" s="65">
        <f t="shared" si="155"/>
        <v>48.72</v>
      </c>
      <c r="U223" s="65">
        <f t="shared" si="207"/>
        <v>23</v>
      </c>
      <c r="V223" s="65">
        <f t="shared" si="207"/>
        <v>34</v>
      </c>
      <c r="W223" s="65">
        <f t="shared" si="207"/>
        <v>38</v>
      </c>
      <c r="X223" s="65">
        <f t="shared" si="162"/>
        <v>39.60567368670241</v>
      </c>
      <c r="Y223" s="65">
        <f>$Y$18/1000*CURVES!K182+$Y$14</f>
        <v>80.760632728494627</v>
      </c>
      <c r="Z223" s="65">
        <f t="shared" si="163"/>
        <v>58.077467761337267</v>
      </c>
      <c r="AA223" s="65">
        <f>CHOOSE(AA$18,CURVES!F182,CURVES!G182)</f>
        <v>39.242353263980782</v>
      </c>
      <c r="AB223" s="65">
        <f t="shared" si="156"/>
        <v>46.734997087671815</v>
      </c>
      <c r="AD223" s="65"/>
      <c r="AH223" s="46">
        <f t="shared" si="222"/>
        <v>1921.095004536046</v>
      </c>
      <c r="AI223" s="46">
        <f t="shared" si="222"/>
        <v>0</v>
      </c>
      <c r="AJ223" s="46">
        <f t="shared" si="222"/>
        <v>1326.4786927345147</v>
      </c>
      <c r="AK223" s="46">
        <f t="shared" si="222"/>
        <v>519.61972313456249</v>
      </c>
      <c r="AL223" s="46">
        <f t="shared" si="228"/>
        <v>3767.1934204051231</v>
      </c>
      <c r="AM223" s="46">
        <f t="shared" si="191"/>
        <v>2024.2479112903225</v>
      </c>
      <c r="AN223" s="46">
        <f t="shared" si="164"/>
        <v>5791.4413316954451</v>
      </c>
      <c r="AO223" s="10">
        <f t="shared" si="157"/>
        <v>9137.4228818968222</v>
      </c>
      <c r="AQ223" s="65">
        <f t="shared" si="158"/>
        <v>43</v>
      </c>
      <c r="AR223" s="65"/>
      <c r="AS223" s="65">
        <f t="shared" si="208"/>
        <v>30</v>
      </c>
      <c r="AT223" s="65">
        <f t="shared" si="208"/>
        <v>38</v>
      </c>
      <c r="AU223" s="65">
        <f t="shared" si="165"/>
        <v>37.732863591833393</v>
      </c>
      <c r="AV223" s="65">
        <f>$Y$18/1000*CURVES!O182+$AV$14</f>
        <v>80.317619288019159</v>
      </c>
      <c r="AW223" s="65">
        <f t="shared" si="166"/>
        <v>52.617259001149748</v>
      </c>
      <c r="AX223" s="65">
        <f>CHOOSE(AX$18,CURVES!B182,CURVES!C182)</f>
        <v>45.28602150537634</v>
      </c>
      <c r="AY223" s="65">
        <f t="shared" si="167"/>
        <v>48.130071209227246</v>
      </c>
    </row>
    <row r="224" spans="1:51">
      <c r="A224" s="75">
        <v>42370</v>
      </c>
      <c r="B224" s="2">
        <f t="shared" si="214"/>
        <v>2016</v>
      </c>
      <c r="C224" s="2">
        <f t="shared" si="159"/>
        <v>1</v>
      </c>
      <c r="D224" s="43">
        <v>6.1825115575670997E-2</v>
      </c>
      <c r="E224" s="44">
        <f t="shared" ca="1" si="215"/>
        <v>0.39856893878802963</v>
      </c>
      <c r="F224" s="44"/>
      <c r="G224" s="10"/>
      <c r="H224" s="10">
        <f t="shared" ref="H224:I243" si="231">(1+$I$17)*H212</f>
        <v>16983.197691446607</v>
      </c>
      <c r="I224" s="10">
        <f t="shared" si="231"/>
        <v>16144.64717973661</v>
      </c>
      <c r="K224" s="46">
        <f t="shared" ref="K224:P224" si="232">K212</f>
        <v>2185.9180107526881</v>
      </c>
      <c r="L224" s="46">
        <f t="shared" si="232"/>
        <v>1282.3306451612902</v>
      </c>
      <c r="M224" s="46">
        <f t="shared" si="232"/>
        <v>142.8521505376344</v>
      </c>
      <c r="N224" s="46">
        <f t="shared" si="232"/>
        <v>3.168010752688172</v>
      </c>
      <c r="O224" s="46">
        <f t="shared" si="227"/>
        <v>3614.2688172043008</v>
      </c>
      <c r="P224" s="46">
        <f t="shared" si="232"/>
        <v>2792.6655547379</v>
      </c>
      <c r="Q224" s="46">
        <f t="shared" si="161"/>
        <v>6406.9343719422013</v>
      </c>
      <c r="R224" s="10">
        <f t="shared" si="154"/>
        <v>10576.263319504405</v>
      </c>
      <c r="T224" s="65">
        <f t="shared" si="155"/>
        <v>48.72</v>
      </c>
      <c r="U224" s="65">
        <f t="shared" si="207"/>
        <v>23</v>
      </c>
      <c r="V224" s="65">
        <f t="shared" si="207"/>
        <v>34</v>
      </c>
      <c r="W224" s="65">
        <f t="shared" si="207"/>
        <v>38</v>
      </c>
      <c r="X224" s="65">
        <f t="shared" si="162"/>
        <v>39.003431946853418</v>
      </c>
      <c r="Y224" s="65">
        <f>$Y$18/1000*CURVES!K183+$Y$14</f>
        <v>82.430132728494627</v>
      </c>
      <c r="Z224" s="65">
        <f t="shared" si="163"/>
        <v>57.932336847128688</v>
      </c>
      <c r="AA224" s="65">
        <f>CHOOSE(AA$18,CURVES!F183,CURVES!G183)</f>
        <v>40.380304943941731</v>
      </c>
      <c r="AB224" s="65">
        <f t="shared" si="156"/>
        <v>47.001832794058622</v>
      </c>
      <c r="AD224" s="65"/>
      <c r="AH224" s="46">
        <f t="shared" si="222"/>
        <v>1826.0560878589888</v>
      </c>
      <c r="AI224" s="46">
        <f t="shared" si="222"/>
        <v>0</v>
      </c>
      <c r="AJ224" s="46">
        <f t="shared" si="222"/>
        <v>1744.0893186443859</v>
      </c>
      <c r="AK224" s="46">
        <f t="shared" si="222"/>
        <v>538.87289280137145</v>
      </c>
      <c r="AL224" s="46">
        <f t="shared" si="228"/>
        <v>4109.0182993047465</v>
      </c>
      <c r="AM224" s="46">
        <f t="shared" si="191"/>
        <v>2445.3687016129034</v>
      </c>
      <c r="AN224" s="46">
        <f t="shared" si="164"/>
        <v>6554.3870009176499</v>
      </c>
      <c r="AO224" s="10">
        <f t="shared" si="157"/>
        <v>9590.2601788189604</v>
      </c>
      <c r="AQ224" s="65">
        <f t="shared" si="158"/>
        <v>43</v>
      </c>
      <c r="AR224" s="65"/>
      <c r="AS224" s="65">
        <f t="shared" si="208"/>
        <v>30</v>
      </c>
      <c r="AT224" s="65">
        <f t="shared" si="208"/>
        <v>38</v>
      </c>
      <c r="AU224" s="65">
        <f t="shared" si="165"/>
        <v>36.826378040059808</v>
      </c>
      <c r="AV224" s="65">
        <f>$Y$18/1000*CURVES!O183+$AV$14</f>
        <v>81.987119288019159</v>
      </c>
      <c r="AW224" s="65">
        <f t="shared" si="166"/>
        <v>53.675347009078152</v>
      </c>
      <c r="AX224" s="65">
        <f>CHOOSE(AX$18,CURVES!B183,CURVES!C183)</f>
        <v>48.484946236559139</v>
      </c>
      <c r="AY224" s="65">
        <f t="shared" si="167"/>
        <v>50.592139721446834</v>
      </c>
    </row>
    <row r="225" spans="1:51">
      <c r="A225" s="75">
        <v>42401</v>
      </c>
      <c r="B225" s="2">
        <f t="shared" si="214"/>
        <v>2016</v>
      </c>
      <c r="C225" s="2">
        <f t="shared" si="159"/>
        <v>2</v>
      </c>
      <c r="D225" s="43">
        <v>6.1849621163141001E-2</v>
      </c>
      <c r="E225" s="44">
        <f t="shared" ca="1" si="215"/>
        <v>0.39650357228712274</v>
      </c>
      <c r="F225" s="44"/>
      <c r="G225" s="10"/>
      <c r="H225" s="10">
        <f t="shared" si="231"/>
        <v>17028.879130630754</v>
      </c>
      <c r="I225" s="10">
        <f t="shared" si="231"/>
        <v>16123.130181949651</v>
      </c>
      <c r="K225" s="46">
        <f t="shared" ref="K225:P225" si="233">K213</f>
        <v>2261.8764367816093</v>
      </c>
      <c r="L225" s="46">
        <f t="shared" si="233"/>
        <v>1335.9798850574712</v>
      </c>
      <c r="M225" s="46">
        <f t="shared" si="233"/>
        <v>236.0028735632184</v>
      </c>
      <c r="N225" s="46">
        <f t="shared" si="233"/>
        <v>3.8491379310344827</v>
      </c>
      <c r="O225" s="46">
        <f t="shared" si="227"/>
        <v>3837.7083333333335</v>
      </c>
      <c r="P225" s="46">
        <f t="shared" si="233"/>
        <v>3011.7717013676738</v>
      </c>
      <c r="Q225" s="46">
        <f t="shared" si="161"/>
        <v>6849.4800347010078</v>
      </c>
      <c r="R225" s="10">
        <f t="shared" si="154"/>
        <v>10179.399095929746</v>
      </c>
      <c r="T225" s="65">
        <f t="shared" si="155"/>
        <v>48.72</v>
      </c>
      <c r="U225" s="65">
        <f t="shared" si="207"/>
        <v>23</v>
      </c>
      <c r="V225" s="65">
        <f t="shared" si="207"/>
        <v>34</v>
      </c>
      <c r="W225" s="65">
        <f t="shared" si="207"/>
        <v>38</v>
      </c>
      <c r="X225" s="65">
        <f t="shared" si="162"/>
        <v>38.850404811599958</v>
      </c>
      <c r="Y225" s="65">
        <f>$Y$18/1000*CURVES!K184+$Y$14</f>
        <v>81.422132728494631</v>
      </c>
      <c r="Z225" s="65">
        <f t="shared" si="163"/>
        <v>57.569537471138304</v>
      </c>
      <c r="AA225" s="65">
        <f>CHOOSE(AA$18,CURVES!F184,CURVES!G184)</f>
        <v>40.695429856043731</v>
      </c>
      <c r="AB225" s="65">
        <f t="shared" si="156"/>
        <v>47.482656562297613</v>
      </c>
      <c r="AD225" s="65"/>
      <c r="AH225" s="46">
        <f t="shared" si="222"/>
        <v>1925.7468502510062</v>
      </c>
      <c r="AI225" s="46">
        <f t="shared" si="222"/>
        <v>0</v>
      </c>
      <c r="AJ225" s="46">
        <f t="shared" si="222"/>
        <v>2201.9273871825426</v>
      </c>
      <c r="AK225" s="46">
        <f t="shared" si="222"/>
        <v>548.47547775416388</v>
      </c>
      <c r="AL225" s="46">
        <f t="shared" si="228"/>
        <v>4676.1497151877129</v>
      </c>
      <c r="AM225" s="46">
        <f t="shared" ref="AM225:AM256" si="234">AM213</f>
        <v>2161.5456443452381</v>
      </c>
      <c r="AN225" s="46">
        <f t="shared" si="164"/>
        <v>6837.6953595329505</v>
      </c>
      <c r="AO225" s="10">
        <f t="shared" si="157"/>
        <v>9285.4348224167006</v>
      </c>
      <c r="AQ225" s="65">
        <f t="shared" si="158"/>
        <v>43</v>
      </c>
      <c r="AR225" s="65"/>
      <c r="AS225" s="65">
        <f t="shared" si="208"/>
        <v>30</v>
      </c>
      <c r="AT225" s="65">
        <f t="shared" si="208"/>
        <v>38</v>
      </c>
      <c r="AU225" s="65">
        <f t="shared" si="165"/>
        <v>36.29203825098557</v>
      </c>
      <c r="AV225" s="65">
        <f>$Y$18/1000*CURVES!O184+$AV$14</f>
        <v>80.979119288019149</v>
      </c>
      <c r="AW225" s="65">
        <f t="shared" si="166"/>
        <v>50.418605799718897</v>
      </c>
      <c r="AX225" s="65">
        <f>CHOOSE(AX$18,CURVES!B184,CURVES!C184)</f>
        <v>47.518965517241377</v>
      </c>
      <c r="AY225" s="65">
        <f t="shared" si="167"/>
        <v>48.748680633355001</v>
      </c>
    </row>
    <row r="226" spans="1:51">
      <c r="A226" s="75">
        <v>42430</v>
      </c>
      <c r="B226" s="2">
        <f t="shared" si="214"/>
        <v>2016</v>
      </c>
      <c r="C226" s="2">
        <f t="shared" si="159"/>
        <v>3</v>
      </c>
      <c r="D226" s="43">
        <v>6.1872545745148999E-2</v>
      </c>
      <c r="E226" s="44">
        <f t="shared" ca="1" si="215"/>
        <v>0.39432506330155476</v>
      </c>
      <c r="F226" s="44"/>
      <c r="G226" s="10"/>
      <c r="H226" s="10">
        <f t="shared" si="231"/>
        <v>16930.296165809472</v>
      </c>
      <c r="I226" s="10">
        <f t="shared" si="231"/>
        <v>15761.171165970129</v>
      </c>
      <c r="K226" s="46">
        <f t="shared" ref="K226:P226" si="235">K214</f>
        <v>2263.9462365591398</v>
      </c>
      <c r="L226" s="46">
        <f t="shared" si="235"/>
        <v>1258.630376344086</v>
      </c>
      <c r="M226" s="46">
        <f t="shared" si="235"/>
        <v>620.64650537634407</v>
      </c>
      <c r="N226" s="46">
        <f t="shared" si="235"/>
        <v>2.581989247311828</v>
      </c>
      <c r="O226" s="46">
        <f t="shared" si="227"/>
        <v>4145.8051075268813</v>
      </c>
      <c r="P226" s="46">
        <f t="shared" si="235"/>
        <v>2834.3973290285558</v>
      </c>
      <c r="Q226" s="46">
        <f t="shared" si="161"/>
        <v>6980.2024365554371</v>
      </c>
      <c r="R226" s="10">
        <f t="shared" si="154"/>
        <v>9950.0937292540348</v>
      </c>
      <c r="T226" s="65">
        <f t="shared" si="155"/>
        <v>48.72</v>
      </c>
      <c r="U226" s="65">
        <f t="shared" ref="U226:W245" si="236">U$18</f>
        <v>23</v>
      </c>
      <c r="V226" s="65">
        <f t="shared" si="236"/>
        <v>34</v>
      </c>
      <c r="W226" s="65">
        <f t="shared" si="236"/>
        <v>38</v>
      </c>
      <c r="X226" s="65">
        <f t="shared" si="162"/>
        <v>38.701302138870133</v>
      </c>
      <c r="Y226" s="65">
        <f>$Y$18/1000*CURVES!K185+$Y$14</f>
        <v>79.847132728494643</v>
      </c>
      <c r="Z226" s="65">
        <f t="shared" si="163"/>
        <v>55.409074353775139</v>
      </c>
      <c r="AA226" s="65">
        <f>CHOOSE(AA$18,CURVES!F185,CURVES!G185)</f>
        <v>40.349265744781512</v>
      </c>
      <c r="AB226" s="65">
        <f t="shared" si="156"/>
        <v>46.558283692077993</v>
      </c>
      <c r="AD226" s="65"/>
      <c r="AH226" s="46">
        <f t="shared" si="222"/>
        <v>1891.2387324311178</v>
      </c>
      <c r="AI226" s="46">
        <f t="shared" si="222"/>
        <v>0</v>
      </c>
      <c r="AJ226" s="46">
        <f t="shared" si="222"/>
        <v>1966.5504926356311</v>
      </c>
      <c r="AK226" s="46">
        <f t="shared" si="222"/>
        <v>526.07330501492243</v>
      </c>
      <c r="AL226" s="46">
        <f t="shared" si="228"/>
        <v>4383.8625300816711</v>
      </c>
      <c r="AM226" s="46">
        <f t="shared" si="234"/>
        <v>2044.2222728494623</v>
      </c>
      <c r="AN226" s="46">
        <f t="shared" si="164"/>
        <v>6428.0848029311337</v>
      </c>
      <c r="AO226" s="10">
        <f t="shared" si="157"/>
        <v>9333.0863630389958</v>
      </c>
      <c r="AQ226" s="65">
        <f t="shared" si="158"/>
        <v>43</v>
      </c>
      <c r="AR226" s="65"/>
      <c r="AS226" s="65">
        <f t="shared" ref="AS226:AT245" si="237">AS$18</f>
        <v>30</v>
      </c>
      <c r="AT226" s="65">
        <f t="shared" si="237"/>
        <v>38</v>
      </c>
      <c r="AU226" s="65">
        <f t="shared" si="165"/>
        <v>36.56833779894724</v>
      </c>
      <c r="AV226" s="65">
        <f>$Y$18/1000*CURVES!O185+$AV$14</f>
        <v>79.40411928801916</v>
      </c>
      <c r="AW226" s="65">
        <f t="shared" si="166"/>
        <v>50.190724758581695</v>
      </c>
      <c r="AX226" s="65">
        <f>CHOOSE(AX$18,CURVES!B185,CURVES!C185)</f>
        <v>45.527419354838713</v>
      </c>
      <c r="AY226" s="65">
        <f t="shared" si="167"/>
        <v>47.429316255872841</v>
      </c>
    </row>
    <row r="227" spans="1:51">
      <c r="A227" s="75">
        <v>42461</v>
      </c>
      <c r="B227" s="2">
        <f t="shared" si="214"/>
        <v>2016</v>
      </c>
      <c r="C227" s="2">
        <f t="shared" si="159"/>
        <v>4</v>
      </c>
      <c r="D227" s="43">
        <v>6.1897051333005E-2</v>
      </c>
      <c r="E227" s="44">
        <f t="shared" ca="1" si="215"/>
        <v>0.39221326286344504</v>
      </c>
      <c r="F227" s="44"/>
      <c r="G227" s="10"/>
      <c r="H227" s="10">
        <f t="shared" si="231"/>
        <v>17005.421184601073</v>
      </c>
      <c r="I227" s="10">
        <f t="shared" si="231"/>
        <v>15397.037705770053</v>
      </c>
      <c r="K227" s="46">
        <f t="shared" ref="K227:P227" si="238">K215</f>
        <v>2319.8402777777778</v>
      </c>
      <c r="L227" s="46">
        <f t="shared" si="238"/>
        <v>1179.1659722222223</v>
      </c>
      <c r="M227" s="46">
        <f t="shared" si="238"/>
        <v>811.58611111111111</v>
      </c>
      <c r="N227" s="46">
        <f t="shared" si="238"/>
        <v>3.0416666666666665</v>
      </c>
      <c r="O227" s="46">
        <f t="shared" si="227"/>
        <v>4313.6340277777781</v>
      </c>
      <c r="P227" s="46">
        <f t="shared" si="238"/>
        <v>2923.3945906815438</v>
      </c>
      <c r="Q227" s="46">
        <f t="shared" si="161"/>
        <v>7237.0286184593224</v>
      </c>
      <c r="R227" s="10">
        <f t="shared" si="154"/>
        <v>9768.3925661417506</v>
      </c>
      <c r="T227" s="65">
        <f t="shared" si="155"/>
        <v>48.72</v>
      </c>
      <c r="U227" s="65">
        <f t="shared" si="236"/>
        <v>23</v>
      </c>
      <c r="V227" s="65">
        <f t="shared" si="236"/>
        <v>34</v>
      </c>
      <c r="W227" s="65">
        <f t="shared" si="236"/>
        <v>38</v>
      </c>
      <c r="X227" s="65">
        <f t="shared" si="162"/>
        <v>38.912189982891782</v>
      </c>
      <c r="Y227" s="65">
        <f>$Y$18/1000*CURVES!K186+$Y$14</f>
        <v>79.763132728494625</v>
      </c>
      <c r="Z227" s="65">
        <f t="shared" si="163"/>
        <v>55.413910694915245</v>
      </c>
      <c r="AA227" s="65">
        <f>CHOOSE(AA$18,CURVES!F186,CURVES!G186)</f>
        <v>39.145870422566304</v>
      </c>
      <c r="AB227" s="65">
        <f t="shared" si="156"/>
        <v>46.069090479229658</v>
      </c>
      <c r="AD227" s="65"/>
      <c r="AH227" s="46">
        <f t="shared" si="222"/>
        <v>1937.9310849074075</v>
      </c>
      <c r="AI227" s="46">
        <f t="shared" si="222"/>
        <v>0</v>
      </c>
      <c r="AJ227" s="46">
        <f t="shared" si="222"/>
        <v>2070.9500209392572</v>
      </c>
      <c r="AK227" s="46">
        <f t="shared" si="222"/>
        <v>513.91932921853174</v>
      </c>
      <c r="AL227" s="46">
        <f t="shared" si="228"/>
        <v>4522.8004350651963</v>
      </c>
      <c r="AM227" s="46">
        <f t="shared" si="234"/>
        <v>2152.9968589041096</v>
      </c>
      <c r="AN227" s="46">
        <f t="shared" si="164"/>
        <v>6675.7972939693063</v>
      </c>
      <c r="AO227" s="10">
        <f t="shared" si="157"/>
        <v>8721.2404118007471</v>
      </c>
      <c r="AQ227" s="65">
        <f t="shared" si="158"/>
        <v>43</v>
      </c>
      <c r="AR227" s="65"/>
      <c r="AS227" s="65">
        <f t="shared" si="237"/>
        <v>30</v>
      </c>
      <c r="AT227" s="65">
        <f t="shared" si="237"/>
        <v>38</v>
      </c>
      <c r="AU227" s="65">
        <f t="shared" si="165"/>
        <v>36.479272998726103</v>
      </c>
      <c r="AV227" s="65">
        <f>$Y$18/1000*CURVES!O186+$AV$14</f>
        <v>77.482619288019151</v>
      </c>
      <c r="AW227" s="65">
        <f t="shared" si="166"/>
        <v>49.703172988193231</v>
      </c>
      <c r="AX227" s="65">
        <f>CHOOSE(AX$18,CURVES!B186,CURVES!C186)</f>
        <v>43.604444444444439</v>
      </c>
      <c r="AY227" s="65">
        <f t="shared" si="167"/>
        <v>46.248711236994673</v>
      </c>
    </row>
    <row r="228" spans="1:51">
      <c r="A228" s="75">
        <v>42491</v>
      </c>
      <c r="B228" s="2">
        <f t="shared" si="214"/>
        <v>2016</v>
      </c>
      <c r="C228" s="2">
        <f t="shared" si="159"/>
        <v>5</v>
      </c>
      <c r="D228" s="43">
        <v>6.1920766418216998E-2</v>
      </c>
      <c r="E228" s="44">
        <f t="shared" ca="1" si="215"/>
        <v>0.39005074015325497</v>
      </c>
      <c r="F228" s="44"/>
      <c r="G228" s="10"/>
      <c r="H228" s="10">
        <f t="shared" si="231"/>
        <v>17969.60863915554</v>
      </c>
      <c r="I228" s="10">
        <f t="shared" si="231"/>
        <v>16771.504152357949</v>
      </c>
      <c r="K228" s="46">
        <f t="shared" ref="K228:P228" si="239">K216</f>
        <v>2226.0672043010754</v>
      </c>
      <c r="L228" s="46">
        <f t="shared" si="239"/>
        <v>1023.6263440860215</v>
      </c>
      <c r="M228" s="46">
        <f t="shared" si="239"/>
        <v>950.16532258064512</v>
      </c>
      <c r="N228" s="46">
        <f t="shared" si="239"/>
        <v>3.3051075268817205</v>
      </c>
      <c r="O228" s="46">
        <f t="shared" si="227"/>
        <v>4203.1639784946237</v>
      </c>
      <c r="P228" s="46">
        <f t="shared" si="239"/>
        <v>2831.510502104928</v>
      </c>
      <c r="Q228" s="46">
        <f t="shared" si="161"/>
        <v>7034.6744805995513</v>
      </c>
      <c r="R228" s="10">
        <f t="shared" si="154"/>
        <v>10934.934158555989</v>
      </c>
      <c r="T228" s="65">
        <f t="shared" si="155"/>
        <v>48.72</v>
      </c>
      <c r="U228" s="65">
        <f t="shared" si="236"/>
        <v>23</v>
      </c>
      <c r="V228" s="65">
        <f t="shared" si="236"/>
        <v>34</v>
      </c>
      <c r="W228" s="65">
        <f t="shared" si="236"/>
        <v>38</v>
      </c>
      <c r="X228" s="65">
        <f t="shared" si="162"/>
        <v>39.120199926194871</v>
      </c>
      <c r="Y228" s="65">
        <f>$Y$18/1000*CURVES!K187+$Y$14</f>
        <v>79.500632728494622</v>
      </c>
      <c r="Z228" s="65">
        <f t="shared" si="163"/>
        <v>55.373634235710973</v>
      </c>
      <c r="AA228" s="65">
        <f>CHOOSE(AA$18,CURVES!F187,CURVES!G187)</f>
        <v>38.451278101841879</v>
      </c>
      <c r="AB228" s="65">
        <f t="shared" si="156"/>
        <v>45.075978129373503</v>
      </c>
      <c r="AD228" s="65"/>
      <c r="AH228" s="46">
        <f t="shared" si="222"/>
        <v>1895.2591032026239</v>
      </c>
      <c r="AI228" s="46">
        <f t="shared" si="222"/>
        <v>0</v>
      </c>
      <c r="AJ228" s="46">
        <f t="shared" si="222"/>
        <v>1877.6303324734643</v>
      </c>
      <c r="AK228" s="46">
        <f t="shared" si="222"/>
        <v>570.53181663934993</v>
      </c>
      <c r="AL228" s="46">
        <f t="shared" si="228"/>
        <v>4343.4212523154383</v>
      </c>
      <c r="AM228" s="46">
        <f t="shared" si="234"/>
        <v>2186.8418319892476</v>
      </c>
      <c r="AN228" s="46">
        <f t="shared" si="164"/>
        <v>6530.2630843046863</v>
      </c>
      <c r="AO228" s="10">
        <f t="shared" si="157"/>
        <v>10241.241068053263</v>
      </c>
      <c r="AQ228" s="65">
        <f t="shared" si="158"/>
        <v>43</v>
      </c>
      <c r="AR228" s="65"/>
      <c r="AS228" s="65">
        <f t="shared" si="237"/>
        <v>30</v>
      </c>
      <c r="AT228" s="65">
        <f t="shared" si="237"/>
        <v>38</v>
      </c>
      <c r="AU228" s="65">
        <f t="shared" si="165"/>
        <v>36.723414833221909</v>
      </c>
      <c r="AV228" s="65">
        <f>$Y$18/1000*CURVES!O187+$AV$14</f>
        <v>77.220119288019148</v>
      </c>
      <c r="AW228" s="65">
        <f t="shared" si="166"/>
        <v>50.284872651408008</v>
      </c>
      <c r="AX228" s="65">
        <f>CHOOSE(AX$18,CURVES!B187,CURVES!C187)</f>
        <v>43.062903225806451</v>
      </c>
      <c r="AY228" s="65">
        <f t="shared" si="167"/>
        <v>45.874896706388355</v>
      </c>
    </row>
    <row r="229" spans="1:51">
      <c r="A229" s="75">
        <v>42522</v>
      </c>
      <c r="B229" s="2">
        <f t="shared" si="214"/>
        <v>2016</v>
      </c>
      <c r="C229" s="2">
        <f t="shared" si="159"/>
        <v>6</v>
      </c>
      <c r="D229" s="43">
        <v>6.1945272006465997E-2</v>
      </c>
      <c r="E229" s="44">
        <f t="shared" ca="1" si="215"/>
        <v>0.38795880354549767</v>
      </c>
      <c r="F229" s="44"/>
      <c r="G229" s="10"/>
      <c r="H229" s="10">
        <f t="shared" si="231"/>
        <v>19858.609598868548</v>
      </c>
      <c r="I229" s="10">
        <f t="shared" si="231"/>
        <v>18911.989670548362</v>
      </c>
      <c r="K229" s="46">
        <f t="shared" ref="K229:P229" si="240">K217</f>
        <v>2252.1333333333332</v>
      </c>
      <c r="L229" s="46">
        <f t="shared" si="240"/>
        <v>1398.3916666666667</v>
      </c>
      <c r="M229" s="46">
        <f t="shared" si="240"/>
        <v>957.04027777777776</v>
      </c>
      <c r="N229" s="46">
        <f t="shared" si="240"/>
        <v>3.526388888888889</v>
      </c>
      <c r="O229" s="46">
        <f t="shared" si="227"/>
        <v>4611.0916666666662</v>
      </c>
      <c r="P229" s="46">
        <f t="shared" si="240"/>
        <v>3175.7411781346573</v>
      </c>
      <c r="Q229" s="46">
        <f t="shared" si="161"/>
        <v>7786.8328448013235</v>
      </c>
      <c r="R229" s="10">
        <f t="shared" si="154"/>
        <v>12071.776754067225</v>
      </c>
      <c r="T229" s="65">
        <f t="shared" si="155"/>
        <v>48.72</v>
      </c>
      <c r="U229" s="65">
        <f t="shared" si="236"/>
        <v>23</v>
      </c>
      <c r="V229" s="65">
        <f t="shared" si="236"/>
        <v>34</v>
      </c>
      <c r="W229" s="65">
        <f t="shared" si="236"/>
        <v>38</v>
      </c>
      <c r="X229" s="65">
        <f t="shared" si="162"/>
        <v>37.856613829094464</v>
      </c>
      <c r="Y229" s="65">
        <f>$Y$18/1000*CURVES!K188+$Y$14</f>
        <v>79.805132728494627</v>
      </c>
      <c r="Z229" s="65">
        <f t="shared" si="163"/>
        <v>54.964678363897505</v>
      </c>
      <c r="AA229" s="65">
        <f>CHOOSE(AA$18,CURVES!F188,CURVES!G188)</f>
        <v>49.912071068075285</v>
      </c>
      <c r="AB229" s="65">
        <f t="shared" si="156"/>
        <v>51.893267598835067</v>
      </c>
      <c r="AD229" s="65"/>
      <c r="AH229" s="46">
        <f t="shared" si="222"/>
        <v>1881.3705563400365</v>
      </c>
      <c r="AI229" s="46">
        <f t="shared" si="222"/>
        <v>0</v>
      </c>
      <c r="AJ229" s="46">
        <f t="shared" si="222"/>
        <v>1162.1616861734683</v>
      </c>
      <c r="AK229" s="46">
        <f t="shared" si="222"/>
        <v>631.24071210358352</v>
      </c>
      <c r="AL229" s="46">
        <f t="shared" si="228"/>
        <v>3674.7729546170881</v>
      </c>
      <c r="AM229" s="46">
        <f t="shared" si="234"/>
        <v>2754.0461410958906</v>
      </c>
      <c r="AN229" s="46">
        <f t="shared" si="164"/>
        <v>6428.8190957129791</v>
      </c>
      <c r="AO229" s="10">
        <f t="shared" si="157"/>
        <v>12483.170574835383</v>
      </c>
      <c r="AQ229" s="65">
        <f t="shared" si="158"/>
        <v>43</v>
      </c>
      <c r="AR229" s="65"/>
      <c r="AS229" s="65">
        <f t="shared" si="237"/>
        <v>30</v>
      </c>
      <c r="AT229" s="65">
        <f t="shared" si="237"/>
        <v>38</v>
      </c>
      <c r="AU229" s="65">
        <f t="shared" si="165"/>
        <v>38.029813894263803</v>
      </c>
      <c r="AV229" s="65">
        <f>$Y$18/1000*CURVES!O188+$AV$14</f>
        <v>77.524619288019153</v>
      </c>
      <c r="AW229" s="65">
        <f t="shared" si="166"/>
        <v>54.949020169727063</v>
      </c>
      <c r="AX229" s="65">
        <f>CHOOSE(AX$18,CURVES!B188,CURVES!C188)</f>
        <v>48.815555555555548</v>
      </c>
      <c r="AY229" s="65">
        <f t="shared" si="167"/>
        <v>50.900525731690507</v>
      </c>
    </row>
    <row r="230" spans="1:51">
      <c r="A230" s="75">
        <v>42552</v>
      </c>
      <c r="B230" s="2">
        <f t="shared" si="214"/>
        <v>2016</v>
      </c>
      <c r="C230" s="2">
        <f t="shared" si="159"/>
        <v>7</v>
      </c>
      <c r="D230" s="43">
        <v>6.1968987092058003E-2</v>
      </c>
      <c r="E230" s="44">
        <f t="shared" ca="1" si="215"/>
        <v>0.38581672782601983</v>
      </c>
      <c r="F230" s="44"/>
      <c r="G230" s="10"/>
      <c r="H230" s="10">
        <f t="shared" si="231"/>
        <v>19600.301823997554</v>
      </c>
      <c r="I230" s="10">
        <f t="shared" si="231"/>
        <v>17952.976524493009</v>
      </c>
      <c r="K230" s="46">
        <f t="shared" ref="K230:P230" si="241">K218</f>
        <v>2248.4569892473119</v>
      </c>
      <c r="L230" s="46">
        <f t="shared" si="241"/>
        <v>1358.3225806451612</v>
      </c>
      <c r="M230" s="46">
        <f t="shared" si="241"/>
        <v>653.55107526881716</v>
      </c>
      <c r="N230" s="46">
        <f t="shared" si="241"/>
        <v>3.8373655913978495</v>
      </c>
      <c r="O230" s="46">
        <f t="shared" si="227"/>
        <v>4264.1680107526872</v>
      </c>
      <c r="P230" s="46">
        <f t="shared" si="241"/>
        <v>3349.3895623880758</v>
      </c>
      <c r="Q230" s="46">
        <f t="shared" si="161"/>
        <v>7613.5575731407625</v>
      </c>
      <c r="R230" s="10">
        <f t="shared" si="154"/>
        <v>11986.744250856789</v>
      </c>
      <c r="T230" s="65">
        <f t="shared" si="155"/>
        <v>48.72</v>
      </c>
      <c r="U230" s="65">
        <f t="shared" si="236"/>
        <v>23</v>
      </c>
      <c r="V230" s="65">
        <f t="shared" si="236"/>
        <v>34</v>
      </c>
      <c r="W230" s="65">
        <f t="shared" si="236"/>
        <v>38</v>
      </c>
      <c r="X230" s="65">
        <f t="shared" si="162"/>
        <v>38.261344278923424</v>
      </c>
      <c r="Y230" s="65">
        <f>$Y$18/1000*CURVES!K189+$Y$14</f>
        <v>80.120132728494625</v>
      </c>
      <c r="Z230" s="65">
        <f t="shared" si="163"/>
        <v>56.676045656083708</v>
      </c>
      <c r="AA230" s="65">
        <f>CHOOSE(AA$18,CURVES!F189,CURVES!G189)</f>
        <v>59.975942315909187</v>
      </c>
      <c r="AB230" s="65">
        <f t="shared" si="156"/>
        <v>58.694127707613923</v>
      </c>
      <c r="AD230" s="65"/>
      <c r="AH230" s="46">
        <f t="shared" si="222"/>
        <v>1914.3216201186069</v>
      </c>
      <c r="AI230" s="46">
        <f t="shared" si="222"/>
        <v>0</v>
      </c>
      <c r="AJ230" s="46">
        <f t="shared" si="222"/>
        <v>1193.3319743059751</v>
      </c>
      <c r="AK230" s="46">
        <f t="shared" si="222"/>
        <v>610.72305844211053</v>
      </c>
      <c r="AL230" s="46">
        <f t="shared" si="228"/>
        <v>3718.3766528666924</v>
      </c>
      <c r="AM230" s="46">
        <f t="shared" si="234"/>
        <v>2586.7318602150535</v>
      </c>
      <c r="AN230" s="46">
        <f t="shared" si="164"/>
        <v>6305.1085130817464</v>
      </c>
      <c r="AO230" s="10">
        <f t="shared" si="157"/>
        <v>11647.868011411263</v>
      </c>
      <c r="AQ230" s="65">
        <f t="shared" si="158"/>
        <v>43</v>
      </c>
      <c r="AR230" s="65"/>
      <c r="AS230" s="65">
        <f t="shared" si="237"/>
        <v>30</v>
      </c>
      <c r="AT230" s="65">
        <f t="shared" si="237"/>
        <v>38</v>
      </c>
      <c r="AU230" s="65">
        <f t="shared" si="165"/>
        <v>38.006710537547619</v>
      </c>
      <c r="AV230" s="65">
        <f>$Y$18/1000*CURVES!O189+$AV$14</f>
        <v>77.839619288019151</v>
      </c>
      <c r="AW230" s="65">
        <f t="shared" si="166"/>
        <v>54.348547309445195</v>
      </c>
      <c r="AX230" s="65">
        <f>CHOOSE(AX$18,CURVES!B189,CURVES!C189)</f>
        <v>60.00967741935483</v>
      </c>
      <c r="AY230" s="65">
        <f t="shared" si="167"/>
        <v>58.021481222420149</v>
      </c>
    </row>
    <row r="231" spans="1:51">
      <c r="A231" s="75">
        <v>42583</v>
      </c>
      <c r="B231" s="2">
        <f t="shared" si="214"/>
        <v>2016</v>
      </c>
      <c r="C231" s="2">
        <f t="shared" si="159"/>
        <v>8</v>
      </c>
      <c r="D231" s="43">
        <v>6.1993492680699001E-2</v>
      </c>
      <c r="E231" s="44">
        <f t="shared" ca="1" si="215"/>
        <v>0.38368036689213642</v>
      </c>
      <c r="F231" s="44"/>
      <c r="G231" s="10"/>
      <c r="H231" s="10">
        <f t="shared" si="231"/>
        <v>21018.811572513234</v>
      </c>
      <c r="I231" s="10">
        <f t="shared" si="231"/>
        <v>18620.207298798559</v>
      </c>
      <c r="K231" s="46">
        <f t="shared" ref="K231:P231" si="242">K219</f>
        <v>2226.0658602150538</v>
      </c>
      <c r="L231" s="46">
        <f t="shared" si="242"/>
        <v>1361.989247311828</v>
      </c>
      <c r="M231" s="46">
        <f t="shared" si="242"/>
        <v>483.36424731182797</v>
      </c>
      <c r="N231" s="46">
        <f t="shared" si="242"/>
        <v>3.924731182795699</v>
      </c>
      <c r="O231" s="46">
        <f t="shared" si="227"/>
        <v>4075.3440860215055</v>
      </c>
      <c r="P231" s="46">
        <f t="shared" si="242"/>
        <v>3426.252928840011</v>
      </c>
      <c r="Q231" s="46">
        <f t="shared" si="161"/>
        <v>7501.5970148615161</v>
      </c>
      <c r="R231" s="10">
        <f t="shared" si="154"/>
        <v>13517.214557651718</v>
      </c>
      <c r="T231" s="65">
        <f t="shared" si="155"/>
        <v>48.72</v>
      </c>
      <c r="U231" s="65">
        <f t="shared" si="236"/>
        <v>23</v>
      </c>
      <c r="V231" s="65">
        <f t="shared" si="236"/>
        <v>34</v>
      </c>
      <c r="W231" s="65">
        <f t="shared" si="236"/>
        <v>38</v>
      </c>
      <c r="X231" s="65">
        <f t="shared" si="162"/>
        <v>38.368099058856423</v>
      </c>
      <c r="Y231" s="65">
        <f>$Y$18/1000*CURVES!K190+$Y$14</f>
        <v>80.330132728494618</v>
      </c>
      <c r="Z231" s="65">
        <f t="shared" si="163"/>
        <v>57.533690129111378</v>
      </c>
      <c r="AA231" s="65">
        <f>CHOOSE(AA$18,CURVES!F190,CURVES!G190)</f>
        <v>64.190911635692913</v>
      </c>
      <c r="AB231" s="65">
        <f t="shared" si="156"/>
        <v>61.814954612206805</v>
      </c>
      <c r="AD231" s="65"/>
      <c r="AH231" s="46">
        <f t="shared" si="222"/>
        <v>1859.5945026415061</v>
      </c>
      <c r="AI231" s="46">
        <f t="shared" si="222"/>
        <v>0</v>
      </c>
      <c r="AJ231" s="46">
        <f t="shared" si="222"/>
        <v>1584.5088037693729</v>
      </c>
      <c r="AK231" s="46">
        <f t="shared" si="222"/>
        <v>621.50165686237608</v>
      </c>
      <c r="AL231" s="46">
        <f t="shared" si="228"/>
        <v>4065.6049632732547</v>
      </c>
      <c r="AM231" s="46">
        <f t="shared" si="234"/>
        <v>2208.289016129032</v>
      </c>
      <c r="AN231" s="46">
        <f t="shared" si="164"/>
        <v>6273.8939794022863</v>
      </c>
      <c r="AO231" s="10">
        <f t="shared" si="157"/>
        <v>12346.313319396273</v>
      </c>
      <c r="AQ231" s="65">
        <f t="shared" si="158"/>
        <v>43</v>
      </c>
      <c r="AR231" s="65"/>
      <c r="AS231" s="65">
        <f t="shared" si="237"/>
        <v>30</v>
      </c>
      <c r="AT231" s="65">
        <f t="shared" si="237"/>
        <v>38</v>
      </c>
      <c r="AU231" s="65">
        <f t="shared" si="165"/>
        <v>37.169103258318607</v>
      </c>
      <c r="AV231" s="65">
        <f>$Y$18/1000*CURVES!O190+$AV$14</f>
        <v>78.049619288019159</v>
      </c>
      <c r="AW231" s="65">
        <f t="shared" si="166"/>
        <v>51.558252137540691</v>
      </c>
      <c r="AX231" s="65">
        <f>CHOOSE(AX$18,CURVES!B190,CURVES!C190)</f>
        <v>70.288709677419348</v>
      </c>
      <c r="AY231" s="65">
        <f t="shared" si="167"/>
        <v>63.977667973899905</v>
      </c>
    </row>
    <row r="232" spans="1:51">
      <c r="A232" s="75">
        <v>42614</v>
      </c>
      <c r="B232" s="2">
        <f t="shared" si="214"/>
        <v>2016</v>
      </c>
      <c r="C232" s="2">
        <f t="shared" si="159"/>
        <v>9</v>
      </c>
      <c r="D232" s="43">
        <v>6.2017998269539E-2</v>
      </c>
      <c r="E232" s="44">
        <f t="shared" ca="1" si="215"/>
        <v>0.38161810529548362</v>
      </c>
      <c r="F232" s="44"/>
      <c r="G232" s="10"/>
      <c r="H232" s="10">
        <f t="shared" si="231"/>
        <v>19039.084384718175</v>
      </c>
      <c r="I232" s="10">
        <f t="shared" si="231"/>
        <v>17539.039771844848</v>
      </c>
      <c r="K232" s="46">
        <f t="shared" ref="K232:P232" si="243">K220</f>
        <v>2263.6333333333332</v>
      </c>
      <c r="L232" s="46">
        <f t="shared" si="243"/>
        <v>1380.7361111111111</v>
      </c>
      <c r="M232" s="46">
        <f t="shared" si="243"/>
        <v>542.60277777777776</v>
      </c>
      <c r="N232" s="46">
        <f t="shared" si="243"/>
        <v>3.4194444444444443</v>
      </c>
      <c r="O232" s="46">
        <f t="shared" si="227"/>
        <v>4190.3916666666673</v>
      </c>
      <c r="P232" s="46">
        <f t="shared" si="243"/>
        <v>3348.1339323547272</v>
      </c>
      <c r="Q232" s="46">
        <f t="shared" si="161"/>
        <v>7538.5255990213946</v>
      </c>
      <c r="R232" s="10">
        <f t="shared" si="154"/>
        <v>11500.558785696781</v>
      </c>
      <c r="T232" s="65">
        <f t="shared" si="155"/>
        <v>48.72</v>
      </c>
      <c r="U232" s="65">
        <f t="shared" si="236"/>
        <v>23</v>
      </c>
      <c r="V232" s="65">
        <f t="shared" si="236"/>
        <v>34</v>
      </c>
      <c r="W232" s="65">
        <f t="shared" si="236"/>
        <v>38</v>
      </c>
      <c r="X232" s="65">
        <f t="shared" si="162"/>
        <v>38.330445615995849</v>
      </c>
      <c r="Y232" s="65">
        <f>$Y$18/1000*CURVES!K191+$Y$14</f>
        <v>80.550632728494634</v>
      </c>
      <c r="Z232" s="65">
        <f t="shared" si="163"/>
        <v>57.081969272037185</v>
      </c>
      <c r="AA232" s="65">
        <f>CHOOSE(AA$18,CURVES!F191,CURVES!G191)</f>
        <v>58.113015288479787</v>
      </c>
      <c r="AB232" s="65">
        <f t="shared" si="156"/>
        <v>57.704772610856047</v>
      </c>
      <c r="AD232" s="65"/>
      <c r="AH232" s="46">
        <f t="shared" si="222"/>
        <v>1890.9773416389726</v>
      </c>
      <c r="AI232" s="46">
        <f t="shared" si="222"/>
        <v>0</v>
      </c>
      <c r="AJ232" s="46">
        <f t="shared" si="222"/>
        <v>765.82060543821262</v>
      </c>
      <c r="AK232" s="46">
        <f t="shared" si="222"/>
        <v>570.92254509204622</v>
      </c>
      <c r="AL232" s="46">
        <f t="shared" si="228"/>
        <v>3227.7204921692314</v>
      </c>
      <c r="AM232" s="46">
        <f t="shared" si="234"/>
        <v>2371.5769315068492</v>
      </c>
      <c r="AN232" s="46">
        <f t="shared" si="164"/>
        <v>5599.2974236760801</v>
      </c>
      <c r="AO232" s="10">
        <f t="shared" si="157"/>
        <v>11939.742348168766</v>
      </c>
      <c r="AQ232" s="65">
        <f t="shared" si="158"/>
        <v>43</v>
      </c>
      <c r="AR232" s="65"/>
      <c r="AS232" s="65">
        <f t="shared" si="237"/>
        <v>30</v>
      </c>
      <c r="AT232" s="65">
        <f t="shared" si="237"/>
        <v>38</v>
      </c>
      <c r="AU232" s="65">
        <f t="shared" si="165"/>
        <v>39.031167931908605</v>
      </c>
      <c r="AV232" s="65">
        <f>$Y$18/1000*CURVES!O191+$AV$14</f>
        <v>78.270119288019146</v>
      </c>
      <c r="AW232" s="65">
        <f t="shared" si="166"/>
        <v>55.650787289720128</v>
      </c>
      <c r="AX232" s="65">
        <f>CHOOSE(AX$18,CURVES!B191,CURVES!C191)</f>
        <v>61.411111111111104</v>
      </c>
      <c r="AY232" s="65">
        <f t="shared" si="167"/>
        <v>59.572141204421506</v>
      </c>
    </row>
    <row r="233" spans="1:51">
      <c r="A233" s="75">
        <v>42644</v>
      </c>
      <c r="B233" s="2">
        <f t="shared" si="214"/>
        <v>2016</v>
      </c>
      <c r="C233" s="2">
        <f t="shared" si="159"/>
        <v>10</v>
      </c>
      <c r="D233" s="43">
        <v>6.2041713355703999E-2</v>
      </c>
      <c r="E233" s="44">
        <f t="shared" ca="1" si="215"/>
        <v>0.37950657302919183</v>
      </c>
      <c r="F233" s="44"/>
      <c r="G233" s="10"/>
      <c r="H233" s="10">
        <f t="shared" si="231"/>
        <v>17687.289606952552</v>
      </c>
      <c r="I233" s="10">
        <f t="shared" si="231"/>
        <v>15181.304090205074</v>
      </c>
      <c r="K233" s="46">
        <f t="shared" ref="K233:P233" si="244">K221</f>
        <v>2069.2916666666665</v>
      </c>
      <c r="L233" s="46">
        <f t="shared" si="244"/>
        <v>1227.5241935483871</v>
      </c>
      <c r="M233" s="46">
        <f t="shared" si="244"/>
        <v>369.34005376344084</v>
      </c>
      <c r="N233" s="46">
        <f t="shared" si="244"/>
        <v>3.278225806451613</v>
      </c>
      <c r="O233" s="46">
        <f t="shared" si="227"/>
        <v>3669.4341397849457</v>
      </c>
      <c r="P233" s="46">
        <f t="shared" si="244"/>
        <v>3171.075494984625</v>
      </c>
      <c r="Q233" s="46">
        <f t="shared" si="161"/>
        <v>6840.5096347695708</v>
      </c>
      <c r="R233" s="10">
        <f t="shared" si="154"/>
        <v>10846.779972182982</v>
      </c>
      <c r="T233" s="65">
        <f t="shared" si="155"/>
        <v>48.72</v>
      </c>
      <c r="U233" s="65">
        <f t="shared" si="236"/>
        <v>23</v>
      </c>
      <c r="V233" s="65">
        <f t="shared" si="236"/>
        <v>34</v>
      </c>
      <c r="W233" s="65">
        <f t="shared" si="236"/>
        <v>38</v>
      </c>
      <c r="X233" s="65">
        <f t="shared" si="162"/>
        <v>38.624778497461044</v>
      </c>
      <c r="Y233" s="65">
        <f>$Y$18/1000*CURVES!K192+$Y$14</f>
        <v>80.865632728494631</v>
      </c>
      <c r="Z233" s="65">
        <f t="shared" si="163"/>
        <v>58.206497534650943</v>
      </c>
      <c r="AA233" s="65">
        <f>CHOOSE(AA$18,CURVES!F192,CURVES!G192)</f>
        <v>47.143080969173461</v>
      </c>
      <c r="AB233" s="65">
        <f t="shared" si="156"/>
        <v>51.42182628806448</v>
      </c>
      <c r="AD233" s="65"/>
      <c r="AH233" s="46">
        <f t="shared" si="222"/>
        <v>1913.8399491890309</v>
      </c>
      <c r="AI233" s="46">
        <f t="shared" si="222"/>
        <v>0</v>
      </c>
      <c r="AJ233" s="46">
        <f t="shared" si="222"/>
        <v>1075.3801160883429</v>
      </c>
      <c r="AK233" s="46">
        <f t="shared" si="222"/>
        <v>576.38556050292607</v>
      </c>
      <c r="AL233" s="46">
        <f t="shared" si="228"/>
        <v>3565.6056257802998</v>
      </c>
      <c r="AM233" s="46">
        <f t="shared" si="234"/>
        <v>2259.7132500000002</v>
      </c>
      <c r="AN233" s="46">
        <f t="shared" si="164"/>
        <v>5825.3188757803</v>
      </c>
      <c r="AO233" s="10">
        <f t="shared" si="157"/>
        <v>9355.9852144247743</v>
      </c>
      <c r="AQ233" s="65">
        <f t="shared" si="158"/>
        <v>43</v>
      </c>
      <c r="AR233" s="65"/>
      <c r="AS233" s="65">
        <f t="shared" si="237"/>
        <v>30</v>
      </c>
      <c r="AT233" s="65">
        <f t="shared" si="237"/>
        <v>38</v>
      </c>
      <c r="AU233" s="65">
        <f t="shared" si="165"/>
        <v>38.270966258930272</v>
      </c>
      <c r="AV233" s="65">
        <f>$Y$18/1000*CURVES!O192+$AV$14</f>
        <v>78.585119288019158</v>
      </c>
      <c r="AW233" s="65">
        <f t="shared" si="166"/>
        <v>53.909324897307329</v>
      </c>
      <c r="AX233" s="65">
        <f>CHOOSE(AX$18,CURVES!B192,CURVES!C192)</f>
        <v>47.674193548387095</v>
      </c>
      <c r="AY233" s="65">
        <f t="shared" si="167"/>
        <v>50.066717150049818</v>
      </c>
    </row>
    <row r="234" spans="1:51">
      <c r="A234" s="75">
        <v>42675</v>
      </c>
      <c r="B234" s="2">
        <f t="shared" si="214"/>
        <v>2016</v>
      </c>
      <c r="C234" s="2">
        <f t="shared" si="159"/>
        <v>11</v>
      </c>
      <c r="D234" s="43">
        <v>6.2066218944935997E-2</v>
      </c>
      <c r="E234" s="44">
        <f t="shared" ca="1" si="215"/>
        <v>0.37746380027862148</v>
      </c>
      <c r="F234" s="44"/>
      <c r="G234" s="10"/>
      <c r="H234" s="10">
        <f t="shared" si="231"/>
        <v>17301.663070762967</v>
      </c>
      <c r="I234" s="10">
        <f t="shared" si="231"/>
        <v>15411.742935410259</v>
      </c>
      <c r="K234" s="46">
        <f t="shared" ref="K234:P234" si="245">K222</f>
        <v>2201.1583333333333</v>
      </c>
      <c r="L234" s="46">
        <f t="shared" si="245"/>
        <v>1270.0277777777778</v>
      </c>
      <c r="M234" s="46">
        <f t="shared" si="245"/>
        <v>241.3111111111111</v>
      </c>
      <c r="N234" s="46">
        <f t="shared" si="245"/>
        <v>3.1194444444444445</v>
      </c>
      <c r="O234" s="46">
        <f t="shared" si="227"/>
        <v>3715.6166666666668</v>
      </c>
      <c r="P234" s="46">
        <f t="shared" si="245"/>
        <v>3029.0331582980816</v>
      </c>
      <c r="Q234" s="46">
        <f t="shared" si="161"/>
        <v>6744.6498249647484</v>
      </c>
      <c r="R234" s="10">
        <f t="shared" si="154"/>
        <v>10557.013245798218</v>
      </c>
      <c r="T234" s="65">
        <f t="shared" si="155"/>
        <v>48.72</v>
      </c>
      <c r="U234" s="65">
        <f t="shared" si="236"/>
        <v>23</v>
      </c>
      <c r="V234" s="65">
        <f t="shared" si="236"/>
        <v>34</v>
      </c>
      <c r="W234" s="65">
        <f t="shared" si="236"/>
        <v>38</v>
      </c>
      <c r="X234" s="65">
        <f t="shared" si="162"/>
        <v>38.963704424717896</v>
      </c>
      <c r="Y234" s="65">
        <f>$Y$18/1000*CURVES!K193+$Y$14</f>
        <v>80.498132728494625</v>
      </c>
      <c r="Z234" s="65">
        <f t="shared" si="163"/>
        <v>57.616883434460128</v>
      </c>
      <c r="AA234" s="65">
        <f>CHOOSE(AA$18,CURVES!F193,CURVES!G193)</f>
        <v>39.711042915127884</v>
      </c>
      <c r="AB234" s="65">
        <f t="shared" si="156"/>
        <v>46.691217227309501</v>
      </c>
      <c r="AD234" s="65"/>
      <c r="AH234" s="46">
        <f t="shared" si="222"/>
        <v>1838.7874362867092</v>
      </c>
      <c r="AI234" s="46">
        <f t="shared" si="222"/>
        <v>0</v>
      </c>
      <c r="AJ234" s="46">
        <f t="shared" si="222"/>
        <v>1347.8791847211178</v>
      </c>
      <c r="AK234" s="46">
        <f t="shared" si="222"/>
        <v>499.43911251442188</v>
      </c>
      <c r="AL234" s="46">
        <f t="shared" si="228"/>
        <v>3686.105733522249</v>
      </c>
      <c r="AM234" s="46">
        <f t="shared" si="234"/>
        <v>2451.2376410958905</v>
      </c>
      <c r="AN234" s="46">
        <f t="shared" si="164"/>
        <v>6137.3433746181399</v>
      </c>
      <c r="AO234" s="10">
        <f t="shared" si="157"/>
        <v>9274.3995607921206</v>
      </c>
      <c r="AQ234" s="65">
        <f t="shared" si="158"/>
        <v>43</v>
      </c>
      <c r="AR234" s="65"/>
      <c r="AS234" s="65">
        <f t="shared" si="237"/>
        <v>30</v>
      </c>
      <c r="AT234" s="65">
        <f t="shared" si="237"/>
        <v>38</v>
      </c>
      <c r="AU234" s="65">
        <f t="shared" si="165"/>
        <v>37.568895628282228</v>
      </c>
      <c r="AV234" s="65">
        <f>$Y$18/1000*CURVES!O193+$AV$14</f>
        <v>80.055119288019156</v>
      </c>
      <c r="AW234" s="65">
        <f t="shared" si="166"/>
        <v>54.53777357854775</v>
      </c>
      <c r="AX234" s="65">
        <f>CHOOSE(AX$18,CURVES!B193,CURVES!C193)</f>
        <v>46.088888888888889</v>
      </c>
      <c r="AY234" s="65">
        <f t="shared" si="167"/>
        <v>49.453447115061394</v>
      </c>
    </row>
    <row r="235" spans="1:51">
      <c r="A235" s="75">
        <v>42705</v>
      </c>
      <c r="B235" s="2">
        <f t="shared" si="214"/>
        <v>2016</v>
      </c>
      <c r="C235" s="2">
        <f t="shared" si="159"/>
        <v>12</v>
      </c>
      <c r="D235" s="43">
        <v>6.2089934031478999E-2</v>
      </c>
      <c r="E235" s="44">
        <f t="shared" ca="1" si="215"/>
        <v>0.37537232539833865</v>
      </c>
      <c r="F235" s="44"/>
      <c r="G235" s="10"/>
      <c r="H235" s="10">
        <f t="shared" si="231"/>
        <v>17177.082159037647</v>
      </c>
      <c r="I235" s="10">
        <f t="shared" si="231"/>
        <v>15376.730140000036</v>
      </c>
      <c r="K235" s="46">
        <f t="shared" ref="K235:P235" si="246">K223</f>
        <v>2256.4126344086021</v>
      </c>
      <c r="L235" s="46">
        <f t="shared" si="246"/>
        <v>1157.2150537634409</v>
      </c>
      <c r="M235" s="46">
        <f t="shared" si="246"/>
        <v>239.86021505376345</v>
      </c>
      <c r="N235" s="46">
        <f t="shared" si="246"/>
        <v>2.9690860215053765</v>
      </c>
      <c r="O235" s="46">
        <f t="shared" si="227"/>
        <v>3656.4569892473123</v>
      </c>
      <c r="P235" s="46">
        <f t="shared" si="246"/>
        <v>2977.5968497309718</v>
      </c>
      <c r="Q235" s="46">
        <f t="shared" si="161"/>
        <v>6634.0538389782841</v>
      </c>
      <c r="R235" s="10">
        <f t="shared" si="154"/>
        <v>10543.028320059364</v>
      </c>
      <c r="T235" s="65">
        <f t="shared" si="155"/>
        <v>48.72</v>
      </c>
      <c r="U235" s="65">
        <f t="shared" si="236"/>
        <v>23</v>
      </c>
      <c r="V235" s="65">
        <f t="shared" si="236"/>
        <v>34</v>
      </c>
      <c r="W235" s="65">
        <f t="shared" si="236"/>
        <v>38</v>
      </c>
      <c r="X235" s="65">
        <f t="shared" si="162"/>
        <v>39.60567368670241</v>
      </c>
      <c r="Y235" s="65">
        <f>$Y$18/1000*CURVES!K194+$Y$14</f>
        <v>81.810632728494625</v>
      </c>
      <c r="Z235" s="65">
        <f t="shared" si="163"/>
        <v>58.548744716288695</v>
      </c>
      <c r="AA235" s="65">
        <f>CHOOSE(AA$18,CURVES!F194,CURVES!G194)</f>
        <v>39.477208070552031</v>
      </c>
      <c r="AB235" s="65">
        <f t="shared" si="156"/>
        <v>46.842929426975516</v>
      </c>
      <c r="AD235" s="65"/>
      <c r="AH235" s="46">
        <f t="shared" si="222"/>
        <v>1921.095004536046</v>
      </c>
      <c r="AI235" s="46">
        <f t="shared" si="222"/>
        <v>0</v>
      </c>
      <c r="AJ235" s="46">
        <f t="shared" si="222"/>
        <v>1326.4786927345147</v>
      </c>
      <c r="AK235" s="46">
        <f t="shared" si="222"/>
        <v>519.61972313456249</v>
      </c>
      <c r="AL235" s="46">
        <f t="shared" si="228"/>
        <v>3767.1934204051231</v>
      </c>
      <c r="AM235" s="46">
        <f t="shared" si="234"/>
        <v>2024.2479112903225</v>
      </c>
      <c r="AN235" s="46">
        <f t="shared" si="164"/>
        <v>5791.4413316954451</v>
      </c>
      <c r="AO235" s="10">
        <f t="shared" si="157"/>
        <v>9585.2888083045909</v>
      </c>
      <c r="AQ235" s="65">
        <f t="shared" si="158"/>
        <v>43</v>
      </c>
      <c r="AR235" s="65"/>
      <c r="AS235" s="65">
        <f t="shared" si="237"/>
        <v>30</v>
      </c>
      <c r="AT235" s="65">
        <f t="shared" si="237"/>
        <v>38</v>
      </c>
      <c r="AU235" s="65">
        <f t="shared" si="165"/>
        <v>37.732863591833393</v>
      </c>
      <c r="AV235" s="65">
        <f>$Y$18/1000*CURVES!O194+$AV$14</f>
        <v>81.367619288019156</v>
      </c>
      <c r="AW235" s="65">
        <f t="shared" si="166"/>
        <v>52.984259232201495</v>
      </c>
      <c r="AX235" s="65">
        <f>CHOOSE(AX$18,CURVES!B194,CURVES!C194)</f>
        <v>45.313978494623655</v>
      </c>
      <c r="AY235" s="65">
        <f t="shared" si="167"/>
        <v>48.202887936674614</v>
      </c>
    </row>
    <row r="236" spans="1:51">
      <c r="A236" s="75">
        <v>42736</v>
      </c>
      <c r="B236" s="2">
        <f t="shared" si="214"/>
        <v>2017</v>
      </c>
      <c r="C236" s="2">
        <f t="shared" si="159"/>
        <v>1</v>
      </c>
      <c r="D236" s="43">
        <v>6.2114439621104002E-2</v>
      </c>
      <c r="E236" s="44">
        <f t="shared" ca="1" si="215"/>
        <v>0.37328637271225029</v>
      </c>
      <c r="F236" s="44"/>
      <c r="G236" s="10"/>
      <c r="H236" s="10">
        <f t="shared" si="231"/>
        <v>17492.693622190007</v>
      </c>
      <c r="I236" s="10">
        <f t="shared" si="231"/>
        <v>16628.98659512871</v>
      </c>
      <c r="K236" s="46">
        <f t="shared" ref="K236:P236" si="247">K224</f>
        <v>2185.9180107526881</v>
      </c>
      <c r="L236" s="46">
        <f t="shared" si="247"/>
        <v>1282.3306451612902</v>
      </c>
      <c r="M236" s="46">
        <f t="shared" si="247"/>
        <v>142.8521505376344</v>
      </c>
      <c r="N236" s="46">
        <f t="shared" si="247"/>
        <v>3.168010752688172</v>
      </c>
      <c r="O236" s="46">
        <f t="shared" si="227"/>
        <v>3614.2688172043008</v>
      </c>
      <c r="P236" s="46">
        <f t="shared" si="247"/>
        <v>2792.6655547379</v>
      </c>
      <c r="Q236" s="46">
        <f t="shared" si="161"/>
        <v>6406.9343719422013</v>
      </c>
      <c r="R236" s="10">
        <f t="shared" si="154"/>
        <v>11085.759250247806</v>
      </c>
      <c r="T236" s="65">
        <f t="shared" si="155"/>
        <v>48.72</v>
      </c>
      <c r="U236" s="65">
        <f t="shared" si="236"/>
        <v>23</v>
      </c>
      <c r="V236" s="65">
        <f t="shared" si="236"/>
        <v>34</v>
      </c>
      <c r="W236" s="65">
        <f t="shared" si="236"/>
        <v>38</v>
      </c>
      <c r="X236" s="65">
        <f t="shared" si="162"/>
        <v>39.003431946853418</v>
      </c>
      <c r="Y236" s="65">
        <f>$Y$18/1000*CURVES!K195+$Y$14</f>
        <v>83.532632728494633</v>
      </c>
      <c r="Z236" s="65">
        <f t="shared" si="163"/>
        <v>58.412896440119376</v>
      </c>
      <c r="AA236" s="65">
        <f>CHOOSE(AA$18,CURVES!F195,CURVES!G195)</f>
        <v>40.630304943941738</v>
      </c>
      <c r="AB236" s="65">
        <f t="shared" si="156"/>
        <v>47.1434183122878</v>
      </c>
      <c r="AD236" s="65"/>
      <c r="AH236" s="46">
        <f t="shared" si="222"/>
        <v>1826.0560878589888</v>
      </c>
      <c r="AI236" s="46">
        <f t="shared" si="222"/>
        <v>0</v>
      </c>
      <c r="AJ236" s="46">
        <f t="shared" si="222"/>
        <v>1744.0893186443859</v>
      </c>
      <c r="AK236" s="46">
        <f t="shared" si="222"/>
        <v>538.87289280137145</v>
      </c>
      <c r="AL236" s="46">
        <f t="shared" si="228"/>
        <v>4109.0182993047465</v>
      </c>
      <c r="AM236" s="46">
        <f t="shared" si="234"/>
        <v>2445.3687016129034</v>
      </c>
      <c r="AN236" s="46">
        <f t="shared" si="164"/>
        <v>6554.3870009176499</v>
      </c>
      <c r="AO236" s="10">
        <f t="shared" si="157"/>
        <v>10074.59959421106</v>
      </c>
      <c r="AQ236" s="65">
        <f t="shared" si="158"/>
        <v>43</v>
      </c>
      <c r="AR236" s="65"/>
      <c r="AS236" s="65">
        <f t="shared" si="237"/>
        <v>30</v>
      </c>
      <c r="AT236" s="65">
        <f t="shared" si="237"/>
        <v>38</v>
      </c>
      <c r="AU236" s="65">
        <f t="shared" si="165"/>
        <v>36.826378040059808</v>
      </c>
      <c r="AV236" s="65">
        <f>$Y$18/1000*CURVES!O195+$AV$14</f>
        <v>83.089619288019151</v>
      </c>
      <c r="AW236" s="65">
        <f t="shared" si="166"/>
        <v>54.086677465023257</v>
      </c>
      <c r="AX236" s="65">
        <f>CHOOSE(AX$18,CURVES!B195,CURVES!C195)</f>
        <v>48.511827956989244</v>
      </c>
      <c r="AY236" s="65">
        <f t="shared" si="167"/>
        <v>50.709179006525495</v>
      </c>
    </row>
    <row r="237" spans="1:51">
      <c r="A237" s="75">
        <v>42767</v>
      </c>
      <c r="B237" s="2">
        <f t="shared" si="214"/>
        <v>2017</v>
      </c>
      <c r="C237" s="2">
        <f t="shared" si="159"/>
        <v>2</v>
      </c>
      <c r="D237" s="43">
        <v>6.2138945210927998E-2</v>
      </c>
      <c r="E237" s="44">
        <f t="shared" ca="1" si="215"/>
        <v>0.37139713801871599</v>
      </c>
      <c r="F237" s="44"/>
      <c r="G237" s="10"/>
      <c r="H237" s="10">
        <f t="shared" si="231"/>
        <v>17539.745504549675</v>
      </c>
      <c r="I237" s="10">
        <f t="shared" si="231"/>
        <v>16606.824087408142</v>
      </c>
      <c r="K237" s="46">
        <f t="shared" ref="K237:P237" si="248">K225</f>
        <v>2261.8764367816093</v>
      </c>
      <c r="L237" s="46">
        <f t="shared" si="248"/>
        <v>1335.9798850574712</v>
      </c>
      <c r="M237" s="46">
        <f t="shared" si="248"/>
        <v>236.0028735632184</v>
      </c>
      <c r="N237" s="46">
        <f t="shared" si="248"/>
        <v>3.8491379310344827</v>
      </c>
      <c r="O237" s="46">
        <f t="shared" si="227"/>
        <v>3837.7083333333335</v>
      </c>
      <c r="P237" s="46">
        <f t="shared" si="248"/>
        <v>3011.7717013676738</v>
      </c>
      <c r="Q237" s="46">
        <f t="shared" si="161"/>
        <v>6849.4800347010078</v>
      </c>
      <c r="R237" s="10">
        <f t="shared" ref="R237:R284" si="249">H237-O237-P237</f>
        <v>10690.265469848668</v>
      </c>
      <c r="T237" s="65">
        <f t="shared" ref="T237:T284" si="250">$T$18</f>
        <v>48.72</v>
      </c>
      <c r="U237" s="65">
        <f t="shared" si="236"/>
        <v>23</v>
      </c>
      <c r="V237" s="65">
        <f t="shared" si="236"/>
        <v>34</v>
      </c>
      <c r="W237" s="65">
        <f t="shared" si="236"/>
        <v>38</v>
      </c>
      <c r="X237" s="65">
        <f t="shared" si="162"/>
        <v>38.850404811599958</v>
      </c>
      <c r="Y237" s="65">
        <f>$Y$18/1000*CURVES!K196+$Y$14</f>
        <v>82.524632728494623</v>
      </c>
      <c r="Z237" s="65">
        <f t="shared" si="163"/>
        <v>58.054315627134905</v>
      </c>
      <c r="AA237" s="65">
        <f>CHOOSE(AA$18,CURVES!F196,CURVES!G196)</f>
        <v>40.891590353945737</v>
      </c>
      <c r="AB237" s="65">
        <f t="shared" ref="AB237:AB284" si="251">(Q237*Z237+R237*AA237)/H237</f>
        <v>47.593839486880675</v>
      </c>
      <c r="AD237" s="65"/>
      <c r="AH237" s="46">
        <f t="shared" ref="AH237:AK256" si="252">AH225</f>
        <v>1925.7468502510062</v>
      </c>
      <c r="AI237" s="46">
        <f t="shared" si="252"/>
        <v>0</v>
      </c>
      <c r="AJ237" s="46">
        <f t="shared" si="252"/>
        <v>2201.9273871825426</v>
      </c>
      <c r="AK237" s="46">
        <f t="shared" si="252"/>
        <v>548.47547775416388</v>
      </c>
      <c r="AL237" s="46">
        <f t="shared" si="228"/>
        <v>4676.1497151877129</v>
      </c>
      <c r="AM237" s="46">
        <f t="shared" si="234"/>
        <v>2161.5456443452381</v>
      </c>
      <c r="AN237" s="46">
        <f t="shared" si="164"/>
        <v>6837.6953595329505</v>
      </c>
      <c r="AO237" s="10">
        <f t="shared" ref="AO237:AO284" si="253">I237-AL237-AM237</f>
        <v>9769.1287278751915</v>
      </c>
      <c r="AQ237" s="65">
        <f t="shared" ref="AQ237:AQ284" si="254">$AQ$18</f>
        <v>43</v>
      </c>
      <c r="AR237" s="65"/>
      <c r="AS237" s="65">
        <f t="shared" si="237"/>
        <v>30</v>
      </c>
      <c r="AT237" s="65">
        <f t="shared" si="237"/>
        <v>38</v>
      </c>
      <c r="AU237" s="65">
        <f t="shared" si="165"/>
        <v>36.29203825098557</v>
      </c>
      <c r="AV237" s="65">
        <f>$Y$18/1000*CURVES!O196+$AV$14</f>
        <v>82.081619288019141</v>
      </c>
      <c r="AW237" s="65">
        <f t="shared" si="166"/>
        <v>50.767130258265908</v>
      </c>
      <c r="AX237" s="65">
        <f>CHOOSE(AX$18,CURVES!B196,CURVES!C196)</f>
        <v>47.507142857142853</v>
      </c>
      <c r="AY237" s="65">
        <f t="shared" si="167"/>
        <v>48.849410385688337</v>
      </c>
    </row>
    <row r="238" spans="1:51">
      <c r="A238" s="75">
        <v>42795</v>
      </c>
      <c r="B238" s="2">
        <f t="shared" si="214"/>
        <v>2017</v>
      </c>
      <c r="C238" s="2">
        <f t="shared" ref="C238:C283" si="255">MONTH(A238)</f>
        <v>3</v>
      </c>
      <c r="D238" s="43">
        <v>6.2161079292230997E-2</v>
      </c>
      <c r="E238" s="44">
        <f t="shared" ca="1" si="215"/>
        <v>0.36934419291446452</v>
      </c>
      <c r="F238" s="44"/>
      <c r="G238" s="10"/>
      <c r="H238" s="10">
        <f t="shared" si="231"/>
        <v>17438.205050783756</v>
      </c>
      <c r="I238" s="10">
        <f t="shared" si="231"/>
        <v>16234.006300949233</v>
      </c>
      <c r="K238" s="46">
        <f t="shared" ref="K238:P238" si="256">K226</f>
        <v>2263.9462365591398</v>
      </c>
      <c r="L238" s="46">
        <f t="shared" si="256"/>
        <v>1258.630376344086</v>
      </c>
      <c r="M238" s="46">
        <f t="shared" si="256"/>
        <v>620.64650537634407</v>
      </c>
      <c r="N238" s="46">
        <f t="shared" si="256"/>
        <v>2.581989247311828</v>
      </c>
      <c r="O238" s="46">
        <f t="shared" si="227"/>
        <v>4145.8051075268813</v>
      </c>
      <c r="P238" s="46">
        <f t="shared" si="256"/>
        <v>2834.3973290285558</v>
      </c>
      <c r="Q238" s="46">
        <f t="shared" ref="Q238:Q284" si="257">O238+P238</f>
        <v>6980.2024365554371</v>
      </c>
      <c r="R238" s="10">
        <f t="shared" si="249"/>
        <v>10458.002614228319</v>
      </c>
      <c r="T238" s="65">
        <f t="shared" si="250"/>
        <v>48.72</v>
      </c>
      <c r="U238" s="65">
        <f t="shared" si="236"/>
        <v>23</v>
      </c>
      <c r="V238" s="65">
        <f t="shared" si="236"/>
        <v>34</v>
      </c>
      <c r="W238" s="65">
        <f t="shared" si="236"/>
        <v>38</v>
      </c>
      <c r="X238" s="65">
        <f t="shared" ref="X238:X284" si="258">SUMPRODUCT(K238:N238,T238:W238)/O238</f>
        <v>38.701302138870133</v>
      </c>
      <c r="Y238" s="65">
        <f>$Y$18/1000*CURVES!K197+$Y$14</f>
        <v>80.949632728494635</v>
      </c>
      <c r="Z238" s="65">
        <f t="shared" ref="Z238:Z284" si="259">(O238*X238+P238*Y238)/Q238</f>
        <v>55.856758082672265</v>
      </c>
      <c r="AA238" s="65">
        <f>CHOOSE(AA$18,CURVES!F197,CURVES!G197)</f>
        <v>40.585727647806614</v>
      </c>
      <c r="AB238" s="65">
        <f t="shared" si="251"/>
        <v>46.698448741504876</v>
      </c>
      <c r="AD238" s="65"/>
      <c r="AH238" s="46">
        <f t="shared" si="252"/>
        <v>1891.2387324311178</v>
      </c>
      <c r="AI238" s="46">
        <f t="shared" si="252"/>
        <v>0</v>
      </c>
      <c r="AJ238" s="46">
        <f t="shared" si="252"/>
        <v>1966.5504926356311</v>
      </c>
      <c r="AK238" s="46">
        <f t="shared" si="252"/>
        <v>526.07330501492243</v>
      </c>
      <c r="AL238" s="46">
        <f t="shared" si="228"/>
        <v>4383.8625300816711</v>
      </c>
      <c r="AM238" s="46">
        <f t="shared" si="234"/>
        <v>2044.2222728494623</v>
      </c>
      <c r="AN238" s="46">
        <f t="shared" ref="AN238:AN284" si="260">AL238+AM238</f>
        <v>6428.0848029311337</v>
      </c>
      <c r="AO238" s="10">
        <f t="shared" si="253"/>
        <v>9805.9214980181005</v>
      </c>
      <c r="AQ238" s="65">
        <f t="shared" si="254"/>
        <v>43</v>
      </c>
      <c r="AR238" s="65"/>
      <c r="AS238" s="65">
        <f t="shared" si="237"/>
        <v>30</v>
      </c>
      <c r="AT238" s="65">
        <f t="shared" si="237"/>
        <v>38</v>
      </c>
      <c r="AU238" s="65">
        <f t="shared" ref="AU238:AU284" si="261">SUMPRODUCT(AH238:AK238,AQ238:AT238)/AL238</f>
        <v>36.56833779894724</v>
      </c>
      <c r="AV238" s="65">
        <f>$Y$18/1000*CURVES!O197+$AV$14</f>
        <v>80.506619288019152</v>
      </c>
      <c r="AW238" s="65">
        <f t="shared" ref="AW238:AW284" si="262">(AL238*AU238+AM238*AV238)/AN238</f>
        <v>50.541335418663351</v>
      </c>
      <c r="AX238" s="65">
        <f>CHOOSE(AX$18,CURVES!B197,CURVES!C197)</f>
        <v>45.556451612903224</v>
      </c>
      <c r="AY238" s="65">
        <f t="shared" ref="AY238:AY284" si="263">(AN238*AW238+AO238*AX238)/I238</f>
        <v>47.530286983061394</v>
      </c>
    </row>
    <row r="239" spans="1:51">
      <c r="A239" s="75">
        <v>42826</v>
      </c>
      <c r="B239" s="2">
        <f t="shared" si="214"/>
        <v>2017</v>
      </c>
      <c r="C239" s="2">
        <f t="shared" si="255"/>
        <v>4</v>
      </c>
      <c r="D239" s="43">
        <v>6.2185584882435002E-2</v>
      </c>
      <c r="E239" s="44">
        <f t="shared" ca="1" si="215"/>
        <v>0.36734902676269837</v>
      </c>
      <c r="F239" s="44"/>
      <c r="G239" s="10"/>
      <c r="H239" s="10">
        <f t="shared" si="231"/>
        <v>17515.583820139105</v>
      </c>
      <c r="I239" s="10">
        <f t="shared" si="231"/>
        <v>15858.948836943155</v>
      </c>
      <c r="K239" s="46">
        <f t="shared" ref="K239:P239" si="264">K227</f>
        <v>2319.8402777777778</v>
      </c>
      <c r="L239" s="46">
        <f t="shared" si="264"/>
        <v>1179.1659722222223</v>
      </c>
      <c r="M239" s="46">
        <f t="shared" si="264"/>
        <v>811.58611111111111</v>
      </c>
      <c r="N239" s="46">
        <f t="shared" si="264"/>
        <v>3.0416666666666665</v>
      </c>
      <c r="O239" s="46">
        <f t="shared" si="227"/>
        <v>4313.6340277777781</v>
      </c>
      <c r="P239" s="46">
        <f t="shared" si="264"/>
        <v>2923.3945906815438</v>
      </c>
      <c r="Q239" s="46">
        <f t="shared" si="257"/>
        <v>7237.0286184593224</v>
      </c>
      <c r="R239" s="10">
        <f t="shared" si="249"/>
        <v>10278.555201679783</v>
      </c>
      <c r="T239" s="65">
        <f t="shared" si="250"/>
        <v>48.72</v>
      </c>
      <c r="U239" s="65">
        <f t="shared" si="236"/>
        <v>23</v>
      </c>
      <c r="V239" s="65">
        <f t="shared" si="236"/>
        <v>34</v>
      </c>
      <c r="W239" s="65">
        <f t="shared" si="236"/>
        <v>38</v>
      </c>
      <c r="X239" s="65">
        <f t="shared" si="258"/>
        <v>38.912189982891782</v>
      </c>
      <c r="Y239" s="65">
        <f>$Y$18/1000*CURVES!K198+$Y$14</f>
        <v>80.865632728494631</v>
      </c>
      <c r="Z239" s="65">
        <f t="shared" si="259"/>
        <v>55.859265094648514</v>
      </c>
      <c r="AA239" s="65">
        <f>CHOOSE(AA$18,CURVES!F198,CURVES!G198)</f>
        <v>39.158810971122428</v>
      </c>
      <c r="AB239" s="65">
        <f t="shared" si="251"/>
        <v>46.059047107942526</v>
      </c>
      <c r="AD239" s="65"/>
      <c r="AH239" s="46">
        <f t="shared" si="252"/>
        <v>1937.9310849074075</v>
      </c>
      <c r="AI239" s="46">
        <f t="shared" si="252"/>
        <v>0</v>
      </c>
      <c r="AJ239" s="46">
        <f t="shared" si="252"/>
        <v>2070.9500209392572</v>
      </c>
      <c r="AK239" s="46">
        <f t="shared" si="252"/>
        <v>513.91932921853174</v>
      </c>
      <c r="AL239" s="46">
        <f t="shared" si="228"/>
        <v>4522.8004350651963</v>
      </c>
      <c r="AM239" s="46">
        <f t="shared" si="234"/>
        <v>2152.9968589041096</v>
      </c>
      <c r="AN239" s="46">
        <f t="shared" si="260"/>
        <v>6675.7972939693063</v>
      </c>
      <c r="AO239" s="10">
        <f t="shared" si="253"/>
        <v>9183.1515429738502</v>
      </c>
      <c r="AQ239" s="65">
        <f t="shared" si="254"/>
        <v>43</v>
      </c>
      <c r="AR239" s="65"/>
      <c r="AS239" s="65">
        <f t="shared" si="237"/>
        <v>30</v>
      </c>
      <c r="AT239" s="65">
        <f t="shared" si="237"/>
        <v>38</v>
      </c>
      <c r="AU239" s="65">
        <f t="shared" si="261"/>
        <v>36.479272998726103</v>
      </c>
      <c r="AV239" s="65">
        <f>$Y$18/1000*CURVES!O198+$AV$14</f>
        <v>78.585119288019158</v>
      </c>
      <c r="AW239" s="65">
        <f t="shared" si="262"/>
        <v>50.058737864179818</v>
      </c>
      <c r="AX239" s="65">
        <f>CHOOSE(AX$18,CURVES!B198,CURVES!C198)</f>
        <v>43.366666666666667</v>
      </c>
      <c r="AY239" s="65">
        <f t="shared" si="263"/>
        <v>46.183682551561816</v>
      </c>
    </row>
    <row r="240" spans="1:51">
      <c r="A240" s="75">
        <v>42856</v>
      </c>
      <c r="B240" s="2">
        <f t="shared" si="214"/>
        <v>2017</v>
      </c>
      <c r="C240" s="2">
        <f t="shared" si="255"/>
        <v>5</v>
      </c>
      <c r="D240" s="43">
        <v>6.2209299969918003E-2</v>
      </c>
      <c r="E240" s="44">
        <f t="shared" ca="1" si="215"/>
        <v>0.36530654123857009</v>
      </c>
      <c r="F240" s="44"/>
      <c r="G240" s="10"/>
      <c r="H240" s="10">
        <f t="shared" si="231"/>
        <v>18508.696898330207</v>
      </c>
      <c r="I240" s="10">
        <f t="shared" si="231"/>
        <v>17274.649276928689</v>
      </c>
      <c r="K240" s="46">
        <f t="shared" ref="K240:P240" si="265">K228</f>
        <v>2226.0672043010754</v>
      </c>
      <c r="L240" s="46">
        <f t="shared" si="265"/>
        <v>1023.6263440860215</v>
      </c>
      <c r="M240" s="46">
        <f t="shared" si="265"/>
        <v>950.16532258064512</v>
      </c>
      <c r="N240" s="46">
        <f t="shared" si="265"/>
        <v>3.3051075268817205</v>
      </c>
      <c r="O240" s="46">
        <f t="shared" si="227"/>
        <v>4203.1639784946237</v>
      </c>
      <c r="P240" s="46">
        <f t="shared" si="265"/>
        <v>2831.510502104928</v>
      </c>
      <c r="Q240" s="46">
        <f t="shared" si="257"/>
        <v>7034.6744805995513</v>
      </c>
      <c r="R240" s="10">
        <f t="shared" si="249"/>
        <v>11474.022417730655</v>
      </c>
      <c r="T240" s="65">
        <f t="shared" si="250"/>
        <v>48.72</v>
      </c>
      <c r="U240" s="65">
        <f t="shared" si="236"/>
        <v>23</v>
      </c>
      <c r="V240" s="65">
        <f t="shared" si="236"/>
        <v>34</v>
      </c>
      <c r="W240" s="65">
        <f t="shared" si="236"/>
        <v>38</v>
      </c>
      <c r="X240" s="65">
        <f t="shared" si="258"/>
        <v>39.120199926194871</v>
      </c>
      <c r="Y240" s="65">
        <f>$Y$18/1000*CURVES!K199+$Y$14</f>
        <v>80.603132728494614</v>
      </c>
      <c r="Z240" s="65">
        <f t="shared" si="259"/>
        <v>55.817398952497783</v>
      </c>
      <c r="AA240" s="65">
        <f>CHOOSE(AA$18,CURVES!F199,CURVES!G199)</f>
        <v>38.94708490857748</v>
      </c>
      <c r="AB240" s="65">
        <f t="shared" si="251"/>
        <v>45.359052662783512</v>
      </c>
      <c r="AD240" s="65"/>
      <c r="AH240" s="46">
        <f t="shared" si="252"/>
        <v>1895.2591032026239</v>
      </c>
      <c r="AI240" s="46">
        <f t="shared" si="252"/>
        <v>0</v>
      </c>
      <c r="AJ240" s="46">
        <f t="shared" si="252"/>
        <v>1877.6303324734643</v>
      </c>
      <c r="AK240" s="46">
        <f t="shared" si="252"/>
        <v>570.53181663934993</v>
      </c>
      <c r="AL240" s="46">
        <f t="shared" si="228"/>
        <v>4343.4212523154383</v>
      </c>
      <c r="AM240" s="46">
        <f t="shared" si="234"/>
        <v>2186.8418319892476</v>
      </c>
      <c r="AN240" s="46">
        <f t="shared" si="260"/>
        <v>6530.2630843046863</v>
      </c>
      <c r="AO240" s="10">
        <f t="shared" si="253"/>
        <v>10744.386192624002</v>
      </c>
      <c r="AQ240" s="65">
        <f t="shared" si="254"/>
        <v>43</v>
      </c>
      <c r="AR240" s="65"/>
      <c r="AS240" s="65">
        <f t="shared" si="237"/>
        <v>30</v>
      </c>
      <c r="AT240" s="65">
        <f t="shared" si="237"/>
        <v>38</v>
      </c>
      <c r="AU240" s="65">
        <f t="shared" si="261"/>
        <v>36.723414833221909</v>
      </c>
      <c r="AV240" s="65">
        <f>$Y$18/1000*CURVES!O199+$AV$14</f>
        <v>78.322619288019155</v>
      </c>
      <c r="AW240" s="65">
        <f t="shared" si="262"/>
        <v>50.654075712393862</v>
      </c>
      <c r="AX240" s="65">
        <f>CHOOSE(AX$18,CURVES!B199,CURVES!C199)</f>
        <v>43.455376344086019</v>
      </c>
      <c r="AY240" s="65">
        <f t="shared" si="263"/>
        <v>46.176670419946191</v>
      </c>
    </row>
    <row r="241" spans="1:51">
      <c r="A241" s="75">
        <v>42887</v>
      </c>
      <c r="B241" s="2">
        <f t="shared" si="214"/>
        <v>2017</v>
      </c>
      <c r="C241" s="2">
        <f t="shared" si="255"/>
        <v>6</v>
      </c>
      <c r="D241" s="43">
        <v>6.2233805560513E-2</v>
      </c>
      <c r="E241" s="44">
        <f t="shared" ca="1" si="215"/>
        <v>0.36333035168608963</v>
      </c>
      <c r="F241" s="44"/>
      <c r="G241" s="10"/>
      <c r="H241" s="10">
        <f t="shared" si="231"/>
        <v>20454.367886834607</v>
      </c>
      <c r="I241" s="10">
        <f t="shared" si="231"/>
        <v>19479.349360664815</v>
      </c>
      <c r="K241" s="46">
        <f t="shared" ref="K241:P241" si="266">K229</f>
        <v>2252.1333333333332</v>
      </c>
      <c r="L241" s="46">
        <f t="shared" si="266"/>
        <v>1398.3916666666667</v>
      </c>
      <c r="M241" s="46">
        <f t="shared" si="266"/>
        <v>957.04027777777776</v>
      </c>
      <c r="N241" s="46">
        <f t="shared" si="266"/>
        <v>3.526388888888889</v>
      </c>
      <c r="O241" s="46">
        <f t="shared" si="227"/>
        <v>4611.0916666666662</v>
      </c>
      <c r="P241" s="46">
        <f t="shared" si="266"/>
        <v>3175.7411781346573</v>
      </c>
      <c r="Q241" s="46">
        <f t="shared" si="257"/>
        <v>7786.8328448013235</v>
      </c>
      <c r="R241" s="10">
        <f t="shared" si="249"/>
        <v>12667.535042033283</v>
      </c>
      <c r="T241" s="65">
        <f t="shared" si="250"/>
        <v>48.72</v>
      </c>
      <c r="U241" s="65">
        <f t="shared" si="236"/>
        <v>23</v>
      </c>
      <c r="V241" s="65">
        <f t="shared" si="236"/>
        <v>34</v>
      </c>
      <c r="W241" s="65">
        <f t="shared" si="236"/>
        <v>38</v>
      </c>
      <c r="X241" s="65">
        <f t="shared" si="258"/>
        <v>37.856613829094464</v>
      </c>
      <c r="Y241" s="65">
        <f>$Y$18/1000*CURVES!K200+$Y$14</f>
        <v>80.907632728494633</v>
      </c>
      <c r="Z241" s="65">
        <f t="shared" si="259"/>
        <v>55.414316197234456</v>
      </c>
      <c r="AA241" s="65">
        <f>CHOOSE(AA$18,CURVES!F200,CURVES!G200)</f>
        <v>50.148688027140324</v>
      </c>
      <c r="AB241" s="65">
        <f t="shared" si="251"/>
        <v>52.153275341216712</v>
      </c>
      <c r="AD241" s="65"/>
      <c r="AH241" s="46">
        <f t="shared" si="252"/>
        <v>1881.3705563400365</v>
      </c>
      <c r="AI241" s="46">
        <f t="shared" si="252"/>
        <v>0</v>
      </c>
      <c r="AJ241" s="46">
        <f t="shared" si="252"/>
        <v>1162.1616861734683</v>
      </c>
      <c r="AK241" s="46">
        <f t="shared" si="252"/>
        <v>631.24071210358352</v>
      </c>
      <c r="AL241" s="46">
        <f t="shared" si="228"/>
        <v>3674.7729546170881</v>
      </c>
      <c r="AM241" s="46">
        <f t="shared" si="234"/>
        <v>2754.0461410958906</v>
      </c>
      <c r="AN241" s="46">
        <f t="shared" si="260"/>
        <v>6428.8190957129791</v>
      </c>
      <c r="AO241" s="10">
        <f t="shared" si="253"/>
        <v>13050.530264951836</v>
      </c>
      <c r="AQ241" s="65">
        <f t="shared" si="254"/>
        <v>43</v>
      </c>
      <c r="AR241" s="65"/>
      <c r="AS241" s="65">
        <f t="shared" si="237"/>
        <v>30</v>
      </c>
      <c r="AT241" s="65">
        <f t="shared" si="237"/>
        <v>38</v>
      </c>
      <c r="AU241" s="65">
        <f t="shared" si="261"/>
        <v>38.029813894263803</v>
      </c>
      <c r="AV241" s="65">
        <f>$Y$18/1000*CURVES!O200+$AV$14</f>
        <v>78.627119288019145</v>
      </c>
      <c r="AW241" s="65">
        <f t="shared" si="262"/>
        <v>55.421320887067658</v>
      </c>
      <c r="AX241" s="65">
        <f>CHOOSE(AX$18,CURVES!B200,CURVES!C200)</f>
        <v>48.844444444444449</v>
      </c>
      <c r="AY241" s="65">
        <f t="shared" si="263"/>
        <v>51.015027664737282</v>
      </c>
    </row>
    <row r="242" spans="1:51">
      <c r="A242" s="75">
        <v>42917</v>
      </c>
      <c r="B242" s="2">
        <f t="shared" si="214"/>
        <v>2017</v>
      </c>
      <c r="C242" s="2">
        <f t="shared" si="255"/>
        <v>7</v>
      </c>
      <c r="D242" s="43">
        <v>6.2257520648377002E-2</v>
      </c>
      <c r="E242" s="44">
        <f t="shared" ca="1" si="215"/>
        <v>0.3613073915386637</v>
      </c>
      <c r="F242" s="44"/>
      <c r="G242" s="10"/>
      <c r="H242" s="10">
        <f t="shared" si="231"/>
        <v>20188.310878717482</v>
      </c>
      <c r="I242" s="10">
        <f t="shared" si="231"/>
        <v>18491.565820227799</v>
      </c>
      <c r="K242" s="46">
        <f t="shared" ref="K242:P242" si="267">K230</f>
        <v>2248.4569892473119</v>
      </c>
      <c r="L242" s="46">
        <f t="shared" si="267"/>
        <v>1358.3225806451612</v>
      </c>
      <c r="M242" s="46">
        <f t="shared" si="267"/>
        <v>653.55107526881716</v>
      </c>
      <c r="N242" s="46">
        <f t="shared" si="267"/>
        <v>3.8373655913978495</v>
      </c>
      <c r="O242" s="46">
        <f t="shared" si="227"/>
        <v>4264.1680107526872</v>
      </c>
      <c r="P242" s="46">
        <f t="shared" si="267"/>
        <v>3349.3895623880758</v>
      </c>
      <c r="Q242" s="46">
        <f t="shared" si="257"/>
        <v>7613.5575731407625</v>
      </c>
      <c r="R242" s="10">
        <f t="shared" si="249"/>
        <v>12574.753305576718</v>
      </c>
      <c r="T242" s="65">
        <f t="shared" si="250"/>
        <v>48.72</v>
      </c>
      <c r="U242" s="65">
        <f t="shared" si="236"/>
        <v>23</v>
      </c>
      <c r="V242" s="65">
        <f t="shared" si="236"/>
        <v>34</v>
      </c>
      <c r="W242" s="65">
        <f t="shared" si="236"/>
        <v>38</v>
      </c>
      <c r="X242" s="65">
        <f t="shared" si="258"/>
        <v>38.261344278923424</v>
      </c>
      <c r="Y242" s="65">
        <f>$Y$18/1000*CURVES!K201+$Y$14</f>
        <v>81.222632728494631</v>
      </c>
      <c r="Z242" s="65">
        <f t="shared" si="259"/>
        <v>57.16106228031731</v>
      </c>
      <c r="AA242" s="65">
        <f>CHOOSE(AA$18,CURVES!F201,CURVES!G201)</f>
        <v>60.22594231590918</v>
      </c>
      <c r="AB242" s="65">
        <f t="shared" si="251"/>
        <v>59.070093233440971</v>
      </c>
      <c r="AD242" s="65"/>
      <c r="AH242" s="46">
        <f t="shared" si="252"/>
        <v>1914.3216201186069</v>
      </c>
      <c r="AI242" s="46">
        <f t="shared" si="252"/>
        <v>0</v>
      </c>
      <c r="AJ242" s="46">
        <f t="shared" si="252"/>
        <v>1193.3319743059751</v>
      </c>
      <c r="AK242" s="46">
        <f t="shared" si="252"/>
        <v>610.72305844211053</v>
      </c>
      <c r="AL242" s="46">
        <f t="shared" si="228"/>
        <v>3718.3766528666924</v>
      </c>
      <c r="AM242" s="46">
        <f t="shared" si="234"/>
        <v>2586.7318602150535</v>
      </c>
      <c r="AN242" s="46">
        <f t="shared" si="260"/>
        <v>6305.1085130817464</v>
      </c>
      <c r="AO242" s="10">
        <f t="shared" si="253"/>
        <v>12186.457307146053</v>
      </c>
      <c r="AQ242" s="65">
        <f t="shared" si="254"/>
        <v>43</v>
      </c>
      <c r="AR242" s="65"/>
      <c r="AS242" s="65">
        <f t="shared" si="237"/>
        <v>30</v>
      </c>
      <c r="AT242" s="65">
        <f t="shared" si="237"/>
        <v>38</v>
      </c>
      <c r="AU242" s="65">
        <f t="shared" si="261"/>
        <v>38.006710537547619</v>
      </c>
      <c r="AV242" s="65">
        <f>$Y$18/1000*CURVES!O201+$AV$14</f>
        <v>78.942119288019157</v>
      </c>
      <c r="AW242" s="65">
        <f t="shared" si="262"/>
        <v>54.800858617009538</v>
      </c>
      <c r="AX242" s="65">
        <f>CHOOSE(AX$18,CURVES!B201,CURVES!C201)</f>
        <v>60.036559139784949</v>
      </c>
      <c r="AY242" s="65">
        <f t="shared" si="263"/>
        <v>58.251331200786595</v>
      </c>
    </row>
    <row r="243" spans="1:51">
      <c r="A243" s="75">
        <v>42948</v>
      </c>
      <c r="B243" s="2">
        <f t="shared" si="214"/>
        <v>2017</v>
      </c>
      <c r="C243" s="2">
        <f t="shared" si="255"/>
        <v>8</v>
      </c>
      <c r="D243" s="43">
        <v>6.2282026239364997E-2</v>
      </c>
      <c r="E243" s="44">
        <f t="shared" ca="1" si="215"/>
        <v>0.35928969661847665</v>
      </c>
      <c r="F243" s="44"/>
      <c r="G243" s="10"/>
      <c r="H243" s="10">
        <f t="shared" si="231"/>
        <v>21649.375919688631</v>
      </c>
      <c r="I243" s="10">
        <f t="shared" si="231"/>
        <v>19178.813517762515</v>
      </c>
      <c r="K243" s="46">
        <f t="shared" ref="K243:P243" si="268">K231</f>
        <v>2226.0658602150538</v>
      </c>
      <c r="L243" s="46">
        <f t="shared" si="268"/>
        <v>1361.989247311828</v>
      </c>
      <c r="M243" s="46">
        <f t="shared" si="268"/>
        <v>483.36424731182797</v>
      </c>
      <c r="N243" s="46">
        <f t="shared" si="268"/>
        <v>3.924731182795699</v>
      </c>
      <c r="O243" s="46">
        <f t="shared" si="227"/>
        <v>4075.3440860215055</v>
      </c>
      <c r="P243" s="46">
        <f t="shared" si="268"/>
        <v>3426.252928840011</v>
      </c>
      <c r="Q243" s="46">
        <f t="shared" si="257"/>
        <v>7501.5970148615161</v>
      </c>
      <c r="R243" s="10">
        <f t="shared" si="249"/>
        <v>14147.778904827115</v>
      </c>
      <c r="T243" s="65">
        <f t="shared" si="250"/>
        <v>48.72</v>
      </c>
      <c r="U243" s="65">
        <f t="shared" si="236"/>
        <v>23</v>
      </c>
      <c r="V243" s="65">
        <f t="shared" si="236"/>
        <v>34</v>
      </c>
      <c r="W243" s="65">
        <f t="shared" si="236"/>
        <v>38</v>
      </c>
      <c r="X243" s="65">
        <f t="shared" si="258"/>
        <v>38.368099058856423</v>
      </c>
      <c r="Y243" s="65">
        <f>$Y$18/1000*CURVES!K202+$Y$14</f>
        <v>81.432632728494625</v>
      </c>
      <c r="Z243" s="65">
        <f t="shared" si="259"/>
        <v>58.037242085656437</v>
      </c>
      <c r="AA243" s="65">
        <f>CHOOSE(AA$18,CURVES!F202,CURVES!G202)</f>
        <v>64.488431091718269</v>
      </c>
      <c r="AB243" s="65">
        <f t="shared" si="251"/>
        <v>62.253067801353417</v>
      </c>
      <c r="AD243" s="65"/>
      <c r="AH243" s="46">
        <f t="shared" si="252"/>
        <v>1859.5945026415061</v>
      </c>
      <c r="AI243" s="46">
        <f t="shared" si="252"/>
        <v>0</v>
      </c>
      <c r="AJ243" s="46">
        <f t="shared" si="252"/>
        <v>1584.5088037693729</v>
      </c>
      <c r="AK243" s="46">
        <f t="shared" si="252"/>
        <v>621.50165686237608</v>
      </c>
      <c r="AL243" s="46">
        <f t="shared" si="228"/>
        <v>4065.6049632732547</v>
      </c>
      <c r="AM243" s="46">
        <f t="shared" si="234"/>
        <v>2208.289016129032</v>
      </c>
      <c r="AN243" s="46">
        <f t="shared" si="260"/>
        <v>6273.8939794022863</v>
      </c>
      <c r="AO243" s="10">
        <f t="shared" si="253"/>
        <v>12904.919538360229</v>
      </c>
      <c r="AQ243" s="65">
        <f t="shared" si="254"/>
        <v>43</v>
      </c>
      <c r="AR243" s="65"/>
      <c r="AS243" s="65">
        <f t="shared" si="237"/>
        <v>30</v>
      </c>
      <c r="AT243" s="65">
        <f t="shared" si="237"/>
        <v>38</v>
      </c>
      <c r="AU243" s="65">
        <f t="shared" si="261"/>
        <v>37.169103258318607</v>
      </c>
      <c r="AV243" s="65">
        <f>$Y$18/1000*CURVES!O202+$AV$14</f>
        <v>79.152119288019151</v>
      </c>
      <c r="AW243" s="65">
        <f t="shared" si="262"/>
        <v>51.946310757637775</v>
      </c>
      <c r="AX243" s="65">
        <f>CHOOSE(AX$18,CURVES!B202,CURVES!C202)</f>
        <v>70.31774193548388</v>
      </c>
      <c r="AY243" s="65">
        <f t="shared" si="263"/>
        <v>64.307963939939825</v>
      </c>
    </row>
    <row r="244" spans="1:51">
      <c r="A244" s="75">
        <v>42979</v>
      </c>
      <c r="B244" s="2">
        <f t="shared" si="214"/>
        <v>2017</v>
      </c>
      <c r="C244" s="2">
        <f t="shared" si="255"/>
        <v>9</v>
      </c>
      <c r="D244" s="43">
        <v>6.2306531830551001E-2</v>
      </c>
      <c r="E244" s="44">
        <f t="shared" ca="1" si="215"/>
        <v>0.35734185196111146</v>
      </c>
      <c r="F244" s="44"/>
      <c r="G244" s="10"/>
      <c r="H244" s="10">
        <f t="shared" ref="H244:I263" si="269">(1+$I$17)*H232</f>
        <v>19610.256916259721</v>
      </c>
      <c r="I244" s="10">
        <f t="shared" si="269"/>
        <v>18065.210965000195</v>
      </c>
      <c r="K244" s="46">
        <f t="shared" ref="K244:P244" si="270">K232</f>
        <v>2263.6333333333332</v>
      </c>
      <c r="L244" s="46">
        <f t="shared" si="270"/>
        <v>1380.7361111111111</v>
      </c>
      <c r="M244" s="46">
        <f t="shared" si="270"/>
        <v>542.60277777777776</v>
      </c>
      <c r="N244" s="46">
        <f t="shared" si="270"/>
        <v>3.4194444444444443</v>
      </c>
      <c r="O244" s="46">
        <f t="shared" si="227"/>
        <v>4190.3916666666673</v>
      </c>
      <c r="P244" s="46">
        <f t="shared" si="270"/>
        <v>3348.1339323547272</v>
      </c>
      <c r="Q244" s="46">
        <f t="shared" si="257"/>
        <v>7538.5255990213946</v>
      </c>
      <c r="R244" s="10">
        <f t="shared" si="249"/>
        <v>12071.731317238327</v>
      </c>
      <c r="T244" s="65">
        <f t="shared" si="250"/>
        <v>48.72</v>
      </c>
      <c r="U244" s="65">
        <f t="shared" si="236"/>
        <v>23</v>
      </c>
      <c r="V244" s="65">
        <f t="shared" si="236"/>
        <v>34</v>
      </c>
      <c r="W244" s="65">
        <f t="shared" si="236"/>
        <v>38</v>
      </c>
      <c r="X244" s="65">
        <f t="shared" si="258"/>
        <v>38.330445615995849</v>
      </c>
      <c r="Y244" s="65">
        <f>$Y$18/1000*CURVES!K203+$Y$14</f>
        <v>81.653132728494626</v>
      </c>
      <c r="Z244" s="65">
        <f t="shared" si="259"/>
        <v>57.57162969859332</v>
      </c>
      <c r="AA244" s="65">
        <f>CHOOSE(AA$18,CURVES!F203,CURVES!G203)</f>
        <v>58.408481434676887</v>
      </c>
      <c r="AB244" s="65">
        <f t="shared" si="251"/>
        <v>58.086780996891157</v>
      </c>
      <c r="AD244" s="65"/>
      <c r="AH244" s="46">
        <f t="shared" si="252"/>
        <v>1890.9773416389726</v>
      </c>
      <c r="AI244" s="46">
        <f t="shared" si="252"/>
        <v>0</v>
      </c>
      <c r="AJ244" s="46">
        <f t="shared" si="252"/>
        <v>765.82060543821262</v>
      </c>
      <c r="AK244" s="46">
        <f t="shared" si="252"/>
        <v>570.92254509204622</v>
      </c>
      <c r="AL244" s="46">
        <f t="shared" si="228"/>
        <v>3227.7204921692314</v>
      </c>
      <c r="AM244" s="46">
        <f t="shared" si="234"/>
        <v>2371.5769315068492</v>
      </c>
      <c r="AN244" s="46">
        <f t="shared" si="260"/>
        <v>5599.2974236760801</v>
      </c>
      <c r="AO244" s="10">
        <f t="shared" si="253"/>
        <v>12465.913541324113</v>
      </c>
      <c r="AQ244" s="65">
        <f t="shared" si="254"/>
        <v>43</v>
      </c>
      <c r="AR244" s="65"/>
      <c r="AS244" s="65">
        <f t="shared" si="237"/>
        <v>30</v>
      </c>
      <c r="AT244" s="65">
        <f t="shared" si="237"/>
        <v>38</v>
      </c>
      <c r="AU244" s="65">
        <f t="shared" si="261"/>
        <v>39.031167931908605</v>
      </c>
      <c r="AV244" s="65">
        <f>$Y$18/1000*CURVES!O203+$AV$14</f>
        <v>79.372619288019152</v>
      </c>
      <c r="AW244" s="65">
        <f t="shared" si="262"/>
        <v>56.117750083289636</v>
      </c>
      <c r="AX244" s="65">
        <f>CHOOSE(AX$18,CURVES!B203,CURVES!C203)</f>
        <v>61.43888888888889</v>
      </c>
      <c r="AY244" s="65">
        <f t="shared" si="263"/>
        <v>59.789606250399949</v>
      </c>
    </row>
    <row r="245" spans="1:51">
      <c r="A245" s="75">
        <v>43009</v>
      </c>
      <c r="B245" s="2">
        <f t="shared" si="214"/>
        <v>2017</v>
      </c>
      <c r="C245" s="2">
        <f t="shared" si="255"/>
        <v>10</v>
      </c>
      <c r="D245" s="43">
        <v>6.2330246918987003E-2</v>
      </c>
      <c r="E245" s="44">
        <f t="shared" ca="1" si="215"/>
        <v>0.35534805383196016</v>
      </c>
      <c r="F245" s="44"/>
      <c r="G245" s="10"/>
      <c r="H245" s="10">
        <f t="shared" si="269"/>
        <v>18217.908295161131</v>
      </c>
      <c r="I245" s="10">
        <f t="shared" si="269"/>
        <v>15636.743212911228</v>
      </c>
      <c r="K245" s="46">
        <f t="shared" ref="K245:P245" si="271">K233</f>
        <v>2069.2916666666665</v>
      </c>
      <c r="L245" s="46">
        <f t="shared" si="271"/>
        <v>1227.5241935483871</v>
      </c>
      <c r="M245" s="46">
        <f t="shared" si="271"/>
        <v>369.34005376344084</v>
      </c>
      <c r="N245" s="46">
        <f t="shared" si="271"/>
        <v>3.278225806451613</v>
      </c>
      <c r="O245" s="46">
        <f t="shared" si="227"/>
        <v>3669.4341397849457</v>
      </c>
      <c r="P245" s="46">
        <f t="shared" si="271"/>
        <v>3171.075494984625</v>
      </c>
      <c r="Q245" s="46">
        <f t="shared" si="257"/>
        <v>6840.5096347695708</v>
      </c>
      <c r="R245" s="10">
        <f t="shared" si="249"/>
        <v>11377.39866039156</v>
      </c>
      <c r="T245" s="65">
        <f t="shared" si="250"/>
        <v>48.72</v>
      </c>
      <c r="U245" s="65">
        <f t="shared" si="236"/>
        <v>23</v>
      </c>
      <c r="V245" s="65">
        <f t="shared" si="236"/>
        <v>34</v>
      </c>
      <c r="W245" s="65">
        <f t="shared" si="236"/>
        <v>38</v>
      </c>
      <c r="X245" s="65">
        <f t="shared" si="258"/>
        <v>38.624778497461044</v>
      </c>
      <c r="Y245" s="65">
        <f>$Y$18/1000*CURVES!K204+$Y$14</f>
        <v>81.968132728494624</v>
      </c>
      <c r="Z245" s="65">
        <f t="shared" si="259"/>
        <v>58.71758675459008</v>
      </c>
      <c r="AA245" s="65">
        <f>CHOOSE(AA$18,CURVES!F204,CURVES!G204)</f>
        <v>47.393080969173454</v>
      </c>
      <c r="AB245" s="65">
        <f t="shared" si="251"/>
        <v>51.645237126679291</v>
      </c>
      <c r="AD245" s="65"/>
      <c r="AH245" s="46">
        <f t="shared" si="252"/>
        <v>1913.8399491890309</v>
      </c>
      <c r="AI245" s="46">
        <f t="shared" si="252"/>
        <v>0</v>
      </c>
      <c r="AJ245" s="46">
        <f t="shared" si="252"/>
        <v>1075.3801160883429</v>
      </c>
      <c r="AK245" s="46">
        <f t="shared" si="252"/>
        <v>576.38556050292607</v>
      </c>
      <c r="AL245" s="46">
        <f t="shared" si="228"/>
        <v>3565.6056257802998</v>
      </c>
      <c r="AM245" s="46">
        <f t="shared" si="234"/>
        <v>2259.7132500000002</v>
      </c>
      <c r="AN245" s="46">
        <f t="shared" si="260"/>
        <v>5825.3188757803</v>
      </c>
      <c r="AO245" s="10">
        <f t="shared" si="253"/>
        <v>9811.4243371309276</v>
      </c>
      <c r="AQ245" s="65">
        <f t="shared" si="254"/>
        <v>43</v>
      </c>
      <c r="AR245" s="65"/>
      <c r="AS245" s="65">
        <f t="shared" si="237"/>
        <v>30</v>
      </c>
      <c r="AT245" s="65">
        <f t="shared" si="237"/>
        <v>38</v>
      </c>
      <c r="AU245" s="65">
        <f t="shared" si="261"/>
        <v>38.270966258930272</v>
      </c>
      <c r="AV245" s="65">
        <f>$Y$18/1000*CURVES!O204+$AV$14</f>
        <v>79.68761928801915</v>
      </c>
      <c r="AW245" s="65">
        <f t="shared" si="262"/>
        <v>54.336998285022318</v>
      </c>
      <c r="AX245" s="65">
        <f>CHOOSE(AX$18,CURVES!B204,CURVES!C204)</f>
        <v>47.702150537634409</v>
      </c>
      <c r="AY245" s="65">
        <f t="shared" si="263"/>
        <v>50.173899500607334</v>
      </c>
    </row>
    <row r="246" spans="1:51">
      <c r="A246" s="75">
        <v>43040</v>
      </c>
      <c r="B246" s="2">
        <f t="shared" si="214"/>
        <v>2017</v>
      </c>
      <c r="C246" s="2">
        <f t="shared" si="255"/>
        <v>11</v>
      </c>
      <c r="D246" s="43">
        <v>6.2354752510565999E-2</v>
      </c>
      <c r="E246" s="44">
        <f t="shared" ca="1" si="215"/>
        <v>0.35341882141583331</v>
      </c>
      <c r="F246" s="44"/>
      <c r="G246" s="10"/>
      <c r="H246" s="10">
        <f t="shared" si="269"/>
        <v>17820.712962885857</v>
      </c>
      <c r="I246" s="10">
        <f t="shared" si="269"/>
        <v>15874.095223472566</v>
      </c>
      <c r="K246" s="46">
        <f t="shared" ref="K246:P246" si="272">K234</f>
        <v>2201.1583333333333</v>
      </c>
      <c r="L246" s="46">
        <f t="shared" si="272"/>
        <v>1270.0277777777778</v>
      </c>
      <c r="M246" s="46">
        <f t="shared" si="272"/>
        <v>241.3111111111111</v>
      </c>
      <c r="N246" s="46">
        <f t="shared" si="272"/>
        <v>3.1194444444444445</v>
      </c>
      <c r="O246" s="46">
        <f t="shared" si="227"/>
        <v>3715.6166666666668</v>
      </c>
      <c r="P246" s="46">
        <f t="shared" si="272"/>
        <v>3029.0331582980816</v>
      </c>
      <c r="Q246" s="46">
        <f t="shared" si="257"/>
        <v>6744.6498249647484</v>
      </c>
      <c r="R246" s="10">
        <f t="shared" si="249"/>
        <v>11076.063137921108</v>
      </c>
      <c r="T246" s="65">
        <f t="shared" si="250"/>
        <v>48.72</v>
      </c>
      <c r="U246" s="65">
        <f t="shared" ref="U246:W265" si="273">U$18</f>
        <v>23</v>
      </c>
      <c r="V246" s="65">
        <f t="shared" si="273"/>
        <v>34</v>
      </c>
      <c r="W246" s="65">
        <f t="shared" si="273"/>
        <v>38</v>
      </c>
      <c r="X246" s="65">
        <f t="shared" si="258"/>
        <v>38.963704424717896</v>
      </c>
      <c r="Y246" s="65">
        <f>$Y$18/1000*CURVES!K205+$Y$14</f>
        <v>81.600632728494631</v>
      </c>
      <c r="Z246" s="65">
        <f t="shared" si="259"/>
        <v>58.112017969786585</v>
      </c>
      <c r="AA246" s="65">
        <f>CHOOSE(AA$18,CURVES!F205,CURVES!G205)</f>
        <v>39.945994806272395</v>
      </c>
      <c r="AB246" s="65">
        <f t="shared" si="251"/>
        <v>46.821335046883078</v>
      </c>
      <c r="AD246" s="65"/>
      <c r="AH246" s="46">
        <f t="shared" si="252"/>
        <v>1838.7874362867092</v>
      </c>
      <c r="AI246" s="46">
        <f t="shared" si="252"/>
        <v>0</v>
      </c>
      <c r="AJ246" s="46">
        <f t="shared" si="252"/>
        <v>1347.8791847211178</v>
      </c>
      <c r="AK246" s="46">
        <f t="shared" si="252"/>
        <v>499.43911251442188</v>
      </c>
      <c r="AL246" s="46">
        <f t="shared" si="228"/>
        <v>3686.105733522249</v>
      </c>
      <c r="AM246" s="46">
        <f t="shared" si="234"/>
        <v>2451.2376410958905</v>
      </c>
      <c r="AN246" s="46">
        <f t="shared" si="260"/>
        <v>6137.3433746181399</v>
      </c>
      <c r="AO246" s="10">
        <f t="shared" si="253"/>
        <v>9736.7518488544265</v>
      </c>
      <c r="AQ246" s="65">
        <f t="shared" si="254"/>
        <v>43</v>
      </c>
      <c r="AR246" s="65"/>
      <c r="AS246" s="65">
        <f t="shared" ref="AS246:AT265" si="274">AS$18</f>
        <v>30</v>
      </c>
      <c r="AT246" s="65">
        <f t="shared" si="274"/>
        <v>38</v>
      </c>
      <c r="AU246" s="65">
        <f t="shared" si="261"/>
        <v>37.568895628282228</v>
      </c>
      <c r="AV246" s="65">
        <f>$Y$18/1000*CURVES!O205+$AV$14</f>
        <v>81.157619288019148</v>
      </c>
      <c r="AW246" s="65">
        <f t="shared" si="262"/>
        <v>54.978108970320797</v>
      </c>
      <c r="AX246" s="65">
        <f>CHOOSE(AX$18,CURVES!B205,CURVES!C205)</f>
        <v>46.116666666666667</v>
      </c>
      <c r="AY246" s="65">
        <f t="shared" si="263"/>
        <v>49.542733692614327</v>
      </c>
    </row>
    <row r="247" spans="1:51">
      <c r="A247" s="75">
        <v>43070</v>
      </c>
      <c r="B247" s="2">
        <f t="shared" si="214"/>
        <v>2017</v>
      </c>
      <c r="C247" s="2">
        <f t="shared" si="255"/>
        <v>12</v>
      </c>
      <c r="D247" s="43">
        <v>6.2378467599381003E-2</v>
      </c>
      <c r="E247" s="44">
        <f t="shared" ca="1" si="215"/>
        <v>0.35144417039509318</v>
      </c>
      <c r="F247" s="44"/>
      <c r="G247" s="10"/>
      <c r="H247" s="10">
        <f t="shared" si="269"/>
        <v>17692.394623808777</v>
      </c>
      <c r="I247" s="10">
        <f t="shared" si="269"/>
        <v>15838.032044200037</v>
      </c>
      <c r="K247" s="46">
        <f t="shared" ref="K247:P247" si="275">K235</f>
        <v>2256.4126344086021</v>
      </c>
      <c r="L247" s="46">
        <f t="shared" si="275"/>
        <v>1157.2150537634409</v>
      </c>
      <c r="M247" s="46">
        <f t="shared" si="275"/>
        <v>239.86021505376345</v>
      </c>
      <c r="N247" s="46">
        <f t="shared" si="275"/>
        <v>2.9690860215053765</v>
      </c>
      <c r="O247" s="46">
        <f t="shared" si="227"/>
        <v>3656.4569892473123</v>
      </c>
      <c r="P247" s="46">
        <f t="shared" si="275"/>
        <v>2977.5968497309718</v>
      </c>
      <c r="Q247" s="46">
        <f t="shared" si="257"/>
        <v>6634.0538389782841</v>
      </c>
      <c r="R247" s="10">
        <f t="shared" si="249"/>
        <v>11058.340784830494</v>
      </c>
      <c r="T247" s="65">
        <f t="shared" si="250"/>
        <v>48.72</v>
      </c>
      <c r="U247" s="65">
        <f t="shared" si="273"/>
        <v>23</v>
      </c>
      <c r="V247" s="65">
        <f t="shared" si="273"/>
        <v>34</v>
      </c>
      <c r="W247" s="65">
        <f t="shared" si="273"/>
        <v>38</v>
      </c>
      <c r="X247" s="65">
        <f t="shared" si="258"/>
        <v>39.60567368670241</v>
      </c>
      <c r="Y247" s="65">
        <f>$Y$18/1000*CURVES!K206+$Y$14</f>
        <v>82.913132728494631</v>
      </c>
      <c r="Z247" s="65">
        <f t="shared" si="259"/>
        <v>59.04358551898769</v>
      </c>
      <c r="AA247" s="65">
        <f>CHOOSE(AA$18,CURVES!F206,CURVES!G206)</f>
        <v>39.448987785351306</v>
      </c>
      <c r="AB247" s="65">
        <f t="shared" si="251"/>
        <v>46.796303910842596</v>
      </c>
      <c r="AD247" s="65"/>
      <c r="AH247" s="46">
        <f t="shared" si="252"/>
        <v>1921.095004536046</v>
      </c>
      <c r="AI247" s="46">
        <f t="shared" si="252"/>
        <v>0</v>
      </c>
      <c r="AJ247" s="46">
        <f t="shared" si="252"/>
        <v>1326.4786927345147</v>
      </c>
      <c r="AK247" s="46">
        <f t="shared" si="252"/>
        <v>519.61972313456249</v>
      </c>
      <c r="AL247" s="46">
        <f t="shared" si="228"/>
        <v>3767.1934204051231</v>
      </c>
      <c r="AM247" s="46">
        <f t="shared" si="234"/>
        <v>2024.2479112903225</v>
      </c>
      <c r="AN247" s="46">
        <f t="shared" si="260"/>
        <v>5791.4413316954451</v>
      </c>
      <c r="AO247" s="10">
        <f t="shared" si="253"/>
        <v>10046.590712504592</v>
      </c>
      <c r="AQ247" s="65">
        <f t="shared" si="254"/>
        <v>43</v>
      </c>
      <c r="AR247" s="65"/>
      <c r="AS247" s="65">
        <f t="shared" si="274"/>
        <v>30</v>
      </c>
      <c r="AT247" s="65">
        <f t="shared" si="274"/>
        <v>38</v>
      </c>
      <c r="AU247" s="65">
        <f t="shared" si="261"/>
        <v>37.732863591833393</v>
      </c>
      <c r="AV247" s="65">
        <f>$Y$18/1000*CURVES!O206+$AV$14</f>
        <v>82.470119288019148</v>
      </c>
      <c r="AW247" s="65">
        <f t="shared" si="262"/>
        <v>53.36960947480582</v>
      </c>
      <c r="AX247" s="65">
        <f>CHOOSE(AX$18,CURVES!B206,CURVES!C206)</f>
        <v>44.990322580645156</v>
      </c>
      <c r="AY247" s="65">
        <f t="shared" si="263"/>
        <v>48.054348989579424</v>
      </c>
    </row>
    <row r="248" spans="1:51">
      <c r="A248" s="75">
        <v>43101</v>
      </c>
      <c r="B248" s="2">
        <f t="shared" si="214"/>
        <v>2018</v>
      </c>
      <c r="C248" s="2">
        <f t="shared" si="255"/>
        <v>1</v>
      </c>
      <c r="D248" s="43">
        <v>6.2402973191351997E-2</v>
      </c>
      <c r="E248" s="44">
        <f t="shared" ca="1" si="215"/>
        <v>0.3494746060637029</v>
      </c>
      <c r="F248" s="44"/>
      <c r="G248" s="10"/>
      <c r="H248" s="10">
        <f t="shared" si="269"/>
        <v>18017.474430855709</v>
      </c>
      <c r="I248" s="10">
        <f t="shared" si="269"/>
        <v>17127.856192982574</v>
      </c>
      <c r="K248" s="46">
        <f t="shared" ref="K248:P248" si="276">K236</f>
        <v>2185.9180107526881</v>
      </c>
      <c r="L248" s="46">
        <f t="shared" si="276"/>
        <v>1282.3306451612902</v>
      </c>
      <c r="M248" s="46">
        <f t="shared" si="276"/>
        <v>142.8521505376344</v>
      </c>
      <c r="N248" s="46">
        <f t="shared" si="276"/>
        <v>3.168010752688172</v>
      </c>
      <c r="O248" s="46">
        <f t="shared" si="227"/>
        <v>3614.2688172043008</v>
      </c>
      <c r="P248" s="46">
        <f t="shared" si="276"/>
        <v>2792.6655547379</v>
      </c>
      <c r="Q248" s="46">
        <f t="shared" si="257"/>
        <v>6406.9343719422013</v>
      </c>
      <c r="R248" s="10">
        <f t="shared" si="249"/>
        <v>11610.540058913508</v>
      </c>
      <c r="T248" s="65">
        <f t="shared" si="250"/>
        <v>48.72</v>
      </c>
      <c r="U248" s="65">
        <f t="shared" si="273"/>
        <v>23</v>
      </c>
      <c r="V248" s="65">
        <f t="shared" si="273"/>
        <v>34</v>
      </c>
      <c r="W248" s="65">
        <f t="shared" si="273"/>
        <v>38</v>
      </c>
      <c r="X248" s="65">
        <f t="shared" si="258"/>
        <v>39.003431946853418</v>
      </c>
      <c r="Y248" s="65">
        <f>$Y$18/1000*CURVES!K207+$Y$14</f>
        <v>84.687632728494634</v>
      </c>
      <c r="Z248" s="65">
        <f t="shared" si="259"/>
        <v>58.916339823252464</v>
      </c>
      <c r="AA248" s="65">
        <f>CHOOSE(AA$18,CURVES!F207,CURVES!G207)</f>
        <v>41.153314016316536</v>
      </c>
      <c r="AB248" s="65">
        <f t="shared" si="251"/>
        <v>47.469767580821419</v>
      </c>
      <c r="AD248" s="65"/>
      <c r="AH248" s="46">
        <f t="shared" si="252"/>
        <v>1826.0560878589888</v>
      </c>
      <c r="AI248" s="46">
        <f t="shared" si="252"/>
        <v>0</v>
      </c>
      <c r="AJ248" s="46">
        <f t="shared" si="252"/>
        <v>1744.0893186443859</v>
      </c>
      <c r="AK248" s="46">
        <f t="shared" si="252"/>
        <v>538.87289280137145</v>
      </c>
      <c r="AL248" s="46">
        <f t="shared" si="228"/>
        <v>4109.0182993047465</v>
      </c>
      <c r="AM248" s="46">
        <f t="shared" si="234"/>
        <v>2445.3687016129034</v>
      </c>
      <c r="AN248" s="46">
        <f t="shared" si="260"/>
        <v>6554.3870009176499</v>
      </c>
      <c r="AO248" s="10">
        <f t="shared" si="253"/>
        <v>10573.469192064924</v>
      </c>
      <c r="AQ248" s="65">
        <f t="shared" si="254"/>
        <v>43</v>
      </c>
      <c r="AR248" s="65"/>
      <c r="AS248" s="65">
        <f t="shared" si="274"/>
        <v>30</v>
      </c>
      <c r="AT248" s="65">
        <f t="shared" si="274"/>
        <v>38</v>
      </c>
      <c r="AU248" s="65">
        <f t="shared" si="261"/>
        <v>36.826378040059808</v>
      </c>
      <c r="AV248" s="65">
        <f>$Y$18/1000*CURVES!O207+$AV$14</f>
        <v>84.244619288019152</v>
      </c>
      <c r="AW248" s="65">
        <f t="shared" si="262"/>
        <v>54.517595085537202</v>
      </c>
      <c r="AX248" s="65">
        <f>CHOOSE(AX$18,CURVES!B207,CURVES!C207)</f>
        <v>48.832258064516125</v>
      </c>
      <c r="AY248" s="65">
        <f t="shared" si="263"/>
        <v>51.007889307945398</v>
      </c>
    </row>
    <row r="249" spans="1:51">
      <c r="A249" s="75">
        <v>43132</v>
      </c>
      <c r="B249" s="2">
        <f t="shared" si="214"/>
        <v>2018</v>
      </c>
      <c r="C249" s="2">
        <f t="shared" si="255"/>
        <v>2</v>
      </c>
      <c r="D249" s="43">
        <v>6.2427478783522998E-2</v>
      </c>
      <c r="E249" s="44">
        <f t="shared" ca="1" si="215"/>
        <v>0.34769018792372036</v>
      </c>
      <c r="F249" s="44"/>
      <c r="G249" s="10"/>
      <c r="H249" s="10">
        <f t="shared" si="269"/>
        <v>18065.937869686168</v>
      </c>
      <c r="I249" s="10">
        <f t="shared" si="269"/>
        <v>17105.028810030388</v>
      </c>
      <c r="K249" s="46">
        <f t="shared" ref="K249:P249" si="277">K237</f>
        <v>2261.8764367816093</v>
      </c>
      <c r="L249" s="46">
        <f t="shared" si="277"/>
        <v>1335.9798850574712</v>
      </c>
      <c r="M249" s="46">
        <f t="shared" si="277"/>
        <v>236.0028735632184</v>
      </c>
      <c r="N249" s="46">
        <f t="shared" si="277"/>
        <v>3.8491379310344827</v>
      </c>
      <c r="O249" s="46">
        <f t="shared" si="227"/>
        <v>3837.7083333333335</v>
      </c>
      <c r="P249" s="46">
        <f t="shared" si="277"/>
        <v>3011.7717013676738</v>
      </c>
      <c r="Q249" s="46">
        <f t="shared" si="257"/>
        <v>6849.4800347010078</v>
      </c>
      <c r="R249" s="10">
        <f t="shared" si="249"/>
        <v>11216.45783498516</v>
      </c>
      <c r="T249" s="65">
        <f t="shared" si="250"/>
        <v>48.72</v>
      </c>
      <c r="U249" s="65">
        <f t="shared" si="273"/>
        <v>23</v>
      </c>
      <c r="V249" s="65">
        <f t="shared" si="273"/>
        <v>34</v>
      </c>
      <c r="W249" s="65">
        <f t="shared" si="273"/>
        <v>38</v>
      </c>
      <c r="X249" s="65">
        <f t="shared" si="258"/>
        <v>38.850404811599958</v>
      </c>
      <c r="Y249" s="65">
        <f>$Y$18/1000*CURVES!K208+$Y$14</f>
        <v>83.679632728494624</v>
      </c>
      <c r="Z249" s="65">
        <f t="shared" si="259"/>
        <v>58.56217845722658</v>
      </c>
      <c r="AA249" s="65">
        <f>CHOOSE(AA$18,CURVES!F208,CURVES!G208)</f>
        <v>41.128267147399015</v>
      </c>
      <c r="AB249" s="65">
        <f t="shared" si="251"/>
        <v>47.738122019300349</v>
      </c>
      <c r="AD249" s="65"/>
      <c r="AH249" s="46">
        <f t="shared" si="252"/>
        <v>1925.7468502510062</v>
      </c>
      <c r="AI249" s="46">
        <f t="shared" si="252"/>
        <v>0</v>
      </c>
      <c r="AJ249" s="46">
        <f t="shared" si="252"/>
        <v>2201.9273871825426</v>
      </c>
      <c r="AK249" s="46">
        <f t="shared" si="252"/>
        <v>548.47547775416388</v>
      </c>
      <c r="AL249" s="46">
        <f t="shared" si="228"/>
        <v>4676.1497151877129</v>
      </c>
      <c r="AM249" s="46">
        <f t="shared" si="234"/>
        <v>2161.5456443452381</v>
      </c>
      <c r="AN249" s="46">
        <f t="shared" si="260"/>
        <v>6837.6953595329505</v>
      </c>
      <c r="AO249" s="10">
        <f t="shared" si="253"/>
        <v>10267.333450497437</v>
      </c>
      <c r="AQ249" s="65">
        <f t="shared" si="254"/>
        <v>43</v>
      </c>
      <c r="AR249" s="65"/>
      <c r="AS249" s="65">
        <f t="shared" si="274"/>
        <v>30</v>
      </c>
      <c r="AT249" s="65">
        <f t="shared" si="274"/>
        <v>38</v>
      </c>
      <c r="AU249" s="65">
        <f t="shared" si="261"/>
        <v>36.29203825098557</v>
      </c>
      <c r="AV249" s="65">
        <f>$Y$18/1000*CURVES!O208+$AV$14</f>
        <v>83.236619288019156</v>
      </c>
      <c r="AW249" s="65">
        <f t="shared" si="262"/>
        <v>51.132251119600873</v>
      </c>
      <c r="AX249" s="65">
        <f>CHOOSE(AX$18,CURVES!B208,CURVES!C208)</f>
        <v>47.535714285714285</v>
      </c>
      <c r="AY249" s="65">
        <f t="shared" si="263"/>
        <v>48.973421494078345</v>
      </c>
    </row>
    <row r="250" spans="1:51">
      <c r="A250" s="75">
        <v>43160</v>
      </c>
      <c r="B250" s="2">
        <f t="shared" si="214"/>
        <v>2018</v>
      </c>
      <c r="C250" s="2">
        <f t="shared" si="255"/>
        <v>3</v>
      </c>
      <c r="D250" s="43">
        <v>6.2449612866946003E-2</v>
      </c>
      <c r="E250" s="44">
        <f t="shared" ca="1" si="215"/>
        <v>0.34575267503175811</v>
      </c>
      <c r="F250" s="44"/>
      <c r="G250" s="10"/>
      <c r="H250" s="10">
        <f t="shared" si="269"/>
        <v>17961.351202307269</v>
      </c>
      <c r="I250" s="10">
        <f t="shared" si="269"/>
        <v>16721.02648997771</v>
      </c>
      <c r="K250" s="46">
        <f t="shared" ref="K250:P250" si="278">K238</f>
        <v>2263.9462365591398</v>
      </c>
      <c r="L250" s="46">
        <f t="shared" si="278"/>
        <v>1258.630376344086</v>
      </c>
      <c r="M250" s="46">
        <f t="shared" si="278"/>
        <v>620.64650537634407</v>
      </c>
      <c r="N250" s="46">
        <f t="shared" si="278"/>
        <v>2.581989247311828</v>
      </c>
      <c r="O250" s="46">
        <f t="shared" si="227"/>
        <v>4145.8051075268813</v>
      </c>
      <c r="P250" s="46">
        <f t="shared" si="278"/>
        <v>2834.3973290285558</v>
      </c>
      <c r="Q250" s="46">
        <f t="shared" si="257"/>
        <v>6980.2024365554371</v>
      </c>
      <c r="R250" s="10">
        <f t="shared" si="249"/>
        <v>10981.148765751832</v>
      </c>
      <c r="T250" s="65">
        <f t="shared" si="250"/>
        <v>48.72</v>
      </c>
      <c r="U250" s="65">
        <f t="shared" si="273"/>
        <v>23</v>
      </c>
      <c r="V250" s="65">
        <f t="shared" si="273"/>
        <v>34</v>
      </c>
      <c r="W250" s="65">
        <f t="shared" si="273"/>
        <v>38</v>
      </c>
      <c r="X250" s="65">
        <f t="shared" si="258"/>
        <v>38.701302138870133</v>
      </c>
      <c r="Y250" s="65">
        <f>$Y$18/1000*CURVES!K209+$Y$14</f>
        <v>82.104632728494636</v>
      </c>
      <c r="Z250" s="65">
        <f t="shared" si="259"/>
        <v>56.325760084374025</v>
      </c>
      <c r="AA250" s="65">
        <f>CHOOSE(AA$18,CURVES!F209,CURVES!G209)</f>
        <v>40.822189550831716</v>
      </c>
      <c r="AB250" s="65">
        <f t="shared" si="251"/>
        <v>46.847240761880897</v>
      </c>
      <c r="AD250" s="65"/>
      <c r="AH250" s="46">
        <f t="shared" si="252"/>
        <v>1891.2387324311178</v>
      </c>
      <c r="AI250" s="46">
        <f t="shared" si="252"/>
        <v>0</v>
      </c>
      <c r="AJ250" s="46">
        <f t="shared" si="252"/>
        <v>1966.5504926356311</v>
      </c>
      <c r="AK250" s="46">
        <f t="shared" si="252"/>
        <v>526.07330501492243</v>
      </c>
      <c r="AL250" s="46">
        <f t="shared" si="228"/>
        <v>4383.8625300816711</v>
      </c>
      <c r="AM250" s="46">
        <f t="shared" si="234"/>
        <v>2044.2222728494623</v>
      </c>
      <c r="AN250" s="46">
        <f t="shared" si="260"/>
        <v>6428.0848029311337</v>
      </c>
      <c r="AO250" s="10">
        <f t="shared" si="253"/>
        <v>10292.941687046577</v>
      </c>
      <c r="AQ250" s="65">
        <f t="shared" si="254"/>
        <v>43</v>
      </c>
      <c r="AR250" s="65"/>
      <c r="AS250" s="65">
        <f t="shared" si="274"/>
        <v>30</v>
      </c>
      <c r="AT250" s="65">
        <f t="shared" si="274"/>
        <v>38</v>
      </c>
      <c r="AU250" s="65">
        <f t="shared" si="261"/>
        <v>36.56833779894724</v>
      </c>
      <c r="AV250" s="65">
        <f>$Y$18/1000*CURVES!O209+$AV$14</f>
        <v>81.661619288019153</v>
      </c>
      <c r="AW250" s="65">
        <f t="shared" si="262"/>
        <v>50.908641824463174</v>
      </c>
      <c r="AX250" s="65">
        <f>CHOOSE(AX$18,CURVES!B209,CURVES!C209)</f>
        <v>45.585483870967749</v>
      </c>
      <c r="AY250" s="65">
        <f t="shared" si="263"/>
        <v>47.631872037685596</v>
      </c>
    </row>
    <row r="251" spans="1:51">
      <c r="A251" s="75">
        <v>43191</v>
      </c>
      <c r="B251" s="2">
        <f t="shared" si="214"/>
        <v>2018</v>
      </c>
      <c r="C251" s="2">
        <f t="shared" si="255"/>
        <v>4</v>
      </c>
      <c r="D251" s="43">
        <v>6.2474118459495999E-2</v>
      </c>
      <c r="E251" s="44">
        <f t="shared" ca="1" si="215"/>
        <v>0.34386889756669209</v>
      </c>
      <c r="F251" s="44"/>
      <c r="G251" s="10"/>
      <c r="H251" s="10">
        <f t="shared" si="269"/>
        <v>18041.051334743279</v>
      </c>
      <c r="I251" s="10">
        <f t="shared" si="269"/>
        <v>16334.717302051449</v>
      </c>
      <c r="K251" s="46">
        <f t="shared" ref="K251:P251" si="279">K239</f>
        <v>2319.8402777777778</v>
      </c>
      <c r="L251" s="46">
        <f t="shared" si="279"/>
        <v>1179.1659722222223</v>
      </c>
      <c r="M251" s="46">
        <f t="shared" si="279"/>
        <v>811.58611111111111</v>
      </c>
      <c r="N251" s="46">
        <f t="shared" si="279"/>
        <v>3.0416666666666665</v>
      </c>
      <c r="O251" s="46">
        <f t="shared" si="227"/>
        <v>4313.6340277777781</v>
      </c>
      <c r="P251" s="46">
        <f t="shared" si="279"/>
        <v>2923.3945906815438</v>
      </c>
      <c r="Q251" s="46">
        <f t="shared" si="257"/>
        <v>7237.0286184593224</v>
      </c>
      <c r="R251" s="10">
        <f t="shared" si="249"/>
        <v>10804.022716283956</v>
      </c>
      <c r="T251" s="65">
        <f t="shared" si="250"/>
        <v>48.72</v>
      </c>
      <c r="U251" s="65">
        <f t="shared" si="273"/>
        <v>23</v>
      </c>
      <c r="V251" s="65">
        <f t="shared" si="273"/>
        <v>34</v>
      </c>
      <c r="W251" s="65">
        <f t="shared" si="273"/>
        <v>38</v>
      </c>
      <c r="X251" s="65">
        <f t="shared" si="258"/>
        <v>38.912189982891782</v>
      </c>
      <c r="Y251" s="65">
        <f>$Y$18/1000*CURVES!K210+$Y$14</f>
        <v>82.020632728494633</v>
      </c>
      <c r="Z251" s="65">
        <f t="shared" si="259"/>
        <v>56.325826846750026</v>
      </c>
      <c r="AA251" s="65">
        <f>CHOOSE(AA$18,CURVES!F210,CURVES!G210)</f>
        <v>39.408810971122428</v>
      </c>
      <c r="AB251" s="65">
        <f t="shared" si="251"/>
        <v>46.194941433213359</v>
      </c>
      <c r="AD251" s="65"/>
      <c r="AH251" s="46">
        <f t="shared" si="252"/>
        <v>1937.9310849074075</v>
      </c>
      <c r="AI251" s="46">
        <f t="shared" si="252"/>
        <v>0</v>
      </c>
      <c r="AJ251" s="46">
        <f t="shared" si="252"/>
        <v>2070.9500209392572</v>
      </c>
      <c r="AK251" s="46">
        <f t="shared" si="252"/>
        <v>513.91932921853174</v>
      </c>
      <c r="AL251" s="46">
        <f t="shared" si="228"/>
        <v>4522.8004350651963</v>
      </c>
      <c r="AM251" s="46">
        <f t="shared" si="234"/>
        <v>2152.9968589041096</v>
      </c>
      <c r="AN251" s="46">
        <f t="shared" si="260"/>
        <v>6675.7972939693063</v>
      </c>
      <c r="AO251" s="10">
        <f t="shared" si="253"/>
        <v>9658.9200080821429</v>
      </c>
      <c r="AQ251" s="65">
        <f t="shared" si="254"/>
        <v>43</v>
      </c>
      <c r="AR251" s="65"/>
      <c r="AS251" s="65">
        <f t="shared" si="274"/>
        <v>30</v>
      </c>
      <c r="AT251" s="65">
        <f t="shared" si="274"/>
        <v>38</v>
      </c>
      <c r="AU251" s="65">
        <f t="shared" si="261"/>
        <v>36.479272998726103</v>
      </c>
      <c r="AV251" s="65">
        <f>$Y$18/1000*CURVES!O210+$AV$14</f>
        <v>79.740119288019145</v>
      </c>
      <c r="AW251" s="65">
        <f t="shared" si="262"/>
        <v>50.431234400927664</v>
      </c>
      <c r="AX251" s="65">
        <f>CHOOSE(AX$18,CURVES!B210,CURVES!C210)</f>
        <v>43.394444444444446</v>
      </c>
      <c r="AY251" s="65">
        <f t="shared" si="263"/>
        <v>46.270293623898645</v>
      </c>
    </row>
    <row r="252" spans="1:51">
      <c r="A252" s="75">
        <v>43221</v>
      </c>
      <c r="B252" s="2">
        <f t="shared" si="214"/>
        <v>2018</v>
      </c>
      <c r="C252" s="2">
        <f t="shared" si="255"/>
        <v>5</v>
      </c>
      <c r="D252" s="43">
        <v>6.2497833549250002E-2</v>
      </c>
      <c r="E252" s="44">
        <f t="shared" ca="1" si="215"/>
        <v>0.34194100210318568</v>
      </c>
      <c r="F252" s="44"/>
      <c r="G252" s="10"/>
      <c r="H252" s="10">
        <f t="shared" si="269"/>
        <v>19063.957805280112</v>
      </c>
      <c r="I252" s="10">
        <f t="shared" si="269"/>
        <v>17792.888755236549</v>
      </c>
      <c r="K252" s="46">
        <f t="shared" ref="K252:P252" si="280">K240</f>
        <v>2226.0672043010754</v>
      </c>
      <c r="L252" s="46">
        <f t="shared" si="280"/>
        <v>1023.6263440860215</v>
      </c>
      <c r="M252" s="46">
        <f t="shared" si="280"/>
        <v>950.16532258064512</v>
      </c>
      <c r="N252" s="46">
        <f t="shared" si="280"/>
        <v>3.3051075268817205</v>
      </c>
      <c r="O252" s="46">
        <f t="shared" si="227"/>
        <v>4203.1639784946237</v>
      </c>
      <c r="P252" s="46">
        <f t="shared" si="280"/>
        <v>2831.510502104928</v>
      </c>
      <c r="Q252" s="46">
        <f t="shared" si="257"/>
        <v>7034.6744805995513</v>
      </c>
      <c r="R252" s="10">
        <f t="shared" si="249"/>
        <v>12029.28332468056</v>
      </c>
      <c r="T252" s="65">
        <f t="shared" si="250"/>
        <v>48.72</v>
      </c>
      <c r="U252" s="65">
        <f t="shared" si="273"/>
        <v>23</v>
      </c>
      <c r="V252" s="65">
        <f t="shared" si="273"/>
        <v>34</v>
      </c>
      <c r="W252" s="65">
        <f t="shared" si="273"/>
        <v>38</v>
      </c>
      <c r="X252" s="65">
        <f t="shared" si="258"/>
        <v>39.120199926194871</v>
      </c>
      <c r="Y252" s="65">
        <f>$Y$18/1000*CURVES!K211+$Y$14</f>
        <v>81.75813272849463</v>
      </c>
      <c r="Z252" s="65">
        <f t="shared" si="259"/>
        <v>56.282295322464918</v>
      </c>
      <c r="AA252" s="65">
        <f>CHOOSE(AA$18,CURVES!F211,CURVES!G211)</f>
        <v>39.184133578640427</v>
      </c>
      <c r="AB252" s="65">
        <f t="shared" si="251"/>
        <v>45.49342167678823</v>
      </c>
      <c r="AD252" s="65"/>
      <c r="AH252" s="46">
        <f t="shared" si="252"/>
        <v>1895.2591032026239</v>
      </c>
      <c r="AI252" s="46">
        <f t="shared" si="252"/>
        <v>0</v>
      </c>
      <c r="AJ252" s="46">
        <f t="shared" si="252"/>
        <v>1877.6303324734643</v>
      </c>
      <c r="AK252" s="46">
        <f t="shared" si="252"/>
        <v>570.53181663934993</v>
      </c>
      <c r="AL252" s="46">
        <f t="shared" si="228"/>
        <v>4343.4212523154383</v>
      </c>
      <c r="AM252" s="46">
        <f t="shared" si="234"/>
        <v>2186.8418319892476</v>
      </c>
      <c r="AN252" s="46">
        <f t="shared" si="260"/>
        <v>6530.2630843046863</v>
      </c>
      <c r="AO252" s="10">
        <f t="shared" si="253"/>
        <v>11262.625670931862</v>
      </c>
      <c r="AQ252" s="65">
        <f t="shared" si="254"/>
        <v>43</v>
      </c>
      <c r="AR252" s="65"/>
      <c r="AS252" s="65">
        <f t="shared" si="274"/>
        <v>30</v>
      </c>
      <c r="AT252" s="65">
        <f t="shared" si="274"/>
        <v>38</v>
      </c>
      <c r="AU252" s="65">
        <f t="shared" si="261"/>
        <v>36.723414833221909</v>
      </c>
      <c r="AV252" s="65">
        <f>$Y$18/1000*CURVES!O211+$AV$14</f>
        <v>79.477619288019156</v>
      </c>
      <c r="AW252" s="65">
        <f t="shared" si="262"/>
        <v>51.040859871521889</v>
      </c>
      <c r="AX252" s="65">
        <f>CHOOSE(AX$18,CURVES!B211,CURVES!C211)</f>
        <v>43.483333333333334</v>
      </c>
      <c r="AY252" s="65">
        <f t="shared" si="263"/>
        <v>46.257061491806809</v>
      </c>
    </row>
    <row r="253" spans="1:51">
      <c r="A253" s="75">
        <v>43252</v>
      </c>
      <c r="B253" s="2">
        <f t="shared" si="214"/>
        <v>2018</v>
      </c>
      <c r="C253" s="2">
        <f t="shared" si="255"/>
        <v>6</v>
      </c>
      <c r="D253" s="43">
        <v>6.2522339142193004E-2</v>
      </c>
      <c r="E253" s="44">
        <f t="shared" ca="1" si="215"/>
        <v>0.34007533944544355</v>
      </c>
      <c r="F253" s="44"/>
      <c r="G253" s="10"/>
      <c r="H253" s="10">
        <f t="shared" si="269"/>
        <v>21067.998923439645</v>
      </c>
      <c r="I253" s="10">
        <f t="shared" si="269"/>
        <v>20063.729841484761</v>
      </c>
      <c r="K253" s="46">
        <f t="shared" ref="K253:P253" si="281">K241</f>
        <v>2252.1333333333332</v>
      </c>
      <c r="L253" s="46">
        <f t="shared" si="281"/>
        <v>1398.3916666666667</v>
      </c>
      <c r="M253" s="46">
        <f t="shared" si="281"/>
        <v>957.04027777777776</v>
      </c>
      <c r="N253" s="46">
        <f t="shared" si="281"/>
        <v>3.526388888888889</v>
      </c>
      <c r="O253" s="46">
        <f t="shared" si="227"/>
        <v>4611.0916666666662</v>
      </c>
      <c r="P253" s="46">
        <f t="shared" si="281"/>
        <v>3175.7411781346573</v>
      </c>
      <c r="Q253" s="46">
        <f t="shared" si="257"/>
        <v>7786.8328448013235</v>
      </c>
      <c r="R253" s="10">
        <f t="shared" si="249"/>
        <v>13281.166078638322</v>
      </c>
      <c r="T253" s="65">
        <f t="shared" si="250"/>
        <v>48.72</v>
      </c>
      <c r="U253" s="65">
        <f t="shared" si="273"/>
        <v>23</v>
      </c>
      <c r="V253" s="65">
        <f t="shared" si="273"/>
        <v>34</v>
      </c>
      <c r="W253" s="65">
        <f t="shared" si="273"/>
        <v>38</v>
      </c>
      <c r="X253" s="65">
        <f t="shared" si="258"/>
        <v>37.856613829094464</v>
      </c>
      <c r="Y253" s="65">
        <f>$Y$18/1000*CURVES!K212+$Y$14</f>
        <v>82.062632728494634</v>
      </c>
      <c r="Z253" s="65">
        <f t="shared" si="259"/>
        <v>55.88536535596841</v>
      </c>
      <c r="AA253" s="65">
        <f>CHOOSE(AA$18,CURVES!F212,CURVES!G212)</f>
        <v>50.385304986205369</v>
      </c>
      <c r="AB253" s="65">
        <f t="shared" si="251"/>
        <v>52.418153520672092</v>
      </c>
      <c r="AD253" s="65"/>
      <c r="AH253" s="46">
        <f t="shared" si="252"/>
        <v>1881.3705563400365</v>
      </c>
      <c r="AI253" s="46">
        <f t="shared" si="252"/>
        <v>0</v>
      </c>
      <c r="AJ253" s="46">
        <f t="shared" si="252"/>
        <v>1162.1616861734683</v>
      </c>
      <c r="AK253" s="46">
        <f t="shared" si="252"/>
        <v>631.24071210358352</v>
      </c>
      <c r="AL253" s="46">
        <f t="shared" si="228"/>
        <v>3674.7729546170881</v>
      </c>
      <c r="AM253" s="46">
        <f t="shared" si="234"/>
        <v>2754.0461410958906</v>
      </c>
      <c r="AN253" s="46">
        <f t="shared" si="260"/>
        <v>6428.8190957129791</v>
      </c>
      <c r="AO253" s="10">
        <f t="shared" si="253"/>
        <v>13634.910745771782</v>
      </c>
      <c r="AQ253" s="65">
        <f t="shared" si="254"/>
        <v>43</v>
      </c>
      <c r="AR253" s="65"/>
      <c r="AS253" s="65">
        <f t="shared" si="274"/>
        <v>30</v>
      </c>
      <c r="AT253" s="65">
        <f t="shared" si="274"/>
        <v>38</v>
      </c>
      <c r="AU253" s="65">
        <f t="shared" si="261"/>
        <v>38.029813894263803</v>
      </c>
      <c r="AV253" s="65">
        <f>$Y$18/1000*CURVES!O212+$AV$14</f>
        <v>79.782119288019146</v>
      </c>
      <c r="AW253" s="65">
        <f t="shared" si="262"/>
        <v>55.916112114757816</v>
      </c>
      <c r="AX253" s="65">
        <f>CHOOSE(AX$18,CURVES!B212,CURVES!C212)</f>
        <v>48.873333333333335</v>
      </c>
      <c r="AY253" s="65">
        <f t="shared" si="263"/>
        <v>51.129980082198912</v>
      </c>
    </row>
    <row r="254" spans="1:51">
      <c r="A254" s="75">
        <v>43282</v>
      </c>
      <c r="B254" s="2">
        <f t="shared" si="214"/>
        <v>2018</v>
      </c>
      <c r="C254" s="2">
        <f t="shared" si="255"/>
        <v>7</v>
      </c>
      <c r="D254" s="43">
        <v>6.2546054232325995E-2</v>
      </c>
      <c r="E254" s="44">
        <f t="shared" ca="1" si="215"/>
        <v>0.33816607486155348</v>
      </c>
      <c r="F254" s="44"/>
      <c r="G254" s="10"/>
      <c r="H254" s="10">
        <f t="shared" si="269"/>
        <v>20793.960205079009</v>
      </c>
      <c r="I254" s="10">
        <f t="shared" si="269"/>
        <v>19046.312794834634</v>
      </c>
      <c r="K254" s="46">
        <f t="shared" ref="K254:P254" si="282">K242</f>
        <v>2248.4569892473119</v>
      </c>
      <c r="L254" s="46">
        <f t="shared" si="282"/>
        <v>1358.3225806451612</v>
      </c>
      <c r="M254" s="46">
        <f t="shared" si="282"/>
        <v>653.55107526881716</v>
      </c>
      <c r="N254" s="46">
        <f t="shared" si="282"/>
        <v>3.8373655913978495</v>
      </c>
      <c r="O254" s="46">
        <f t="shared" si="227"/>
        <v>4264.1680107526872</v>
      </c>
      <c r="P254" s="46">
        <f t="shared" si="282"/>
        <v>3349.3895623880758</v>
      </c>
      <c r="Q254" s="46">
        <f t="shared" si="257"/>
        <v>7613.5575731407625</v>
      </c>
      <c r="R254" s="10">
        <f t="shared" si="249"/>
        <v>13180.402631938245</v>
      </c>
      <c r="T254" s="65">
        <f t="shared" si="250"/>
        <v>48.72</v>
      </c>
      <c r="U254" s="65">
        <f t="shared" si="273"/>
        <v>23</v>
      </c>
      <c r="V254" s="65">
        <f t="shared" si="273"/>
        <v>34</v>
      </c>
      <c r="W254" s="65">
        <f t="shared" si="273"/>
        <v>38</v>
      </c>
      <c r="X254" s="65">
        <f t="shared" si="258"/>
        <v>38.261344278923424</v>
      </c>
      <c r="Y254" s="65">
        <f>$Y$18/1000*CURVES!K213+$Y$14</f>
        <v>82.377632728494618</v>
      </c>
      <c r="Z254" s="65">
        <f t="shared" si="259"/>
        <v>57.669174934276306</v>
      </c>
      <c r="AA254" s="65">
        <f>CHOOSE(AA$18,CURVES!F213,CURVES!G213)</f>
        <v>60.47594231590918</v>
      </c>
      <c r="AB254" s="65">
        <f t="shared" si="251"/>
        <v>59.448264815148363</v>
      </c>
      <c r="AD254" s="65"/>
      <c r="AH254" s="46">
        <f t="shared" si="252"/>
        <v>1914.3216201186069</v>
      </c>
      <c r="AI254" s="46">
        <f t="shared" si="252"/>
        <v>0</v>
      </c>
      <c r="AJ254" s="46">
        <f t="shared" si="252"/>
        <v>1193.3319743059751</v>
      </c>
      <c r="AK254" s="46">
        <f t="shared" si="252"/>
        <v>610.72305844211053</v>
      </c>
      <c r="AL254" s="46">
        <f t="shared" si="228"/>
        <v>3718.3766528666924</v>
      </c>
      <c r="AM254" s="46">
        <f t="shared" si="234"/>
        <v>2586.7318602150535</v>
      </c>
      <c r="AN254" s="46">
        <f t="shared" si="260"/>
        <v>6305.1085130817464</v>
      </c>
      <c r="AO254" s="10">
        <f t="shared" si="253"/>
        <v>12741.204281752887</v>
      </c>
      <c r="AQ254" s="65">
        <f t="shared" si="254"/>
        <v>43</v>
      </c>
      <c r="AR254" s="65"/>
      <c r="AS254" s="65">
        <f t="shared" si="274"/>
        <v>30</v>
      </c>
      <c r="AT254" s="65">
        <f t="shared" si="274"/>
        <v>38</v>
      </c>
      <c r="AU254" s="65">
        <f t="shared" si="261"/>
        <v>38.006710537547619</v>
      </c>
      <c r="AV254" s="65">
        <f>$Y$18/1000*CURVES!O213+$AV$14</f>
        <v>80.097119288019144</v>
      </c>
      <c r="AW254" s="65">
        <f t="shared" si="262"/>
        <v>55.27470855826742</v>
      </c>
      <c r="AX254" s="65">
        <f>CHOOSE(AX$18,CURVES!B213,CURVES!C213)</f>
        <v>60.063440860215053</v>
      </c>
      <c r="AY254" s="65">
        <f t="shared" si="263"/>
        <v>58.478174613192785</v>
      </c>
    </row>
    <row r="255" spans="1:51">
      <c r="A255" s="75">
        <v>43313</v>
      </c>
      <c r="B255" s="2">
        <f t="shared" si="214"/>
        <v>2018</v>
      </c>
      <c r="C255" s="2">
        <f t="shared" si="255"/>
        <v>8</v>
      </c>
      <c r="D255" s="43">
        <v>6.2570559825660996E-2</v>
      </c>
      <c r="E255" s="44">
        <f t="shared" ca="1" si="215"/>
        <v>0.33626165882598813</v>
      </c>
      <c r="F255" s="44"/>
      <c r="G255" s="10"/>
      <c r="H255" s="10">
        <f t="shared" si="269"/>
        <v>22298.857197279292</v>
      </c>
      <c r="I255" s="10">
        <f t="shared" si="269"/>
        <v>19754.177923295392</v>
      </c>
      <c r="K255" s="46">
        <f t="shared" ref="K255:P255" si="283">K243</f>
        <v>2226.0658602150538</v>
      </c>
      <c r="L255" s="46">
        <f t="shared" si="283"/>
        <v>1361.989247311828</v>
      </c>
      <c r="M255" s="46">
        <f t="shared" si="283"/>
        <v>483.36424731182797</v>
      </c>
      <c r="N255" s="46">
        <f t="shared" si="283"/>
        <v>3.924731182795699</v>
      </c>
      <c r="O255" s="46">
        <f t="shared" si="227"/>
        <v>4075.3440860215055</v>
      </c>
      <c r="P255" s="46">
        <f t="shared" si="283"/>
        <v>3426.252928840011</v>
      </c>
      <c r="Q255" s="46">
        <f t="shared" si="257"/>
        <v>7501.5970148615161</v>
      </c>
      <c r="R255" s="10">
        <f t="shared" si="249"/>
        <v>14797.260182417776</v>
      </c>
      <c r="T255" s="65">
        <f t="shared" si="250"/>
        <v>48.72</v>
      </c>
      <c r="U255" s="65">
        <f t="shared" si="273"/>
        <v>23</v>
      </c>
      <c r="V255" s="65">
        <f t="shared" si="273"/>
        <v>34</v>
      </c>
      <c r="W255" s="65">
        <f t="shared" si="273"/>
        <v>38</v>
      </c>
      <c r="X255" s="65">
        <f t="shared" si="258"/>
        <v>38.368099058856423</v>
      </c>
      <c r="Y255" s="65">
        <f>$Y$18/1000*CURVES!K214+$Y$14</f>
        <v>82.587632728494626</v>
      </c>
      <c r="Z255" s="65">
        <f t="shared" si="259"/>
        <v>58.564772706798877</v>
      </c>
      <c r="AA255" s="65">
        <f>CHOOSE(AA$18,CURVES!F214,CURVES!G214)</f>
        <v>64.785950547743624</v>
      </c>
      <c r="AB255" s="65">
        <f t="shared" si="251"/>
        <v>62.693073378852304</v>
      </c>
      <c r="AD255" s="65"/>
      <c r="AH255" s="46">
        <f t="shared" si="252"/>
        <v>1859.5945026415061</v>
      </c>
      <c r="AI255" s="46">
        <f t="shared" si="252"/>
        <v>0</v>
      </c>
      <c r="AJ255" s="46">
        <f t="shared" si="252"/>
        <v>1584.5088037693729</v>
      </c>
      <c r="AK255" s="46">
        <f t="shared" si="252"/>
        <v>621.50165686237608</v>
      </c>
      <c r="AL255" s="46">
        <f t="shared" si="228"/>
        <v>4065.6049632732547</v>
      </c>
      <c r="AM255" s="46">
        <f t="shared" si="234"/>
        <v>2208.289016129032</v>
      </c>
      <c r="AN255" s="46">
        <f t="shared" si="260"/>
        <v>6273.8939794022863</v>
      </c>
      <c r="AO255" s="10">
        <f t="shared" si="253"/>
        <v>13480.283943893106</v>
      </c>
      <c r="AQ255" s="65">
        <f t="shared" si="254"/>
        <v>43</v>
      </c>
      <c r="AR255" s="65"/>
      <c r="AS255" s="65">
        <f t="shared" si="274"/>
        <v>30</v>
      </c>
      <c r="AT255" s="65">
        <f t="shared" si="274"/>
        <v>38</v>
      </c>
      <c r="AU255" s="65">
        <f t="shared" si="261"/>
        <v>37.169103258318607</v>
      </c>
      <c r="AV255" s="65">
        <f>$Y$18/1000*CURVES!O214+$AV$14</f>
        <v>80.307119288019152</v>
      </c>
      <c r="AW255" s="65">
        <f t="shared" si="262"/>
        <v>52.352848359644241</v>
      </c>
      <c r="AX255" s="65">
        <f>CHOOSE(AX$18,CURVES!B214,CURVES!C214)</f>
        <v>70.346774193548384</v>
      </c>
      <c r="AY255" s="65">
        <f t="shared" si="263"/>
        <v>64.631933343501515</v>
      </c>
    </row>
    <row r="256" spans="1:51">
      <c r="A256" s="75">
        <v>43344</v>
      </c>
      <c r="B256" s="2">
        <f t="shared" si="214"/>
        <v>2018</v>
      </c>
      <c r="C256" s="2">
        <f t="shared" si="255"/>
        <v>9</v>
      </c>
      <c r="D256" s="43">
        <v>6.2595065419194004E-2</v>
      </c>
      <c r="E256" s="44">
        <f t="shared" ca="1" si="215"/>
        <v>0.33442304940738793</v>
      </c>
      <c r="F256" s="44"/>
      <c r="G256" s="10"/>
      <c r="H256" s="10">
        <f t="shared" si="269"/>
        <v>20198.564623747512</v>
      </c>
      <c r="I256" s="10">
        <f t="shared" si="269"/>
        <v>18607.167293950202</v>
      </c>
      <c r="K256" s="46">
        <f t="shared" ref="K256:P256" si="284">K244</f>
        <v>2263.6333333333332</v>
      </c>
      <c r="L256" s="46">
        <f t="shared" si="284"/>
        <v>1380.7361111111111</v>
      </c>
      <c r="M256" s="46">
        <f t="shared" si="284"/>
        <v>542.60277777777776</v>
      </c>
      <c r="N256" s="46">
        <f t="shared" si="284"/>
        <v>3.4194444444444443</v>
      </c>
      <c r="O256" s="46">
        <f t="shared" si="227"/>
        <v>4190.3916666666673</v>
      </c>
      <c r="P256" s="46">
        <f t="shared" si="284"/>
        <v>3348.1339323547272</v>
      </c>
      <c r="Q256" s="46">
        <f t="shared" si="257"/>
        <v>7538.5255990213946</v>
      </c>
      <c r="R256" s="10">
        <f t="shared" si="249"/>
        <v>12660.039024726118</v>
      </c>
      <c r="T256" s="65">
        <f t="shared" si="250"/>
        <v>48.72</v>
      </c>
      <c r="U256" s="65">
        <f t="shared" si="273"/>
        <v>23</v>
      </c>
      <c r="V256" s="65">
        <f t="shared" si="273"/>
        <v>34</v>
      </c>
      <c r="W256" s="65">
        <f t="shared" si="273"/>
        <v>38</v>
      </c>
      <c r="X256" s="65">
        <f t="shared" si="258"/>
        <v>38.330445615995849</v>
      </c>
      <c r="Y256" s="65">
        <f>$Y$18/1000*CURVES!K215+$Y$14</f>
        <v>82.808132728494627</v>
      </c>
      <c r="Z256" s="65">
        <f t="shared" si="259"/>
        <v>58.084607288318779</v>
      </c>
      <c r="AA256" s="65">
        <f>CHOOSE(AA$18,CURVES!F215,CURVES!G215)</f>
        <v>58.174173524503722</v>
      </c>
      <c r="AB256" s="65">
        <f t="shared" si="251"/>
        <v>58.140745537076626</v>
      </c>
      <c r="AD256" s="65"/>
      <c r="AH256" s="46">
        <f t="shared" si="252"/>
        <v>1890.9773416389726</v>
      </c>
      <c r="AI256" s="46">
        <f t="shared" si="252"/>
        <v>0</v>
      </c>
      <c r="AJ256" s="46">
        <f t="shared" si="252"/>
        <v>765.82060543821262</v>
      </c>
      <c r="AK256" s="46">
        <f t="shared" si="252"/>
        <v>570.92254509204622</v>
      </c>
      <c r="AL256" s="46">
        <f t="shared" si="228"/>
        <v>3227.7204921692314</v>
      </c>
      <c r="AM256" s="46">
        <f t="shared" si="234"/>
        <v>2371.5769315068492</v>
      </c>
      <c r="AN256" s="46">
        <f t="shared" si="260"/>
        <v>5599.2974236760801</v>
      </c>
      <c r="AO256" s="10">
        <f t="shared" si="253"/>
        <v>13007.86987027412</v>
      </c>
      <c r="AQ256" s="65">
        <f t="shared" si="254"/>
        <v>43</v>
      </c>
      <c r="AR256" s="65"/>
      <c r="AS256" s="65">
        <f t="shared" si="274"/>
        <v>30</v>
      </c>
      <c r="AT256" s="65">
        <f t="shared" si="274"/>
        <v>38</v>
      </c>
      <c r="AU256" s="65">
        <f t="shared" si="261"/>
        <v>39.031167931908605</v>
      </c>
      <c r="AV256" s="65">
        <f>$Y$18/1000*CURVES!O215+$AV$14</f>
        <v>80.527619288019153</v>
      </c>
      <c r="AW256" s="65">
        <f t="shared" si="262"/>
        <v>56.60694920036245</v>
      </c>
      <c r="AX256" s="65">
        <f>CHOOSE(AX$18,CURVES!B215,CURVES!C215)</f>
        <v>60.68</v>
      </c>
      <c r="AY256" s="65">
        <f t="shared" si="263"/>
        <v>59.454331283820537</v>
      </c>
    </row>
    <row r="257" spans="1:51">
      <c r="A257" s="75">
        <v>43374</v>
      </c>
      <c r="B257" s="2">
        <f t="shared" si="214"/>
        <v>2018</v>
      </c>
      <c r="C257" s="2">
        <f t="shared" si="255"/>
        <v>10</v>
      </c>
      <c r="D257" s="43">
        <v>6.2618780509900995E-2</v>
      </c>
      <c r="E257" s="44">
        <f t="shared" ca="1" si="215"/>
        <v>0.33254160637938635</v>
      </c>
      <c r="F257" s="44"/>
      <c r="G257" s="10"/>
      <c r="H257" s="10">
        <f t="shared" si="269"/>
        <v>18764.445544015965</v>
      </c>
      <c r="I257" s="10">
        <f t="shared" si="269"/>
        <v>16105.845509298564</v>
      </c>
      <c r="K257" s="46">
        <f t="shared" ref="K257:P257" si="285">K245</f>
        <v>2069.2916666666665</v>
      </c>
      <c r="L257" s="46">
        <f t="shared" si="285"/>
        <v>1227.5241935483871</v>
      </c>
      <c r="M257" s="46">
        <f t="shared" si="285"/>
        <v>369.34005376344084</v>
      </c>
      <c r="N257" s="46">
        <f t="shared" si="285"/>
        <v>3.278225806451613</v>
      </c>
      <c r="O257" s="46">
        <f t="shared" si="227"/>
        <v>3669.4341397849457</v>
      </c>
      <c r="P257" s="46">
        <f t="shared" si="285"/>
        <v>3171.075494984625</v>
      </c>
      <c r="Q257" s="46">
        <f t="shared" si="257"/>
        <v>6840.5096347695708</v>
      </c>
      <c r="R257" s="10">
        <f t="shared" si="249"/>
        <v>11923.935909246395</v>
      </c>
      <c r="T257" s="65">
        <f t="shared" si="250"/>
        <v>48.72</v>
      </c>
      <c r="U257" s="65">
        <f t="shared" si="273"/>
        <v>23</v>
      </c>
      <c r="V257" s="65">
        <f t="shared" si="273"/>
        <v>34</v>
      </c>
      <c r="W257" s="65">
        <f t="shared" si="273"/>
        <v>38</v>
      </c>
      <c r="X257" s="65">
        <f t="shared" si="258"/>
        <v>38.624778497461044</v>
      </c>
      <c r="Y257" s="65">
        <f>$Y$18/1000*CURVES!K216+$Y$14</f>
        <v>83.123132728494625</v>
      </c>
      <c r="Z257" s="65">
        <f t="shared" si="259"/>
        <v>59.253013556431078</v>
      </c>
      <c r="AA257" s="65">
        <f>CHOOSE(AA$18,CURVES!F216,CURVES!G216)</f>
        <v>48.0092721414089</v>
      </c>
      <c r="AB257" s="65">
        <f t="shared" si="251"/>
        <v>52.108136736150129</v>
      </c>
      <c r="AD257" s="65"/>
      <c r="AH257" s="46">
        <f t="shared" ref="AH257:AK276" si="286">AH245</f>
        <v>1913.8399491890309</v>
      </c>
      <c r="AI257" s="46">
        <f t="shared" si="286"/>
        <v>0</v>
      </c>
      <c r="AJ257" s="46">
        <f t="shared" si="286"/>
        <v>1075.3801160883429</v>
      </c>
      <c r="AK257" s="46">
        <f t="shared" si="286"/>
        <v>576.38556050292607</v>
      </c>
      <c r="AL257" s="46">
        <f t="shared" si="228"/>
        <v>3565.6056257802998</v>
      </c>
      <c r="AM257" s="46">
        <f t="shared" ref="AM257:AM284" si="287">AM245</f>
        <v>2259.7132500000002</v>
      </c>
      <c r="AN257" s="46">
        <f t="shared" si="260"/>
        <v>5825.3188757803</v>
      </c>
      <c r="AO257" s="10">
        <f t="shared" si="253"/>
        <v>10280.526633518264</v>
      </c>
      <c r="AQ257" s="65">
        <f t="shared" si="254"/>
        <v>43</v>
      </c>
      <c r="AR257" s="65"/>
      <c r="AS257" s="65">
        <f t="shared" si="274"/>
        <v>30</v>
      </c>
      <c r="AT257" s="65">
        <f t="shared" si="274"/>
        <v>38</v>
      </c>
      <c r="AU257" s="65">
        <f t="shared" si="261"/>
        <v>38.270966258930272</v>
      </c>
      <c r="AV257" s="65">
        <f>$Y$18/1000*CURVES!O216+$AV$14</f>
        <v>80.842619288019165</v>
      </c>
      <c r="AW257" s="65">
        <f t="shared" si="262"/>
        <v>54.785037072152299</v>
      </c>
      <c r="AX257" s="65">
        <f>CHOOSE(AX$18,CURVES!B216,CURVES!C216)</f>
        <v>48.07741935483871</v>
      </c>
      <c r="AY257" s="65">
        <f t="shared" si="263"/>
        <v>50.503495780172997</v>
      </c>
    </row>
    <row r="258" spans="1:51">
      <c r="A258" s="75">
        <v>43405</v>
      </c>
      <c r="B258" s="2">
        <f t="shared" si="214"/>
        <v>2018</v>
      </c>
      <c r="C258" s="2">
        <f t="shared" si="255"/>
        <v>11</v>
      </c>
      <c r="D258" s="43">
        <v>6.2643286103826995E-2</v>
      </c>
      <c r="E258" s="44">
        <f t="shared" ca="1" si="215"/>
        <v>0.33072075815563384</v>
      </c>
      <c r="F258" s="44"/>
      <c r="G258" s="10"/>
      <c r="H258" s="10">
        <f t="shared" si="269"/>
        <v>18355.334351772432</v>
      </c>
      <c r="I258" s="10">
        <f t="shared" si="269"/>
        <v>16350.318080176743</v>
      </c>
      <c r="K258" s="46">
        <f t="shared" ref="K258:P258" si="288">K246</f>
        <v>2201.1583333333333</v>
      </c>
      <c r="L258" s="46">
        <f t="shared" si="288"/>
        <v>1270.0277777777778</v>
      </c>
      <c r="M258" s="46">
        <f t="shared" si="288"/>
        <v>241.3111111111111</v>
      </c>
      <c r="N258" s="46">
        <f t="shared" si="288"/>
        <v>3.1194444444444445</v>
      </c>
      <c r="O258" s="46">
        <f t="shared" si="227"/>
        <v>3715.6166666666668</v>
      </c>
      <c r="P258" s="46">
        <f t="shared" si="288"/>
        <v>3029.0331582980816</v>
      </c>
      <c r="Q258" s="46">
        <f t="shared" si="257"/>
        <v>6744.6498249647484</v>
      </c>
      <c r="R258" s="10">
        <f t="shared" si="249"/>
        <v>11610.684526807683</v>
      </c>
      <c r="T258" s="65">
        <f t="shared" si="250"/>
        <v>48.72</v>
      </c>
      <c r="U258" s="65">
        <f t="shared" si="273"/>
        <v>23</v>
      </c>
      <c r="V258" s="65">
        <f t="shared" si="273"/>
        <v>34</v>
      </c>
      <c r="W258" s="65">
        <f t="shared" si="273"/>
        <v>38</v>
      </c>
      <c r="X258" s="65">
        <f t="shared" si="258"/>
        <v>38.963704424717896</v>
      </c>
      <c r="Y258" s="65">
        <f>$Y$18/1000*CURVES!K217+$Y$14</f>
        <v>82.755632728494618</v>
      </c>
      <c r="Z258" s="65">
        <f t="shared" si="259"/>
        <v>58.630730340128594</v>
      </c>
      <c r="AA258" s="65">
        <f>CHOOSE(AA$18,CURVES!F217,CURVES!G217)</f>
        <v>40.1809466974169</v>
      </c>
      <c r="AB258" s="65">
        <f t="shared" si="251"/>
        <v>46.960301822835085</v>
      </c>
      <c r="AD258" s="65"/>
      <c r="AH258" s="46">
        <f t="shared" si="286"/>
        <v>1838.7874362867092</v>
      </c>
      <c r="AI258" s="46">
        <f t="shared" si="286"/>
        <v>0</v>
      </c>
      <c r="AJ258" s="46">
        <f t="shared" si="286"/>
        <v>1347.8791847211178</v>
      </c>
      <c r="AK258" s="46">
        <f t="shared" si="286"/>
        <v>499.43911251442188</v>
      </c>
      <c r="AL258" s="46">
        <f t="shared" si="228"/>
        <v>3686.105733522249</v>
      </c>
      <c r="AM258" s="46">
        <f t="shared" si="287"/>
        <v>2451.2376410958905</v>
      </c>
      <c r="AN258" s="46">
        <f t="shared" si="260"/>
        <v>6137.3433746181399</v>
      </c>
      <c r="AO258" s="10">
        <f t="shared" si="253"/>
        <v>10212.974705558605</v>
      </c>
      <c r="AQ258" s="65">
        <f t="shared" si="254"/>
        <v>43</v>
      </c>
      <c r="AR258" s="65"/>
      <c r="AS258" s="65">
        <f t="shared" si="274"/>
        <v>30</v>
      </c>
      <c r="AT258" s="65">
        <f t="shared" si="274"/>
        <v>38</v>
      </c>
      <c r="AU258" s="65">
        <f t="shared" si="261"/>
        <v>37.568895628282228</v>
      </c>
      <c r="AV258" s="65">
        <f>$Y$18/1000*CURVES!O217+$AV$14</f>
        <v>82.31261928801915</v>
      </c>
      <c r="AW258" s="65">
        <f t="shared" si="262"/>
        <v>55.439412714083048</v>
      </c>
      <c r="AX258" s="65">
        <f>CHOOSE(AX$18,CURVES!B217,CURVES!C217)</f>
        <v>46.144444444444446</v>
      </c>
      <c r="AY258" s="65">
        <f t="shared" si="263"/>
        <v>49.633453749781197</v>
      </c>
    </row>
    <row r="259" spans="1:51">
      <c r="A259" s="75">
        <v>43435</v>
      </c>
      <c r="B259" s="2">
        <f t="shared" si="214"/>
        <v>2018</v>
      </c>
      <c r="C259" s="2">
        <f t="shared" si="255"/>
        <v>12</v>
      </c>
      <c r="D259" s="43">
        <v>6.2667001194912003E-2</v>
      </c>
      <c r="E259" s="44">
        <f t="shared" ca="1" si="215"/>
        <v>0.32885757917096348</v>
      </c>
      <c r="F259" s="44"/>
      <c r="G259" s="10"/>
      <c r="H259" s="10">
        <f t="shared" si="269"/>
        <v>18223.166462523041</v>
      </c>
      <c r="I259" s="10">
        <f t="shared" si="269"/>
        <v>16313.17300552604</v>
      </c>
      <c r="K259" s="46">
        <f t="shared" ref="K259:P259" si="289">K247</f>
        <v>2256.4126344086021</v>
      </c>
      <c r="L259" s="46">
        <f t="shared" si="289"/>
        <v>1157.2150537634409</v>
      </c>
      <c r="M259" s="46">
        <f t="shared" si="289"/>
        <v>239.86021505376345</v>
      </c>
      <c r="N259" s="46">
        <f t="shared" si="289"/>
        <v>2.9690860215053765</v>
      </c>
      <c r="O259" s="46">
        <f t="shared" si="227"/>
        <v>3656.4569892473123</v>
      </c>
      <c r="P259" s="46">
        <f t="shared" si="289"/>
        <v>2977.5968497309718</v>
      </c>
      <c r="Q259" s="46">
        <f t="shared" si="257"/>
        <v>6634.0538389782841</v>
      </c>
      <c r="R259" s="10">
        <f t="shared" si="249"/>
        <v>11589.112623544757</v>
      </c>
      <c r="T259" s="65">
        <f t="shared" si="250"/>
        <v>48.72</v>
      </c>
      <c r="U259" s="65">
        <f t="shared" si="273"/>
        <v>23</v>
      </c>
      <c r="V259" s="65">
        <f t="shared" si="273"/>
        <v>34</v>
      </c>
      <c r="W259" s="65">
        <f t="shared" si="273"/>
        <v>38</v>
      </c>
      <c r="X259" s="65">
        <f t="shared" si="258"/>
        <v>39.60567368670241</v>
      </c>
      <c r="Y259" s="65">
        <f>$Y$18/1000*CURVES!K218+$Y$14</f>
        <v>84.068132728494618</v>
      </c>
      <c r="Z259" s="65">
        <f t="shared" si="259"/>
        <v>59.56199016943426</v>
      </c>
      <c r="AA259" s="65">
        <f>CHOOSE(AA$18,CURVES!F218,CURVES!G218)</f>
        <v>39.684425099362116</v>
      </c>
      <c r="AB259" s="65">
        <f t="shared" si="251"/>
        <v>46.920754588743037</v>
      </c>
      <c r="AD259" s="65"/>
      <c r="AH259" s="46">
        <f t="shared" si="286"/>
        <v>1921.095004536046</v>
      </c>
      <c r="AI259" s="46">
        <f t="shared" si="286"/>
        <v>0</v>
      </c>
      <c r="AJ259" s="46">
        <f t="shared" si="286"/>
        <v>1326.4786927345147</v>
      </c>
      <c r="AK259" s="46">
        <f t="shared" si="286"/>
        <v>519.61972313456249</v>
      </c>
      <c r="AL259" s="46">
        <f t="shared" si="228"/>
        <v>3767.1934204051231</v>
      </c>
      <c r="AM259" s="46">
        <f t="shared" si="287"/>
        <v>2024.2479112903225</v>
      </c>
      <c r="AN259" s="46">
        <f t="shared" si="260"/>
        <v>5791.4413316954451</v>
      </c>
      <c r="AO259" s="10">
        <f t="shared" si="253"/>
        <v>10521.731673830594</v>
      </c>
      <c r="AQ259" s="65">
        <f t="shared" si="254"/>
        <v>43</v>
      </c>
      <c r="AR259" s="65"/>
      <c r="AS259" s="65">
        <f t="shared" si="274"/>
        <v>30</v>
      </c>
      <c r="AT259" s="65">
        <f t="shared" si="274"/>
        <v>38</v>
      </c>
      <c r="AU259" s="65">
        <f t="shared" si="261"/>
        <v>37.732863591833393</v>
      </c>
      <c r="AV259" s="65">
        <f>$Y$18/1000*CURVES!O218+$AV$14</f>
        <v>83.62511928801915</v>
      </c>
      <c r="AW259" s="65">
        <f t="shared" si="262"/>
        <v>53.773309728962744</v>
      </c>
      <c r="AX259" s="65">
        <f>CHOOSE(AX$18,CURVES!B218,CURVES!C218)</f>
        <v>45.017204301075267</v>
      </c>
      <c r="AY259" s="65">
        <f t="shared" si="263"/>
        <v>48.125763921118057</v>
      </c>
    </row>
    <row r="260" spans="1:51">
      <c r="A260" s="75">
        <v>43466</v>
      </c>
      <c r="B260" s="2">
        <f t="shared" si="214"/>
        <v>2019</v>
      </c>
      <c r="C260" s="2">
        <f t="shared" si="255"/>
        <v>1</v>
      </c>
      <c r="D260" s="43">
        <v>6.2691506789230994E-2</v>
      </c>
      <c r="E260" s="44">
        <f t="shared" ca="1" si="215"/>
        <v>0.32699908332884936</v>
      </c>
      <c r="F260" s="44"/>
      <c r="G260" s="10"/>
      <c r="H260" s="10">
        <f t="shared" si="269"/>
        <v>18557.998663781382</v>
      </c>
      <c r="I260" s="10">
        <f t="shared" si="269"/>
        <v>17641.69187877205</v>
      </c>
      <c r="K260" s="46">
        <f t="shared" ref="K260:P260" si="290">K248</f>
        <v>2185.9180107526881</v>
      </c>
      <c r="L260" s="46">
        <f t="shared" si="290"/>
        <v>1282.3306451612902</v>
      </c>
      <c r="M260" s="46">
        <f t="shared" si="290"/>
        <v>142.8521505376344</v>
      </c>
      <c r="N260" s="46">
        <f t="shared" si="290"/>
        <v>3.168010752688172</v>
      </c>
      <c r="O260" s="46">
        <f t="shared" si="227"/>
        <v>3614.2688172043008</v>
      </c>
      <c r="P260" s="46">
        <f t="shared" si="290"/>
        <v>2792.6655547379</v>
      </c>
      <c r="Q260" s="46">
        <f t="shared" si="257"/>
        <v>6406.9343719422013</v>
      </c>
      <c r="R260" s="10">
        <f t="shared" si="249"/>
        <v>12151.06429183918</v>
      </c>
      <c r="T260" s="65">
        <f t="shared" si="250"/>
        <v>48.72</v>
      </c>
      <c r="U260" s="65">
        <f t="shared" si="273"/>
        <v>23</v>
      </c>
      <c r="V260" s="65">
        <f t="shared" si="273"/>
        <v>34</v>
      </c>
      <c r="W260" s="65">
        <f t="shared" si="273"/>
        <v>38</v>
      </c>
      <c r="X260" s="65">
        <f t="shared" si="258"/>
        <v>39.003431946853418</v>
      </c>
      <c r="Y260" s="65">
        <f>$Y$18/1000*CURVES!K219+$Y$14</f>
        <v>85.842632728494621</v>
      </c>
      <c r="Z260" s="65">
        <f t="shared" si="259"/>
        <v>59.419783206385553</v>
      </c>
      <c r="AA260" s="65">
        <f>CHOOSE(AA$18,CURVES!F219,CURVES!G219)</f>
        <v>41.403314016316536</v>
      </c>
      <c r="AB260" s="65">
        <f t="shared" si="251"/>
        <v>47.623291601516485</v>
      </c>
      <c r="AD260" s="65"/>
      <c r="AH260" s="46">
        <f t="shared" si="286"/>
        <v>1826.0560878589888</v>
      </c>
      <c r="AI260" s="46">
        <f t="shared" si="286"/>
        <v>0</v>
      </c>
      <c r="AJ260" s="46">
        <f t="shared" si="286"/>
        <v>1744.0893186443859</v>
      </c>
      <c r="AK260" s="46">
        <f t="shared" si="286"/>
        <v>538.87289280137145</v>
      </c>
      <c r="AL260" s="46">
        <f t="shared" si="228"/>
        <v>4109.0182993047465</v>
      </c>
      <c r="AM260" s="46">
        <f t="shared" si="287"/>
        <v>2445.3687016129034</v>
      </c>
      <c r="AN260" s="46">
        <f t="shared" si="260"/>
        <v>6554.3870009176499</v>
      </c>
      <c r="AO260" s="10">
        <f t="shared" si="253"/>
        <v>11087.3048778544</v>
      </c>
      <c r="AQ260" s="65">
        <f t="shared" si="254"/>
        <v>43</v>
      </c>
      <c r="AR260" s="65"/>
      <c r="AS260" s="65">
        <f t="shared" si="274"/>
        <v>30</v>
      </c>
      <c r="AT260" s="65">
        <f t="shared" si="274"/>
        <v>38</v>
      </c>
      <c r="AU260" s="65">
        <f t="shared" si="261"/>
        <v>36.826378040059808</v>
      </c>
      <c r="AV260" s="65">
        <f>$Y$18/1000*CURVES!O219+$AV$14</f>
        <v>85.399619288019153</v>
      </c>
      <c r="AW260" s="65">
        <f t="shared" si="262"/>
        <v>54.948512706051133</v>
      </c>
      <c r="AX260" s="65">
        <f>CHOOSE(AX$18,CURVES!B219,CURVES!C219)</f>
        <v>48.86021505376344</v>
      </c>
      <c r="AY260" s="65">
        <f t="shared" si="263"/>
        <v>51.122189657111377</v>
      </c>
    </row>
    <row r="261" spans="1:51">
      <c r="A261" s="75">
        <v>43497</v>
      </c>
      <c r="B261" s="2">
        <f t="shared" si="214"/>
        <v>2019</v>
      </c>
      <c r="C261" s="2">
        <f t="shared" si="255"/>
        <v>2</v>
      </c>
      <c r="D261" s="43">
        <v>6.2716012383747993E-2</v>
      </c>
      <c r="E261" s="44">
        <f t="shared" ca="1" si="215"/>
        <v>0.3253147416928584</v>
      </c>
      <c r="F261" s="44"/>
      <c r="G261" s="10"/>
      <c r="H261" s="10">
        <f t="shared" si="269"/>
        <v>18607.916005776755</v>
      </c>
      <c r="I261" s="10">
        <f t="shared" si="269"/>
        <v>17618.179674331299</v>
      </c>
      <c r="K261" s="46">
        <f t="shared" ref="K261:P261" si="291">K249</f>
        <v>2261.8764367816093</v>
      </c>
      <c r="L261" s="46">
        <f t="shared" si="291"/>
        <v>1335.9798850574712</v>
      </c>
      <c r="M261" s="46">
        <f t="shared" si="291"/>
        <v>236.0028735632184</v>
      </c>
      <c r="N261" s="46">
        <f t="shared" si="291"/>
        <v>3.8491379310344827</v>
      </c>
      <c r="O261" s="46">
        <f t="shared" si="227"/>
        <v>3837.7083333333335</v>
      </c>
      <c r="P261" s="46">
        <f t="shared" si="291"/>
        <v>3011.7717013676738</v>
      </c>
      <c r="Q261" s="46">
        <f t="shared" si="257"/>
        <v>6849.4800347010078</v>
      </c>
      <c r="R261" s="10">
        <f t="shared" si="249"/>
        <v>11758.435971075747</v>
      </c>
      <c r="T261" s="65">
        <f t="shared" si="250"/>
        <v>48.72</v>
      </c>
      <c r="U261" s="65">
        <f t="shared" si="273"/>
        <v>23</v>
      </c>
      <c r="V261" s="65">
        <f t="shared" si="273"/>
        <v>34</v>
      </c>
      <c r="W261" s="65">
        <f t="shared" si="273"/>
        <v>38</v>
      </c>
      <c r="X261" s="65">
        <f t="shared" si="258"/>
        <v>38.850404811599958</v>
      </c>
      <c r="Y261" s="65">
        <f>$Y$18/1000*CURVES!K220+$Y$14</f>
        <v>86.829632728494616</v>
      </c>
      <c r="Z261" s="65">
        <f t="shared" si="259"/>
        <v>59.947258902931132</v>
      </c>
      <c r="AA261" s="65">
        <f>CHOOSE(AA$18,CURVES!F220,CURVES!G220)</f>
        <v>41.364943940852292</v>
      </c>
      <c r="AB261" s="65">
        <f t="shared" si="251"/>
        <v>48.205000360484213</v>
      </c>
      <c r="AD261" s="65"/>
      <c r="AH261" s="46">
        <f t="shared" si="286"/>
        <v>1925.7468502510062</v>
      </c>
      <c r="AI261" s="46">
        <f t="shared" si="286"/>
        <v>0</v>
      </c>
      <c r="AJ261" s="46">
        <f t="shared" si="286"/>
        <v>2201.9273871825426</v>
      </c>
      <c r="AK261" s="46">
        <f t="shared" si="286"/>
        <v>548.47547775416388</v>
      </c>
      <c r="AL261" s="46">
        <f t="shared" si="228"/>
        <v>4676.1497151877129</v>
      </c>
      <c r="AM261" s="46">
        <f t="shared" si="287"/>
        <v>2161.5456443452381</v>
      </c>
      <c r="AN261" s="46">
        <f t="shared" si="260"/>
        <v>6837.6953595329505</v>
      </c>
      <c r="AO261" s="10">
        <f t="shared" si="253"/>
        <v>10780.484314798348</v>
      </c>
      <c r="AQ261" s="65">
        <f t="shared" si="254"/>
        <v>43</v>
      </c>
      <c r="AR261" s="65"/>
      <c r="AS261" s="65">
        <f t="shared" si="274"/>
        <v>30</v>
      </c>
      <c r="AT261" s="65">
        <f t="shared" si="274"/>
        <v>38</v>
      </c>
      <c r="AU261" s="65">
        <f t="shared" si="261"/>
        <v>36.29203825098557</v>
      </c>
      <c r="AV261" s="65">
        <f>$Y$18/1000*CURVES!O220+$AV$14</f>
        <v>84.391619288019157</v>
      </c>
      <c r="AW261" s="65">
        <f t="shared" si="262"/>
        <v>51.497371980935839</v>
      </c>
      <c r="AX261" s="65">
        <f>CHOOSE(AX$18,CURVES!B220,CURVES!C220)</f>
        <v>47.564285714285717</v>
      </c>
      <c r="AY261" s="65">
        <f t="shared" si="263"/>
        <v>49.090734315175979</v>
      </c>
    </row>
    <row r="262" spans="1:51">
      <c r="A262" s="75">
        <v>43525</v>
      </c>
      <c r="B262" s="2">
        <f t="shared" si="214"/>
        <v>2019</v>
      </c>
      <c r="C262" s="2">
        <f t="shared" si="255"/>
        <v>3</v>
      </c>
      <c r="D262" s="43">
        <v>6.2738146469289005E-2</v>
      </c>
      <c r="E262" s="44">
        <f t="shared" ca="1" si="215"/>
        <v>0.32348731389982832</v>
      </c>
      <c r="F262" s="44"/>
      <c r="G262" s="10"/>
      <c r="H262" s="10">
        <f t="shared" si="269"/>
        <v>18500.191738376489</v>
      </c>
      <c r="I262" s="10">
        <f t="shared" si="269"/>
        <v>17222.657284677043</v>
      </c>
      <c r="K262" s="46">
        <f t="shared" ref="K262:P262" si="292">K250</f>
        <v>2263.9462365591398</v>
      </c>
      <c r="L262" s="46">
        <f t="shared" si="292"/>
        <v>1258.630376344086</v>
      </c>
      <c r="M262" s="46">
        <f t="shared" si="292"/>
        <v>620.64650537634407</v>
      </c>
      <c r="N262" s="46">
        <f t="shared" si="292"/>
        <v>2.581989247311828</v>
      </c>
      <c r="O262" s="46">
        <f t="shared" si="227"/>
        <v>4145.8051075268813</v>
      </c>
      <c r="P262" s="46">
        <f t="shared" si="292"/>
        <v>2834.3973290285558</v>
      </c>
      <c r="Q262" s="46">
        <f t="shared" si="257"/>
        <v>6980.2024365554371</v>
      </c>
      <c r="R262" s="10">
        <f t="shared" si="249"/>
        <v>11519.989301821051</v>
      </c>
      <c r="T262" s="65">
        <f t="shared" si="250"/>
        <v>48.72</v>
      </c>
      <c r="U262" s="65">
        <f t="shared" si="273"/>
        <v>23</v>
      </c>
      <c r="V262" s="65">
        <f t="shared" si="273"/>
        <v>34</v>
      </c>
      <c r="W262" s="65">
        <f t="shared" si="273"/>
        <v>38</v>
      </c>
      <c r="X262" s="65">
        <f t="shared" si="258"/>
        <v>38.701302138870133</v>
      </c>
      <c r="Y262" s="65">
        <f>$Y$18/1000*CURVES!K221+$Y$14</f>
        <v>85.254632728494627</v>
      </c>
      <c r="Z262" s="65">
        <f t="shared" si="259"/>
        <v>57.604856452651539</v>
      </c>
      <c r="AA262" s="65">
        <f>CHOOSE(AA$18,CURVES!F221,CURVES!G221)</f>
        <v>40.773333923512922</v>
      </c>
      <c r="AB262" s="65">
        <f t="shared" si="251"/>
        <v>47.123940243182417</v>
      </c>
      <c r="AD262" s="65"/>
      <c r="AH262" s="46">
        <f t="shared" si="286"/>
        <v>1891.2387324311178</v>
      </c>
      <c r="AI262" s="46">
        <f t="shared" si="286"/>
        <v>0</v>
      </c>
      <c r="AJ262" s="46">
        <f t="shared" si="286"/>
        <v>1966.5504926356311</v>
      </c>
      <c r="AK262" s="46">
        <f t="shared" si="286"/>
        <v>526.07330501492243</v>
      </c>
      <c r="AL262" s="46">
        <f t="shared" si="228"/>
        <v>4383.8625300816711</v>
      </c>
      <c r="AM262" s="46">
        <f t="shared" si="287"/>
        <v>2044.2222728494623</v>
      </c>
      <c r="AN262" s="46">
        <f t="shared" si="260"/>
        <v>6428.0848029311337</v>
      </c>
      <c r="AO262" s="10">
        <f t="shared" si="253"/>
        <v>10794.57248174591</v>
      </c>
      <c r="AQ262" s="65">
        <f t="shared" si="254"/>
        <v>43</v>
      </c>
      <c r="AR262" s="65"/>
      <c r="AS262" s="65">
        <f t="shared" si="274"/>
        <v>30</v>
      </c>
      <c r="AT262" s="65">
        <f t="shared" si="274"/>
        <v>38</v>
      </c>
      <c r="AU262" s="65">
        <f t="shared" si="261"/>
        <v>36.56833779894724</v>
      </c>
      <c r="AV262" s="65">
        <f>$Y$18/1000*CURVES!O221+$AV$14</f>
        <v>82.816619288019155</v>
      </c>
      <c r="AW262" s="65">
        <f t="shared" si="262"/>
        <v>51.275948230263005</v>
      </c>
      <c r="AX262" s="65">
        <f>CHOOSE(AX$18,CURVES!B221,CURVES!C221)</f>
        <v>45.33064516129032</v>
      </c>
      <c r="AY262" s="65">
        <f t="shared" si="263"/>
        <v>47.549635626860621</v>
      </c>
    </row>
    <row r="263" spans="1:51">
      <c r="A263" s="75">
        <v>43556</v>
      </c>
      <c r="B263" s="2">
        <f t="shared" si="214"/>
        <v>2019</v>
      </c>
      <c r="C263" s="2">
        <f t="shared" si="255"/>
        <v>4</v>
      </c>
      <c r="D263" s="43">
        <v>6.2762652064186006E-2</v>
      </c>
      <c r="E263" s="44">
        <f t="shared" ca="1" si="215"/>
        <v>0.32170983242723888</v>
      </c>
      <c r="F263" s="44"/>
      <c r="G263" s="10"/>
      <c r="H263" s="10">
        <f t="shared" si="269"/>
        <v>18582.282874785578</v>
      </c>
      <c r="I263" s="10">
        <f t="shared" si="269"/>
        <v>16824.758821112991</v>
      </c>
      <c r="K263" s="46">
        <f t="shared" ref="K263:P263" si="293">K251</f>
        <v>2319.8402777777778</v>
      </c>
      <c r="L263" s="46">
        <f t="shared" si="293"/>
        <v>1179.1659722222223</v>
      </c>
      <c r="M263" s="46">
        <f t="shared" si="293"/>
        <v>811.58611111111111</v>
      </c>
      <c r="N263" s="46">
        <f t="shared" si="293"/>
        <v>3.0416666666666665</v>
      </c>
      <c r="O263" s="46">
        <f t="shared" si="227"/>
        <v>4313.6340277777781</v>
      </c>
      <c r="P263" s="46">
        <f t="shared" si="293"/>
        <v>2923.3945906815438</v>
      </c>
      <c r="Q263" s="46">
        <f t="shared" si="257"/>
        <v>7237.0286184593224</v>
      </c>
      <c r="R263" s="10">
        <f t="shared" si="249"/>
        <v>11345.254256326256</v>
      </c>
      <c r="T263" s="65">
        <f t="shared" si="250"/>
        <v>48.72</v>
      </c>
      <c r="U263" s="65">
        <f t="shared" si="273"/>
        <v>23</v>
      </c>
      <c r="V263" s="65">
        <f t="shared" si="273"/>
        <v>34</v>
      </c>
      <c r="W263" s="65">
        <f t="shared" si="273"/>
        <v>38</v>
      </c>
      <c r="X263" s="65">
        <f t="shared" si="258"/>
        <v>38.912189982891782</v>
      </c>
      <c r="Y263" s="65">
        <f>$Y$18/1000*CURVES!K222+$Y$14</f>
        <v>84.041882728494627</v>
      </c>
      <c r="Z263" s="65">
        <f t="shared" si="259"/>
        <v>57.142309912927679</v>
      </c>
      <c r="AA263" s="65">
        <f>CHOOSE(AA$18,CURVES!F222,CURVES!G222)</f>
        <v>39.895870422566304</v>
      </c>
      <c r="AB263" s="65">
        <f t="shared" si="251"/>
        <v>46.612643436910624</v>
      </c>
      <c r="AD263" s="65"/>
      <c r="AH263" s="46">
        <f t="shared" si="286"/>
        <v>1937.9310849074075</v>
      </c>
      <c r="AI263" s="46">
        <f t="shared" si="286"/>
        <v>0</v>
      </c>
      <c r="AJ263" s="46">
        <f t="shared" si="286"/>
        <v>2070.9500209392572</v>
      </c>
      <c r="AK263" s="46">
        <f t="shared" si="286"/>
        <v>513.91932921853174</v>
      </c>
      <c r="AL263" s="46">
        <f t="shared" si="228"/>
        <v>4522.8004350651963</v>
      </c>
      <c r="AM263" s="46">
        <f t="shared" si="287"/>
        <v>2152.9968589041096</v>
      </c>
      <c r="AN263" s="46">
        <f t="shared" si="260"/>
        <v>6675.7972939693063</v>
      </c>
      <c r="AO263" s="10">
        <f t="shared" si="253"/>
        <v>10148.961527143685</v>
      </c>
      <c r="AQ263" s="65">
        <f t="shared" si="254"/>
        <v>43</v>
      </c>
      <c r="AR263" s="65"/>
      <c r="AS263" s="65">
        <f t="shared" si="274"/>
        <v>30</v>
      </c>
      <c r="AT263" s="65">
        <f t="shared" si="274"/>
        <v>38</v>
      </c>
      <c r="AU263" s="65">
        <f t="shared" si="261"/>
        <v>36.479272998726103</v>
      </c>
      <c r="AV263" s="65">
        <f>$Y$18/1000*CURVES!O222+$AV$14</f>
        <v>80.895119288019146</v>
      </c>
      <c r="AW263" s="65">
        <f t="shared" si="262"/>
        <v>50.803730937675518</v>
      </c>
      <c r="AX263" s="65">
        <f>CHOOSE(AX$18,CURVES!B222,CURVES!C222)</f>
        <v>43.691111111111105</v>
      </c>
      <c r="AY263" s="65">
        <f t="shared" si="263"/>
        <v>46.513285782145715</v>
      </c>
    </row>
    <row r="264" spans="1:51">
      <c r="A264" s="75">
        <v>43586</v>
      </c>
      <c r="B264" s="2">
        <f t="shared" si="214"/>
        <v>2019</v>
      </c>
      <c r="C264" s="2">
        <f t="shared" si="255"/>
        <v>5</v>
      </c>
      <c r="D264" s="43">
        <v>6.2786367156210998E-2</v>
      </c>
      <c r="E264" s="44">
        <f t="shared" ca="1" si="215"/>
        <v>0.31989124270249736</v>
      </c>
      <c r="F264" s="44"/>
      <c r="G264" s="10"/>
      <c r="H264" s="10">
        <f t="shared" ref="H264:I283" si="294">(1+$I$17)*H252</f>
        <v>19635.876539438515</v>
      </c>
      <c r="I264" s="10">
        <f t="shared" si="294"/>
        <v>18326.675417893646</v>
      </c>
      <c r="K264" s="46">
        <f t="shared" ref="K264:P264" si="295">K252</f>
        <v>2226.0672043010754</v>
      </c>
      <c r="L264" s="46">
        <f t="shared" si="295"/>
        <v>1023.6263440860215</v>
      </c>
      <c r="M264" s="46">
        <f t="shared" si="295"/>
        <v>950.16532258064512</v>
      </c>
      <c r="N264" s="46">
        <f t="shared" si="295"/>
        <v>3.3051075268817205</v>
      </c>
      <c r="O264" s="46">
        <f t="shared" si="227"/>
        <v>4203.1639784946237</v>
      </c>
      <c r="P264" s="46">
        <f t="shared" si="295"/>
        <v>2831.510502104928</v>
      </c>
      <c r="Q264" s="46">
        <f t="shared" si="257"/>
        <v>7034.6744805995513</v>
      </c>
      <c r="R264" s="10">
        <f t="shared" si="249"/>
        <v>12601.202058838964</v>
      </c>
      <c r="T264" s="65">
        <f t="shared" si="250"/>
        <v>48.72</v>
      </c>
      <c r="U264" s="65">
        <f t="shared" si="273"/>
        <v>23</v>
      </c>
      <c r="V264" s="65">
        <f t="shared" si="273"/>
        <v>34</v>
      </c>
      <c r="W264" s="65">
        <f t="shared" si="273"/>
        <v>38</v>
      </c>
      <c r="X264" s="65">
        <f t="shared" si="258"/>
        <v>39.120199926194871</v>
      </c>
      <c r="Y264" s="65">
        <f>$Y$18/1000*CURVES!K223+$Y$14</f>
        <v>83.779382728494639</v>
      </c>
      <c r="Z264" s="65">
        <f t="shared" si="259"/>
        <v>57.09586396990742</v>
      </c>
      <c r="AA264" s="65">
        <f>CHOOSE(AA$18,CURVES!F223,CURVES!G223)</f>
        <v>39.421182248703374</v>
      </c>
      <c r="AB264" s="65">
        <f t="shared" si="251"/>
        <v>45.753246529467525</v>
      </c>
      <c r="AD264" s="65"/>
      <c r="AH264" s="46">
        <f t="shared" si="286"/>
        <v>1895.2591032026239</v>
      </c>
      <c r="AI264" s="46">
        <f t="shared" si="286"/>
        <v>0</v>
      </c>
      <c r="AJ264" s="46">
        <f t="shared" si="286"/>
        <v>1877.6303324734643</v>
      </c>
      <c r="AK264" s="46">
        <f t="shared" si="286"/>
        <v>570.53181663934993</v>
      </c>
      <c r="AL264" s="46">
        <f t="shared" si="228"/>
        <v>4343.4212523154383</v>
      </c>
      <c r="AM264" s="46">
        <f t="shared" si="287"/>
        <v>2186.8418319892476</v>
      </c>
      <c r="AN264" s="46">
        <f t="shared" si="260"/>
        <v>6530.2630843046863</v>
      </c>
      <c r="AO264" s="10">
        <f t="shared" si="253"/>
        <v>11796.41233358896</v>
      </c>
      <c r="AQ264" s="65">
        <f t="shared" si="254"/>
        <v>43</v>
      </c>
      <c r="AR264" s="65"/>
      <c r="AS264" s="65">
        <f t="shared" si="274"/>
        <v>30</v>
      </c>
      <c r="AT264" s="65">
        <f t="shared" si="274"/>
        <v>38</v>
      </c>
      <c r="AU264" s="65">
        <f t="shared" si="261"/>
        <v>36.723414833221909</v>
      </c>
      <c r="AV264" s="65">
        <f>$Y$18/1000*CURVES!O223+$AV$14</f>
        <v>80.632619288019157</v>
      </c>
      <c r="AW264" s="65">
        <f t="shared" si="262"/>
        <v>51.427644030649915</v>
      </c>
      <c r="AX264" s="65">
        <f>CHOOSE(AX$18,CURVES!B223,CURVES!C223)</f>
        <v>43.511290322580642</v>
      </c>
      <c r="AY264" s="65">
        <f t="shared" si="263"/>
        <v>46.332089578490901</v>
      </c>
    </row>
    <row r="265" spans="1:51">
      <c r="A265" s="75">
        <v>43617</v>
      </c>
      <c r="B265" s="2">
        <f t="shared" si="214"/>
        <v>2019</v>
      </c>
      <c r="C265" s="2">
        <f t="shared" si="255"/>
        <v>6</v>
      </c>
      <c r="D265" s="43">
        <v>6.2810872751499006E-2</v>
      </c>
      <c r="E265" s="44">
        <f t="shared" ca="1" si="215"/>
        <v>0.31813103994290942</v>
      </c>
      <c r="F265" s="44"/>
      <c r="G265" s="10"/>
      <c r="H265" s="10">
        <f t="shared" si="294"/>
        <v>21700.038891142834</v>
      </c>
      <c r="I265" s="10">
        <f t="shared" si="294"/>
        <v>20665.641736729303</v>
      </c>
      <c r="K265" s="46">
        <f t="shared" ref="K265:P265" si="296">K253</f>
        <v>2252.1333333333332</v>
      </c>
      <c r="L265" s="46">
        <f t="shared" si="296"/>
        <v>1398.3916666666667</v>
      </c>
      <c r="M265" s="46">
        <f t="shared" si="296"/>
        <v>957.04027777777776</v>
      </c>
      <c r="N265" s="46">
        <f t="shared" si="296"/>
        <v>3.526388888888889</v>
      </c>
      <c r="O265" s="46">
        <f t="shared" si="227"/>
        <v>4611.0916666666662</v>
      </c>
      <c r="P265" s="46">
        <f t="shared" si="296"/>
        <v>3175.7411781346573</v>
      </c>
      <c r="Q265" s="46">
        <f t="shared" si="257"/>
        <v>7786.8328448013235</v>
      </c>
      <c r="R265" s="10">
        <f t="shared" si="249"/>
        <v>13913.206046341511</v>
      </c>
      <c r="T265" s="65">
        <f t="shared" si="250"/>
        <v>48.72</v>
      </c>
      <c r="U265" s="65">
        <f t="shared" si="273"/>
        <v>23</v>
      </c>
      <c r="V265" s="65">
        <f t="shared" si="273"/>
        <v>34</v>
      </c>
      <c r="W265" s="65">
        <f t="shared" si="273"/>
        <v>38</v>
      </c>
      <c r="X265" s="65">
        <f t="shared" si="258"/>
        <v>37.856613829094464</v>
      </c>
      <c r="Y265" s="65">
        <f>$Y$18/1000*CURVES!K224+$Y$14</f>
        <v>84.083882728494615</v>
      </c>
      <c r="Z265" s="65">
        <f t="shared" si="259"/>
        <v>56.709701383752808</v>
      </c>
      <c r="AA265" s="65">
        <f>CHOOSE(AA$18,CURVES!F224,CURVES!G224)</f>
        <v>49.933860512184076</v>
      </c>
      <c r="AB265" s="65">
        <f t="shared" si="251"/>
        <v>52.365300405658836</v>
      </c>
      <c r="AD265" s="65"/>
      <c r="AH265" s="46">
        <f t="shared" si="286"/>
        <v>1881.3705563400365</v>
      </c>
      <c r="AI265" s="46">
        <f t="shared" si="286"/>
        <v>0</v>
      </c>
      <c r="AJ265" s="46">
        <f t="shared" si="286"/>
        <v>1162.1616861734683</v>
      </c>
      <c r="AK265" s="46">
        <f t="shared" si="286"/>
        <v>631.24071210358352</v>
      </c>
      <c r="AL265" s="46">
        <f t="shared" si="228"/>
        <v>3674.7729546170881</v>
      </c>
      <c r="AM265" s="46">
        <f t="shared" si="287"/>
        <v>2754.0461410958906</v>
      </c>
      <c r="AN265" s="46">
        <f t="shared" si="260"/>
        <v>6428.8190957129791</v>
      </c>
      <c r="AO265" s="10">
        <f t="shared" si="253"/>
        <v>14236.822641016324</v>
      </c>
      <c r="AQ265" s="65">
        <f t="shared" si="254"/>
        <v>43</v>
      </c>
      <c r="AR265" s="65"/>
      <c r="AS265" s="65">
        <f t="shared" si="274"/>
        <v>30</v>
      </c>
      <c r="AT265" s="65">
        <f t="shared" si="274"/>
        <v>38</v>
      </c>
      <c r="AU265" s="65">
        <f t="shared" si="261"/>
        <v>38.029813894263803</v>
      </c>
      <c r="AV265" s="65">
        <f>$Y$18/1000*CURVES!O224+$AV$14</f>
        <v>80.937119288019147</v>
      </c>
      <c r="AW265" s="65">
        <f t="shared" si="262"/>
        <v>56.410903342447973</v>
      </c>
      <c r="AX265" s="65">
        <f>CHOOSE(AX$18,CURVES!B224,CURVES!C224)</f>
        <v>48.394444444444446</v>
      </c>
      <c r="AY265" s="65">
        <f t="shared" si="263"/>
        <v>50.888263155715677</v>
      </c>
    </row>
    <row r="266" spans="1:51">
      <c r="A266" s="75">
        <v>43647</v>
      </c>
      <c r="B266" s="2">
        <f t="shared" si="214"/>
        <v>2019</v>
      </c>
      <c r="C266" s="2">
        <f t="shared" si="255"/>
        <v>7</v>
      </c>
      <c r="D266" s="43">
        <v>6.2834587843904E-2</v>
      </c>
      <c r="E266" s="44">
        <f t="shared" ca="1" si="215"/>
        <v>0.31633021391948052</v>
      </c>
      <c r="F266" s="44"/>
      <c r="G266" s="10"/>
      <c r="H266" s="10">
        <f t="shared" si="294"/>
        <v>21417.779011231381</v>
      </c>
      <c r="I266" s="10">
        <f t="shared" si="294"/>
        <v>19617.702178679672</v>
      </c>
      <c r="K266" s="46">
        <f t="shared" ref="K266:P266" si="297">K254</f>
        <v>2248.4569892473119</v>
      </c>
      <c r="L266" s="46">
        <f t="shared" si="297"/>
        <v>1358.3225806451612</v>
      </c>
      <c r="M266" s="46">
        <f t="shared" si="297"/>
        <v>653.55107526881716</v>
      </c>
      <c r="N266" s="46">
        <f t="shared" si="297"/>
        <v>3.8373655913978495</v>
      </c>
      <c r="O266" s="46">
        <f t="shared" si="227"/>
        <v>4264.1680107526872</v>
      </c>
      <c r="P266" s="46">
        <f t="shared" si="297"/>
        <v>3349.3895623880758</v>
      </c>
      <c r="Q266" s="46">
        <f t="shared" si="257"/>
        <v>7613.5575731407625</v>
      </c>
      <c r="R266" s="10">
        <f t="shared" si="249"/>
        <v>13804.221438090617</v>
      </c>
      <c r="T266" s="65">
        <f t="shared" si="250"/>
        <v>48.72</v>
      </c>
      <c r="U266" s="65">
        <f t="shared" ref="U266:W284" si="298">U$18</f>
        <v>23</v>
      </c>
      <c r="V266" s="65">
        <f t="shared" si="298"/>
        <v>34</v>
      </c>
      <c r="W266" s="65">
        <f t="shared" si="298"/>
        <v>38</v>
      </c>
      <c r="X266" s="65">
        <f t="shared" si="258"/>
        <v>38.261344278923424</v>
      </c>
      <c r="Y266" s="65">
        <f>$Y$18/1000*CURVES!K225+$Y$14</f>
        <v>84.398882728494627</v>
      </c>
      <c r="Z266" s="65">
        <f t="shared" si="259"/>
        <v>58.558372078704572</v>
      </c>
      <c r="AA266" s="65">
        <f>CHOOSE(AA$18,CURVES!F225,CURVES!G225)</f>
        <v>61.366596161680846</v>
      </c>
      <c r="AB266" s="65">
        <f t="shared" si="251"/>
        <v>60.368333189464707</v>
      </c>
      <c r="AD266" s="65"/>
      <c r="AH266" s="46">
        <f t="shared" si="286"/>
        <v>1914.3216201186069</v>
      </c>
      <c r="AI266" s="46">
        <f t="shared" si="286"/>
        <v>0</v>
      </c>
      <c r="AJ266" s="46">
        <f t="shared" si="286"/>
        <v>1193.3319743059751</v>
      </c>
      <c r="AK266" s="46">
        <f t="shared" si="286"/>
        <v>610.72305844211053</v>
      </c>
      <c r="AL266" s="46">
        <f t="shared" si="228"/>
        <v>3718.3766528666924</v>
      </c>
      <c r="AM266" s="46">
        <f t="shared" si="287"/>
        <v>2586.7318602150535</v>
      </c>
      <c r="AN266" s="46">
        <f t="shared" si="260"/>
        <v>6305.1085130817464</v>
      </c>
      <c r="AO266" s="10">
        <f t="shared" si="253"/>
        <v>13312.593665597926</v>
      </c>
      <c r="AQ266" s="65">
        <f t="shared" si="254"/>
        <v>43</v>
      </c>
      <c r="AR266" s="65"/>
      <c r="AS266" s="65">
        <f t="shared" ref="AS266:AT284" si="299">AS$18</f>
        <v>30</v>
      </c>
      <c r="AT266" s="65">
        <f t="shared" si="299"/>
        <v>38</v>
      </c>
      <c r="AU266" s="65">
        <f t="shared" si="261"/>
        <v>38.006710537547619</v>
      </c>
      <c r="AV266" s="65">
        <f>$Y$18/1000*CURVES!O225+$AV$14</f>
        <v>81.252119288019145</v>
      </c>
      <c r="AW266" s="65">
        <f t="shared" si="262"/>
        <v>55.748558499525302</v>
      </c>
      <c r="AX266" s="65">
        <f>CHOOSE(AX$18,CURVES!B225,CURVES!C225)</f>
        <v>60.841935483870969</v>
      </c>
      <c r="AY266" s="65">
        <f t="shared" si="263"/>
        <v>59.204929564837599</v>
      </c>
    </row>
    <row r="267" spans="1:51">
      <c r="A267" s="75">
        <v>43678</v>
      </c>
      <c r="B267" s="2">
        <f t="shared" si="214"/>
        <v>2019</v>
      </c>
      <c r="C267" s="2">
        <f t="shared" si="255"/>
        <v>8</v>
      </c>
      <c r="D267" s="43">
        <v>6.2859093439583999E-2</v>
      </c>
      <c r="E267" s="44">
        <f t="shared" ca="1" si="215"/>
        <v>0.3145338504825605</v>
      </c>
      <c r="F267" s="44"/>
      <c r="G267" s="10"/>
      <c r="H267" s="10">
        <f t="shared" si="294"/>
        <v>22967.822913197673</v>
      </c>
      <c r="I267" s="10">
        <f t="shared" si="294"/>
        <v>20346.803260994253</v>
      </c>
      <c r="K267" s="46">
        <f t="shared" ref="K267:P267" si="300">K255</f>
        <v>2226.0658602150538</v>
      </c>
      <c r="L267" s="46">
        <f t="shared" si="300"/>
        <v>1361.989247311828</v>
      </c>
      <c r="M267" s="46">
        <f t="shared" si="300"/>
        <v>483.36424731182797</v>
      </c>
      <c r="N267" s="46">
        <f t="shared" si="300"/>
        <v>3.924731182795699</v>
      </c>
      <c r="O267" s="46">
        <f t="shared" si="227"/>
        <v>4075.3440860215055</v>
      </c>
      <c r="P267" s="46">
        <f t="shared" si="300"/>
        <v>3426.252928840011</v>
      </c>
      <c r="Q267" s="46">
        <f t="shared" si="257"/>
        <v>7501.5970148615161</v>
      </c>
      <c r="R267" s="10">
        <f t="shared" si="249"/>
        <v>15466.225898336157</v>
      </c>
      <c r="T267" s="65">
        <f t="shared" si="250"/>
        <v>48.72</v>
      </c>
      <c r="U267" s="65">
        <f t="shared" si="298"/>
        <v>23</v>
      </c>
      <c r="V267" s="65">
        <f t="shared" si="298"/>
        <v>34</v>
      </c>
      <c r="W267" s="65">
        <f t="shared" si="298"/>
        <v>38</v>
      </c>
      <c r="X267" s="65">
        <f t="shared" si="258"/>
        <v>38.368099058856423</v>
      </c>
      <c r="Y267" s="65">
        <f>$Y$18/1000*CURVES!K226+$Y$14</f>
        <v>84.608882728494621</v>
      </c>
      <c r="Z267" s="65">
        <f t="shared" si="259"/>
        <v>59.487951293798162</v>
      </c>
      <c r="AA267" s="65">
        <f>CHOOSE(AA$18,CURVES!F226,CURVES!G226)</f>
        <v>65.08347000376898</v>
      </c>
      <c r="AB267" s="65">
        <f t="shared" si="251"/>
        <v>63.255899031545958</v>
      </c>
      <c r="AD267" s="65"/>
      <c r="AH267" s="46">
        <f t="shared" si="286"/>
        <v>1859.5945026415061</v>
      </c>
      <c r="AI267" s="46">
        <f t="shared" si="286"/>
        <v>0</v>
      </c>
      <c r="AJ267" s="46">
        <f t="shared" si="286"/>
        <v>1584.5088037693729</v>
      </c>
      <c r="AK267" s="46">
        <f t="shared" si="286"/>
        <v>621.50165686237608</v>
      </c>
      <c r="AL267" s="46">
        <f t="shared" si="228"/>
        <v>4065.6049632732547</v>
      </c>
      <c r="AM267" s="46">
        <f t="shared" si="287"/>
        <v>2208.289016129032</v>
      </c>
      <c r="AN267" s="46">
        <f t="shared" si="260"/>
        <v>6273.8939794022863</v>
      </c>
      <c r="AO267" s="10">
        <f t="shared" si="253"/>
        <v>14072.909281591967</v>
      </c>
      <c r="AQ267" s="65">
        <f t="shared" si="254"/>
        <v>43</v>
      </c>
      <c r="AR267" s="65"/>
      <c r="AS267" s="65">
        <f t="shared" si="299"/>
        <v>30</v>
      </c>
      <c r="AT267" s="65">
        <f t="shared" si="299"/>
        <v>38</v>
      </c>
      <c r="AU267" s="65">
        <f t="shared" si="261"/>
        <v>37.169103258318607</v>
      </c>
      <c r="AV267" s="65">
        <f>$Y$18/1000*CURVES!O226+$AV$14</f>
        <v>81.462119288019153</v>
      </c>
      <c r="AW267" s="65">
        <f t="shared" si="262"/>
        <v>52.759385961650707</v>
      </c>
      <c r="AX267" s="65">
        <f>CHOOSE(AX$18,CURVES!B226,CURVES!C226)</f>
        <v>70.375806451612902</v>
      </c>
      <c r="AY267" s="65">
        <f t="shared" si="263"/>
        <v>64.943820255409221</v>
      </c>
    </row>
    <row r="268" spans="1:51">
      <c r="A268" s="75">
        <v>43709</v>
      </c>
      <c r="B268" s="2">
        <f t="shared" si="214"/>
        <v>2019</v>
      </c>
      <c r="C268" s="2">
        <f t="shared" si="255"/>
        <v>9</v>
      </c>
      <c r="D268" s="43">
        <v>6.2883599035464005E-2</v>
      </c>
      <c r="E268" s="44">
        <f t="shared" ca="1" si="215"/>
        <v>0.31279944812773075</v>
      </c>
      <c r="F268" s="44"/>
      <c r="G268" s="10"/>
      <c r="H268" s="10">
        <f t="shared" si="294"/>
        <v>20804.521562459937</v>
      </c>
      <c r="I268" s="10">
        <f t="shared" si="294"/>
        <v>19165.38231276871</v>
      </c>
      <c r="K268" s="46">
        <f t="shared" ref="K268:P268" si="301">K256</f>
        <v>2263.6333333333332</v>
      </c>
      <c r="L268" s="46">
        <f t="shared" si="301"/>
        <v>1380.7361111111111</v>
      </c>
      <c r="M268" s="46">
        <f t="shared" si="301"/>
        <v>542.60277777777776</v>
      </c>
      <c r="N268" s="46">
        <f t="shared" si="301"/>
        <v>3.4194444444444443</v>
      </c>
      <c r="O268" s="46">
        <f t="shared" si="227"/>
        <v>4190.3916666666673</v>
      </c>
      <c r="P268" s="46">
        <f t="shared" si="301"/>
        <v>3348.1339323547272</v>
      </c>
      <c r="Q268" s="46">
        <f t="shared" si="257"/>
        <v>7538.5255990213946</v>
      </c>
      <c r="R268" s="10">
        <f t="shared" si="249"/>
        <v>13265.995963438543</v>
      </c>
      <c r="T268" s="65">
        <f t="shared" si="250"/>
        <v>48.72</v>
      </c>
      <c r="U268" s="65">
        <f t="shared" si="298"/>
        <v>23</v>
      </c>
      <c r="V268" s="65">
        <f t="shared" si="298"/>
        <v>34</v>
      </c>
      <c r="W268" s="65">
        <f t="shared" si="298"/>
        <v>38</v>
      </c>
      <c r="X268" s="65">
        <f t="shared" si="258"/>
        <v>38.330445615995849</v>
      </c>
      <c r="Y268" s="65">
        <f>$Y$18/1000*CURVES!K227+$Y$14</f>
        <v>84.829382728494636</v>
      </c>
      <c r="Z268" s="65">
        <f t="shared" si="259"/>
        <v>58.982318070338351</v>
      </c>
      <c r="AA268" s="65">
        <f>CHOOSE(AA$18,CURVES!F227,CURVES!G227)</f>
        <v>58.467821024852931</v>
      </c>
      <c r="AB268" s="65">
        <f t="shared" si="251"/>
        <v>58.654249207609674</v>
      </c>
      <c r="AD268" s="65"/>
      <c r="AH268" s="46">
        <f t="shared" si="286"/>
        <v>1890.9773416389726</v>
      </c>
      <c r="AI268" s="46">
        <f t="shared" si="286"/>
        <v>0</v>
      </c>
      <c r="AJ268" s="46">
        <f t="shared" si="286"/>
        <v>765.82060543821262</v>
      </c>
      <c r="AK268" s="46">
        <f t="shared" si="286"/>
        <v>570.92254509204622</v>
      </c>
      <c r="AL268" s="46">
        <f t="shared" si="228"/>
        <v>3227.7204921692314</v>
      </c>
      <c r="AM268" s="46">
        <f t="shared" si="287"/>
        <v>2371.5769315068492</v>
      </c>
      <c r="AN268" s="46">
        <f t="shared" si="260"/>
        <v>5599.2974236760801</v>
      </c>
      <c r="AO268" s="10">
        <f t="shared" si="253"/>
        <v>13566.084889092628</v>
      </c>
      <c r="AQ268" s="65">
        <f t="shared" si="254"/>
        <v>43</v>
      </c>
      <c r="AR268" s="65"/>
      <c r="AS268" s="65">
        <f t="shared" si="299"/>
        <v>30</v>
      </c>
      <c r="AT268" s="65">
        <f t="shared" si="299"/>
        <v>38</v>
      </c>
      <c r="AU268" s="65">
        <f t="shared" si="261"/>
        <v>39.031167931908605</v>
      </c>
      <c r="AV268" s="65">
        <f>$Y$18/1000*CURVES!O227+$AV$14</f>
        <v>81.682619288019154</v>
      </c>
      <c r="AW268" s="65">
        <f t="shared" si="262"/>
        <v>57.096148317435258</v>
      </c>
      <c r="AX268" s="65">
        <f>CHOOSE(AX$18,CURVES!B227,CURVES!C227)</f>
        <v>60.706666666666663</v>
      </c>
      <c r="AY268" s="65">
        <f t="shared" si="263"/>
        <v>59.651829055756188</v>
      </c>
    </row>
    <row r="269" spans="1:51">
      <c r="A269" s="75">
        <v>43739</v>
      </c>
      <c r="B269" s="2">
        <f t="shared" si="214"/>
        <v>2019</v>
      </c>
      <c r="C269" s="2">
        <f t="shared" si="255"/>
        <v>10</v>
      </c>
      <c r="D269" s="43">
        <v>6.2907314128441E-2</v>
      </c>
      <c r="E269" s="44">
        <f t="shared" ca="1" si="215"/>
        <v>0.31102514444661927</v>
      </c>
      <c r="F269" s="44"/>
      <c r="G269" s="10"/>
      <c r="H269" s="10">
        <f t="shared" si="294"/>
        <v>19327.378910336443</v>
      </c>
      <c r="I269" s="10">
        <f t="shared" si="294"/>
        <v>16589.02087457752</v>
      </c>
      <c r="K269" s="46">
        <f t="shared" ref="K269:P269" si="302">K257</f>
        <v>2069.2916666666665</v>
      </c>
      <c r="L269" s="46">
        <f t="shared" si="302"/>
        <v>1227.5241935483871</v>
      </c>
      <c r="M269" s="46">
        <f t="shared" si="302"/>
        <v>369.34005376344084</v>
      </c>
      <c r="N269" s="46">
        <f t="shared" si="302"/>
        <v>3.278225806451613</v>
      </c>
      <c r="O269" s="46">
        <f t="shared" si="227"/>
        <v>3669.4341397849457</v>
      </c>
      <c r="P269" s="46">
        <f t="shared" si="302"/>
        <v>3171.075494984625</v>
      </c>
      <c r="Q269" s="46">
        <f t="shared" si="257"/>
        <v>6840.5096347695708</v>
      </c>
      <c r="R269" s="10">
        <f t="shared" si="249"/>
        <v>12486.869275566873</v>
      </c>
      <c r="T269" s="65">
        <f t="shared" si="250"/>
        <v>48.72</v>
      </c>
      <c r="U269" s="65">
        <f t="shared" si="298"/>
        <v>23</v>
      </c>
      <c r="V269" s="65">
        <f t="shared" si="298"/>
        <v>34</v>
      </c>
      <c r="W269" s="65">
        <f t="shared" si="298"/>
        <v>38</v>
      </c>
      <c r="X269" s="65">
        <f t="shared" si="258"/>
        <v>38.624778497461044</v>
      </c>
      <c r="Y269" s="65">
        <f>$Y$18/1000*CURVES!K228+$Y$14</f>
        <v>85.144382728494634</v>
      </c>
      <c r="Z269" s="65">
        <f t="shared" si="259"/>
        <v>60.190010459652846</v>
      </c>
      <c r="AA269" s="65">
        <f>CHOOSE(AA$18,CURVES!F228,CURVES!G228)</f>
        <v>48.259272141408907</v>
      </c>
      <c r="AB269" s="65">
        <f t="shared" si="251"/>
        <v>52.48190009290083</v>
      </c>
      <c r="AD269" s="65"/>
      <c r="AH269" s="46">
        <f t="shared" si="286"/>
        <v>1913.8399491890309</v>
      </c>
      <c r="AI269" s="46">
        <f t="shared" si="286"/>
        <v>0</v>
      </c>
      <c r="AJ269" s="46">
        <f t="shared" si="286"/>
        <v>1075.3801160883429</v>
      </c>
      <c r="AK269" s="46">
        <f t="shared" si="286"/>
        <v>576.38556050292607</v>
      </c>
      <c r="AL269" s="46">
        <f t="shared" si="228"/>
        <v>3565.6056257802998</v>
      </c>
      <c r="AM269" s="46">
        <f t="shared" si="287"/>
        <v>2259.7132500000002</v>
      </c>
      <c r="AN269" s="46">
        <f t="shared" si="260"/>
        <v>5825.3188757803</v>
      </c>
      <c r="AO269" s="10">
        <f t="shared" si="253"/>
        <v>10763.70199879722</v>
      </c>
      <c r="AQ269" s="65">
        <f t="shared" si="254"/>
        <v>43</v>
      </c>
      <c r="AR269" s="65"/>
      <c r="AS269" s="65">
        <f t="shared" si="299"/>
        <v>30</v>
      </c>
      <c r="AT269" s="65">
        <f t="shared" si="299"/>
        <v>38</v>
      </c>
      <c r="AU269" s="65">
        <f t="shared" si="261"/>
        <v>38.270966258930272</v>
      </c>
      <c r="AV269" s="65">
        <f>$Y$18/1000*CURVES!O228+$AV$14</f>
        <v>81.997619288019152</v>
      </c>
      <c r="AW269" s="65">
        <f t="shared" si="262"/>
        <v>55.233075859282287</v>
      </c>
      <c r="AX269" s="65">
        <f>CHOOSE(AX$18,CURVES!B228,CURVES!C228)</f>
        <v>48.106451612903228</v>
      </c>
      <c r="AY269" s="65">
        <f t="shared" si="263"/>
        <v>50.609001887383045</v>
      </c>
    </row>
    <row r="270" spans="1:51">
      <c r="A270" s="75">
        <v>43770</v>
      </c>
      <c r="B270" s="2">
        <f t="shared" si="214"/>
        <v>2019</v>
      </c>
      <c r="C270" s="2">
        <f t="shared" si="255"/>
        <v>11</v>
      </c>
      <c r="D270" s="43">
        <v>6.2931819724712998E-2</v>
      </c>
      <c r="E270" s="44">
        <f t="shared" ca="1" si="215"/>
        <v>0.30930767801992953</v>
      </c>
      <c r="F270" s="44"/>
      <c r="G270" s="10"/>
      <c r="H270" s="10">
        <f t="shared" si="294"/>
        <v>18905.994382325604</v>
      </c>
      <c r="I270" s="10">
        <f t="shared" si="294"/>
        <v>16840.827622582045</v>
      </c>
      <c r="K270" s="46">
        <f t="shared" ref="K270:P270" si="303">K258</f>
        <v>2201.1583333333333</v>
      </c>
      <c r="L270" s="46">
        <f t="shared" si="303"/>
        <v>1270.0277777777778</v>
      </c>
      <c r="M270" s="46">
        <f t="shared" si="303"/>
        <v>241.3111111111111</v>
      </c>
      <c r="N270" s="46">
        <f t="shared" si="303"/>
        <v>3.1194444444444445</v>
      </c>
      <c r="O270" s="46">
        <f t="shared" si="227"/>
        <v>3715.6166666666668</v>
      </c>
      <c r="P270" s="46">
        <f t="shared" si="303"/>
        <v>3029.0331582980816</v>
      </c>
      <c r="Q270" s="46">
        <f t="shared" si="257"/>
        <v>6744.6498249647484</v>
      </c>
      <c r="R270" s="10">
        <f t="shared" si="249"/>
        <v>12161.344557360855</v>
      </c>
      <c r="T270" s="65">
        <f t="shared" si="250"/>
        <v>48.72</v>
      </c>
      <c r="U270" s="65">
        <f t="shared" si="298"/>
        <v>23</v>
      </c>
      <c r="V270" s="65">
        <f t="shared" si="298"/>
        <v>34</v>
      </c>
      <c r="W270" s="65">
        <f t="shared" si="298"/>
        <v>38</v>
      </c>
      <c r="X270" s="65">
        <f t="shared" si="258"/>
        <v>38.963704424717896</v>
      </c>
      <c r="Y270" s="65">
        <f>$Y$18/1000*CURVES!K229+$Y$14</f>
        <v>85.905632728494624</v>
      </c>
      <c r="Z270" s="65">
        <f t="shared" si="259"/>
        <v>60.045400441061354</v>
      </c>
      <c r="AA270" s="65">
        <f>CHOOSE(AA$18,CURVES!F229,CURVES!G229)</f>
        <v>40.415898588561411</v>
      </c>
      <c r="AB270" s="65">
        <f t="shared" si="251"/>
        <v>47.418657266908347</v>
      </c>
      <c r="AD270" s="65"/>
      <c r="AH270" s="46">
        <f t="shared" si="286"/>
        <v>1838.7874362867092</v>
      </c>
      <c r="AI270" s="46">
        <f t="shared" si="286"/>
        <v>0</v>
      </c>
      <c r="AJ270" s="46">
        <f t="shared" si="286"/>
        <v>1347.8791847211178</v>
      </c>
      <c r="AK270" s="46">
        <f t="shared" si="286"/>
        <v>499.43911251442188</v>
      </c>
      <c r="AL270" s="46">
        <f t="shared" si="228"/>
        <v>3686.105733522249</v>
      </c>
      <c r="AM270" s="46">
        <f t="shared" si="287"/>
        <v>2451.2376410958905</v>
      </c>
      <c r="AN270" s="46">
        <f t="shared" si="260"/>
        <v>6137.3433746181399</v>
      </c>
      <c r="AO270" s="10">
        <f t="shared" si="253"/>
        <v>10703.484247963905</v>
      </c>
      <c r="AQ270" s="65">
        <f t="shared" si="254"/>
        <v>43</v>
      </c>
      <c r="AR270" s="65"/>
      <c r="AS270" s="65">
        <f t="shared" si="299"/>
        <v>30</v>
      </c>
      <c r="AT270" s="65">
        <f t="shared" si="299"/>
        <v>38</v>
      </c>
      <c r="AU270" s="65">
        <f t="shared" si="261"/>
        <v>37.568895628282228</v>
      </c>
      <c r="AV270" s="65">
        <f>$Y$18/1000*CURVES!O229+$AV$14</f>
        <v>83.467619288019165</v>
      </c>
      <c r="AW270" s="65">
        <f t="shared" si="262"/>
        <v>55.900716457845299</v>
      </c>
      <c r="AX270" s="65">
        <f>CHOOSE(AX$18,CURVES!B229,CURVES!C229)</f>
        <v>46.172222222222217</v>
      </c>
      <c r="AY270" s="65">
        <f t="shared" si="263"/>
        <v>49.717600809314348</v>
      </c>
    </row>
    <row r="271" spans="1:51">
      <c r="A271" s="75">
        <v>43800</v>
      </c>
      <c r="B271" s="2">
        <f t="shared" si="214"/>
        <v>2019</v>
      </c>
      <c r="C271" s="2">
        <f t="shared" si="255"/>
        <v>12</v>
      </c>
      <c r="D271" s="43">
        <v>6.2955534818068995E-2</v>
      </c>
      <c r="E271" s="44">
        <f t="shared" ca="1" si="215"/>
        <v>0.30755078269421299</v>
      </c>
      <c r="F271" s="44"/>
      <c r="G271" s="10"/>
      <c r="H271" s="10">
        <f t="shared" si="294"/>
        <v>18769.861456398732</v>
      </c>
      <c r="I271" s="10">
        <f t="shared" si="294"/>
        <v>16802.56819569182</v>
      </c>
      <c r="K271" s="46">
        <f t="shared" ref="K271:P271" si="304">K259</f>
        <v>2256.4126344086021</v>
      </c>
      <c r="L271" s="46">
        <f t="shared" si="304"/>
        <v>1157.2150537634409</v>
      </c>
      <c r="M271" s="46">
        <f t="shared" si="304"/>
        <v>239.86021505376345</v>
      </c>
      <c r="N271" s="46">
        <f t="shared" si="304"/>
        <v>2.9690860215053765</v>
      </c>
      <c r="O271" s="46">
        <f t="shared" si="227"/>
        <v>3656.4569892473123</v>
      </c>
      <c r="P271" s="46">
        <f t="shared" si="304"/>
        <v>2977.5968497309718</v>
      </c>
      <c r="Q271" s="46">
        <f t="shared" si="257"/>
        <v>6634.0538389782841</v>
      </c>
      <c r="R271" s="10">
        <f t="shared" si="249"/>
        <v>12135.807617420449</v>
      </c>
      <c r="T271" s="65">
        <f t="shared" si="250"/>
        <v>48.72</v>
      </c>
      <c r="U271" s="65">
        <f t="shared" si="298"/>
        <v>23</v>
      </c>
      <c r="V271" s="65">
        <f t="shared" si="298"/>
        <v>34</v>
      </c>
      <c r="W271" s="65">
        <f t="shared" si="298"/>
        <v>38</v>
      </c>
      <c r="X271" s="65">
        <f t="shared" si="258"/>
        <v>39.60567368670241</v>
      </c>
      <c r="Y271" s="65">
        <f>$Y$18/1000*CURVES!K230+$Y$14</f>
        <v>87.218132728494624</v>
      </c>
      <c r="Z271" s="65">
        <f t="shared" si="259"/>
        <v>60.975821034288543</v>
      </c>
      <c r="AA271" s="65">
        <f>CHOOSE(AA$18,CURVES!F230,CURVES!G230)</f>
        <v>39.919862413372933</v>
      </c>
      <c r="AB271" s="65">
        <f t="shared" si="251"/>
        <v>47.361918575957631</v>
      </c>
      <c r="AD271" s="65"/>
      <c r="AH271" s="46">
        <f t="shared" si="286"/>
        <v>1921.095004536046</v>
      </c>
      <c r="AI271" s="46">
        <f t="shared" si="286"/>
        <v>0</v>
      </c>
      <c r="AJ271" s="46">
        <f t="shared" si="286"/>
        <v>1326.4786927345147</v>
      </c>
      <c r="AK271" s="46">
        <f t="shared" si="286"/>
        <v>519.61972313456249</v>
      </c>
      <c r="AL271" s="46">
        <f t="shared" si="228"/>
        <v>3767.1934204051231</v>
      </c>
      <c r="AM271" s="46">
        <f t="shared" si="287"/>
        <v>2024.2479112903225</v>
      </c>
      <c r="AN271" s="46">
        <f t="shared" si="260"/>
        <v>5791.4413316954451</v>
      </c>
      <c r="AO271" s="10">
        <f t="shared" si="253"/>
        <v>11011.126863996375</v>
      </c>
      <c r="AQ271" s="65">
        <f t="shared" si="254"/>
        <v>43</v>
      </c>
      <c r="AR271" s="65"/>
      <c r="AS271" s="65">
        <f t="shared" si="299"/>
        <v>30</v>
      </c>
      <c r="AT271" s="65">
        <f t="shared" si="299"/>
        <v>38</v>
      </c>
      <c r="AU271" s="65">
        <f t="shared" si="261"/>
        <v>37.732863591833393</v>
      </c>
      <c r="AV271" s="65">
        <f>$Y$18/1000*CURVES!O230+$AV$14</f>
        <v>84.780119288019165</v>
      </c>
      <c r="AW271" s="65">
        <f t="shared" si="262"/>
        <v>54.17700998311966</v>
      </c>
      <c r="AX271" s="65">
        <f>CHOOSE(AX$18,CURVES!B230,CURVES!C230)</f>
        <v>45.044086021505379</v>
      </c>
      <c r="AY271" s="65">
        <f t="shared" si="263"/>
        <v>48.191985360136627</v>
      </c>
    </row>
    <row r="272" spans="1:51">
      <c r="A272" s="75">
        <v>43831</v>
      </c>
      <c r="B272" s="2">
        <f t="shared" si="214"/>
        <v>2020</v>
      </c>
      <c r="C272" s="2">
        <f t="shared" si="255"/>
        <v>1</v>
      </c>
      <c r="D272" s="43">
        <v>6.2980040414732999E-2</v>
      </c>
      <c r="E272" s="44">
        <f t="shared" ca="1" si="215"/>
        <v>0.3057981968109999</v>
      </c>
      <c r="F272" s="44"/>
      <c r="G272" s="10"/>
      <c r="H272" s="10">
        <f t="shared" si="294"/>
        <v>19114.738623694822</v>
      </c>
      <c r="I272" s="10">
        <f t="shared" si="294"/>
        <v>18170.942635135212</v>
      </c>
      <c r="K272" s="46">
        <f t="shared" ref="K272:P272" si="305">K260</f>
        <v>2185.9180107526881</v>
      </c>
      <c r="L272" s="46">
        <f t="shared" si="305"/>
        <v>1282.3306451612902</v>
      </c>
      <c r="M272" s="46">
        <f t="shared" si="305"/>
        <v>142.8521505376344</v>
      </c>
      <c r="N272" s="46">
        <f t="shared" si="305"/>
        <v>3.168010752688172</v>
      </c>
      <c r="O272" s="46">
        <f t="shared" si="227"/>
        <v>3614.2688172043008</v>
      </c>
      <c r="P272" s="46">
        <f t="shared" si="305"/>
        <v>2792.6655547379</v>
      </c>
      <c r="Q272" s="46">
        <f t="shared" si="257"/>
        <v>6406.9343719422013</v>
      </c>
      <c r="R272" s="10">
        <f t="shared" si="249"/>
        <v>12707.804251752621</v>
      </c>
      <c r="T272" s="65">
        <f t="shared" si="250"/>
        <v>48.72</v>
      </c>
      <c r="U272" s="65">
        <f t="shared" si="298"/>
        <v>23</v>
      </c>
      <c r="V272" s="65">
        <f t="shared" si="298"/>
        <v>34</v>
      </c>
      <c r="W272" s="65">
        <f t="shared" si="298"/>
        <v>38</v>
      </c>
      <c r="X272" s="65">
        <f t="shared" si="258"/>
        <v>39.003431946853418</v>
      </c>
      <c r="Y272" s="65">
        <f>$Y$18/1000*CURVES!K231+$Y$14</f>
        <v>88.992632728494627</v>
      </c>
      <c r="Z272" s="65">
        <f t="shared" si="259"/>
        <v>60.792810614930346</v>
      </c>
      <c r="AA272" s="65">
        <f>CHOOSE(AA$18,CURVES!F231,CURVES!G231)</f>
        <v>41.653314016316536</v>
      </c>
      <c r="AB272" s="65">
        <f t="shared" si="251"/>
        <v>48.068546839187675</v>
      </c>
      <c r="AD272" s="65"/>
      <c r="AH272" s="46">
        <f t="shared" si="286"/>
        <v>1826.0560878589888</v>
      </c>
      <c r="AI272" s="46">
        <f t="shared" si="286"/>
        <v>0</v>
      </c>
      <c r="AJ272" s="46">
        <f t="shared" si="286"/>
        <v>1744.0893186443859</v>
      </c>
      <c r="AK272" s="46">
        <f t="shared" si="286"/>
        <v>538.87289280137145</v>
      </c>
      <c r="AL272" s="46">
        <f t="shared" si="228"/>
        <v>4109.0182993047465</v>
      </c>
      <c r="AM272" s="46">
        <f t="shared" si="287"/>
        <v>2445.3687016129034</v>
      </c>
      <c r="AN272" s="46">
        <f t="shared" si="260"/>
        <v>6554.3870009176499</v>
      </c>
      <c r="AO272" s="10">
        <f t="shared" si="253"/>
        <v>11616.555634217562</v>
      </c>
      <c r="AQ272" s="65">
        <f t="shared" si="254"/>
        <v>43</v>
      </c>
      <c r="AR272" s="65"/>
      <c r="AS272" s="65">
        <f t="shared" si="299"/>
        <v>30</v>
      </c>
      <c r="AT272" s="65">
        <f t="shared" si="299"/>
        <v>38</v>
      </c>
      <c r="AU272" s="65">
        <f t="shared" si="261"/>
        <v>36.826378040059808</v>
      </c>
      <c r="AV272" s="65">
        <f>$Y$18/1000*CURVES!O231+$AV$14</f>
        <v>86.554619288019154</v>
      </c>
      <c r="AW272" s="65">
        <f t="shared" si="262"/>
        <v>55.379430326565071</v>
      </c>
      <c r="AX272" s="65">
        <f>CHOOSE(AX$18,CURVES!B231,CURVES!C231)</f>
        <v>48.888172043010755</v>
      </c>
      <c r="AY272" s="65">
        <f t="shared" si="263"/>
        <v>51.229614628991975</v>
      </c>
    </row>
    <row r="273" spans="1:51">
      <c r="A273" s="75">
        <v>43862</v>
      </c>
      <c r="B273" s="2">
        <f t="shared" si="214"/>
        <v>2020</v>
      </c>
      <c r="C273" s="2">
        <f t="shared" si="255"/>
        <v>2</v>
      </c>
      <c r="D273" s="43">
        <v>6.3004546011596996E-2</v>
      </c>
      <c r="E273" s="44">
        <f t="shared" ca="1" si="215"/>
        <v>0.30415766970053615</v>
      </c>
      <c r="F273" s="44"/>
      <c r="G273" s="10"/>
      <c r="H273" s="10">
        <f t="shared" si="294"/>
        <v>19166.153485950057</v>
      </c>
      <c r="I273" s="10">
        <f t="shared" si="294"/>
        <v>18146.725064561237</v>
      </c>
      <c r="K273" s="46">
        <f t="shared" ref="K273:P273" si="306">K261</f>
        <v>2261.8764367816093</v>
      </c>
      <c r="L273" s="46">
        <f t="shared" si="306"/>
        <v>1335.9798850574712</v>
      </c>
      <c r="M273" s="46">
        <f t="shared" si="306"/>
        <v>236.0028735632184</v>
      </c>
      <c r="N273" s="46">
        <f t="shared" si="306"/>
        <v>3.8491379310344827</v>
      </c>
      <c r="O273" s="46">
        <f t="shared" si="227"/>
        <v>3837.7083333333335</v>
      </c>
      <c r="P273" s="46">
        <f t="shared" si="306"/>
        <v>3011.7717013676738</v>
      </c>
      <c r="Q273" s="46">
        <f t="shared" si="257"/>
        <v>6849.4800347010078</v>
      </c>
      <c r="R273" s="10">
        <f t="shared" si="249"/>
        <v>12316.673451249049</v>
      </c>
      <c r="T273" s="65">
        <f t="shared" si="250"/>
        <v>48.72</v>
      </c>
      <c r="U273" s="65">
        <f t="shared" si="298"/>
        <v>23</v>
      </c>
      <c r="V273" s="65">
        <f t="shared" si="298"/>
        <v>34</v>
      </c>
      <c r="W273" s="65">
        <f t="shared" si="298"/>
        <v>38</v>
      </c>
      <c r="X273" s="65">
        <f t="shared" si="258"/>
        <v>38.850404811599958</v>
      </c>
      <c r="Y273" s="65">
        <f>$Y$18/1000*CURVES!K232+$Y$14</f>
        <v>87.984632728494617</v>
      </c>
      <c r="Z273" s="65">
        <f t="shared" si="259"/>
        <v>60.455121733022807</v>
      </c>
      <c r="AA273" s="65">
        <f>CHOOSE(AA$18,CURVES!F232,CURVES!G232)</f>
        <v>41.641830749246566</v>
      </c>
      <c r="AB273" s="65">
        <f t="shared" si="251"/>
        <v>48.365206990330044</v>
      </c>
      <c r="AD273" s="65"/>
      <c r="AH273" s="46">
        <f t="shared" si="286"/>
        <v>1925.7468502510062</v>
      </c>
      <c r="AI273" s="46">
        <f t="shared" si="286"/>
        <v>0</v>
      </c>
      <c r="AJ273" s="46">
        <f t="shared" si="286"/>
        <v>2201.9273871825426</v>
      </c>
      <c r="AK273" s="46">
        <f t="shared" si="286"/>
        <v>548.47547775416388</v>
      </c>
      <c r="AL273" s="46">
        <f t="shared" si="228"/>
        <v>4676.1497151877129</v>
      </c>
      <c r="AM273" s="46">
        <f t="shared" si="287"/>
        <v>2161.5456443452381</v>
      </c>
      <c r="AN273" s="46">
        <f t="shared" si="260"/>
        <v>6837.6953595329505</v>
      </c>
      <c r="AO273" s="10">
        <f t="shared" si="253"/>
        <v>11309.029705028286</v>
      </c>
      <c r="AQ273" s="65">
        <f t="shared" si="254"/>
        <v>43</v>
      </c>
      <c r="AR273" s="65"/>
      <c r="AS273" s="65">
        <f t="shared" si="299"/>
        <v>30</v>
      </c>
      <c r="AT273" s="65">
        <f t="shared" si="299"/>
        <v>38</v>
      </c>
      <c r="AU273" s="65">
        <f t="shared" si="261"/>
        <v>36.29203825098557</v>
      </c>
      <c r="AV273" s="65">
        <f>$Y$18/1000*CURVES!O232+$AV$14</f>
        <v>85.546619288019144</v>
      </c>
      <c r="AW273" s="65">
        <f t="shared" si="262"/>
        <v>51.862492842270797</v>
      </c>
      <c r="AX273" s="65">
        <f>CHOOSE(AX$18,CURVES!B232,CURVES!C232)</f>
        <v>47.633908045977009</v>
      </c>
      <c r="AY273" s="65">
        <f t="shared" si="263"/>
        <v>49.227240977188679</v>
      </c>
    </row>
    <row r="274" spans="1:51">
      <c r="A274" s="75">
        <v>43891</v>
      </c>
      <c r="B274" s="2">
        <f t="shared" si="214"/>
        <v>2020</v>
      </c>
      <c r="C274" s="2">
        <f t="shared" si="255"/>
        <v>3</v>
      </c>
      <c r="D274" s="43">
        <v>6.3027470602391E-2</v>
      </c>
      <c r="E274" s="44">
        <f t="shared" ca="1" si="215"/>
        <v>0.30243095601633901</v>
      </c>
      <c r="F274" s="44"/>
      <c r="G274" s="10"/>
      <c r="H274" s="10">
        <f t="shared" si="294"/>
        <v>19055.197490527782</v>
      </c>
      <c r="I274" s="10">
        <f t="shared" si="294"/>
        <v>17739.337003217355</v>
      </c>
      <c r="K274" s="46">
        <f t="shared" ref="K274:P274" si="307">K262</f>
        <v>2263.9462365591398</v>
      </c>
      <c r="L274" s="46">
        <f t="shared" si="307"/>
        <v>1258.630376344086</v>
      </c>
      <c r="M274" s="46">
        <f t="shared" si="307"/>
        <v>620.64650537634407</v>
      </c>
      <c r="N274" s="46">
        <f t="shared" si="307"/>
        <v>2.581989247311828</v>
      </c>
      <c r="O274" s="46">
        <f t="shared" si="227"/>
        <v>4145.8051075268813</v>
      </c>
      <c r="P274" s="46">
        <f t="shared" si="307"/>
        <v>2834.3973290285558</v>
      </c>
      <c r="Q274" s="46">
        <f t="shared" si="257"/>
        <v>6980.2024365554371</v>
      </c>
      <c r="R274" s="10">
        <f t="shared" si="249"/>
        <v>12074.995053972345</v>
      </c>
      <c r="T274" s="65">
        <f t="shared" si="250"/>
        <v>48.72</v>
      </c>
      <c r="U274" s="65">
        <f t="shared" si="298"/>
        <v>23</v>
      </c>
      <c r="V274" s="65">
        <f t="shared" si="298"/>
        <v>34</v>
      </c>
      <c r="W274" s="65">
        <f t="shared" si="298"/>
        <v>38</v>
      </c>
      <c r="X274" s="65">
        <f t="shared" si="258"/>
        <v>38.701302138870133</v>
      </c>
      <c r="Y274" s="65">
        <f>$Y$18/1000*CURVES!K233+$Y$14</f>
        <v>86.409632728494614</v>
      </c>
      <c r="Z274" s="65">
        <f t="shared" si="259"/>
        <v>58.073858454353285</v>
      </c>
      <c r="AA274" s="65">
        <f>CHOOSE(AA$18,CURVES!F233,CURVES!G233)</f>
        <v>41.010297237537095</v>
      </c>
      <c r="AB274" s="65">
        <f t="shared" si="251"/>
        <v>47.260933665794568</v>
      </c>
      <c r="AD274" s="65"/>
      <c r="AH274" s="46">
        <f t="shared" si="286"/>
        <v>1891.2387324311178</v>
      </c>
      <c r="AI274" s="46">
        <f t="shared" si="286"/>
        <v>0</v>
      </c>
      <c r="AJ274" s="46">
        <f t="shared" si="286"/>
        <v>1966.5504926356311</v>
      </c>
      <c r="AK274" s="46">
        <f t="shared" si="286"/>
        <v>526.07330501492243</v>
      </c>
      <c r="AL274" s="46">
        <f t="shared" si="228"/>
        <v>4383.8625300816711</v>
      </c>
      <c r="AM274" s="46">
        <f t="shared" si="287"/>
        <v>2044.2222728494623</v>
      </c>
      <c r="AN274" s="46">
        <f t="shared" si="260"/>
        <v>6428.0848029311337</v>
      </c>
      <c r="AO274" s="10">
        <f t="shared" si="253"/>
        <v>11311.252200286222</v>
      </c>
      <c r="AQ274" s="65">
        <f t="shared" si="254"/>
        <v>43</v>
      </c>
      <c r="AR274" s="65"/>
      <c r="AS274" s="65">
        <f t="shared" si="299"/>
        <v>30</v>
      </c>
      <c r="AT274" s="65">
        <f t="shared" si="299"/>
        <v>38</v>
      </c>
      <c r="AU274" s="65">
        <f t="shared" si="261"/>
        <v>36.56833779894724</v>
      </c>
      <c r="AV274" s="65">
        <f>$Y$18/1000*CURVES!O233+$AV$14</f>
        <v>83.971619288019156</v>
      </c>
      <c r="AW274" s="65">
        <f t="shared" si="262"/>
        <v>51.643254636062828</v>
      </c>
      <c r="AX274" s="65">
        <f>CHOOSE(AX$18,CURVES!B233,CURVES!C233)</f>
        <v>45.358602150537635</v>
      </c>
      <c r="AY274" s="65">
        <f t="shared" si="263"/>
        <v>47.635929602323515</v>
      </c>
    </row>
    <row r="275" spans="1:51">
      <c r="A275" s="75">
        <v>43922</v>
      </c>
      <c r="B275" s="2">
        <f t="shared" si="214"/>
        <v>2020</v>
      </c>
      <c r="C275" s="2">
        <f t="shared" si="255"/>
        <v>4</v>
      </c>
      <c r="D275" s="43">
        <v>6.3051976199639995E-2</v>
      </c>
      <c r="E275" s="44">
        <f t="shared" ca="1" si="215"/>
        <v>0.30075510312423714</v>
      </c>
      <c r="F275" s="44"/>
      <c r="G275" s="10"/>
      <c r="H275" s="10">
        <f t="shared" si="294"/>
        <v>19139.751361029146</v>
      </c>
      <c r="I275" s="10">
        <f t="shared" si="294"/>
        <v>17329.50158574638</v>
      </c>
      <c r="K275" s="46">
        <f t="shared" ref="K275:P275" si="308">K263</f>
        <v>2319.8402777777778</v>
      </c>
      <c r="L275" s="46">
        <f t="shared" si="308"/>
        <v>1179.1659722222223</v>
      </c>
      <c r="M275" s="46">
        <f t="shared" si="308"/>
        <v>811.58611111111111</v>
      </c>
      <c r="N275" s="46">
        <f t="shared" si="308"/>
        <v>3.0416666666666665</v>
      </c>
      <c r="O275" s="46">
        <f t="shared" si="227"/>
        <v>4313.6340277777781</v>
      </c>
      <c r="P275" s="46">
        <f t="shared" si="308"/>
        <v>2923.3945906815438</v>
      </c>
      <c r="Q275" s="46">
        <f t="shared" si="257"/>
        <v>7237.0286184593224</v>
      </c>
      <c r="R275" s="10">
        <f t="shared" si="249"/>
        <v>11902.722742569824</v>
      </c>
      <c r="T275" s="65">
        <f t="shared" si="250"/>
        <v>48.72</v>
      </c>
      <c r="U275" s="65">
        <f t="shared" si="298"/>
        <v>23</v>
      </c>
      <c r="V275" s="65">
        <f t="shared" si="298"/>
        <v>34</v>
      </c>
      <c r="W275" s="65">
        <f t="shared" si="298"/>
        <v>38</v>
      </c>
      <c r="X275" s="65">
        <f t="shared" si="258"/>
        <v>38.912189982891782</v>
      </c>
      <c r="Y275" s="65">
        <f>$Y$18/1000*CURVES!K234+$Y$14</f>
        <v>85.196882728494643</v>
      </c>
      <c r="Z275" s="65">
        <f t="shared" si="259"/>
        <v>57.608871665029199</v>
      </c>
      <c r="AA275" s="65">
        <f>CHOOSE(AA$18,CURVES!F234,CURVES!G234)</f>
        <v>40.145870422566304</v>
      </c>
      <c r="AB275" s="65">
        <f t="shared" si="251"/>
        <v>46.748894535680975</v>
      </c>
      <c r="AD275" s="65"/>
      <c r="AH275" s="46">
        <f t="shared" si="286"/>
        <v>1937.9310849074075</v>
      </c>
      <c r="AI275" s="46">
        <f t="shared" si="286"/>
        <v>0</v>
      </c>
      <c r="AJ275" s="46">
        <f t="shared" si="286"/>
        <v>2070.9500209392572</v>
      </c>
      <c r="AK275" s="46">
        <f t="shared" si="286"/>
        <v>513.91932921853174</v>
      </c>
      <c r="AL275" s="46">
        <f t="shared" si="228"/>
        <v>4522.8004350651963</v>
      </c>
      <c r="AM275" s="46">
        <f t="shared" si="287"/>
        <v>2152.9968589041096</v>
      </c>
      <c r="AN275" s="46">
        <f t="shared" si="260"/>
        <v>6675.7972939693063</v>
      </c>
      <c r="AO275" s="10">
        <f t="shared" si="253"/>
        <v>10653.704291777074</v>
      </c>
      <c r="AQ275" s="65">
        <f t="shared" si="254"/>
        <v>43</v>
      </c>
      <c r="AR275" s="65"/>
      <c r="AS275" s="65">
        <f t="shared" si="299"/>
        <v>30</v>
      </c>
      <c r="AT275" s="65">
        <f t="shared" si="299"/>
        <v>38</v>
      </c>
      <c r="AU275" s="65">
        <f t="shared" si="261"/>
        <v>36.479272998726103</v>
      </c>
      <c r="AV275" s="65">
        <f>$Y$18/1000*CURVES!O234+$AV$14</f>
        <v>82.050119288019147</v>
      </c>
      <c r="AW275" s="65">
        <f t="shared" si="262"/>
        <v>51.176227474423364</v>
      </c>
      <c r="AX275" s="65">
        <f>CHOOSE(AX$18,CURVES!B234,CURVES!C234)</f>
        <v>43.72</v>
      </c>
      <c r="AY275" s="65">
        <f t="shared" si="263"/>
        <v>46.592342458938134</v>
      </c>
    </row>
    <row r="276" spans="1:51">
      <c r="A276" s="75">
        <v>43952</v>
      </c>
      <c r="B276" s="2">
        <f t="shared" ref="B276:B284" si="309">YEAR(A276)</f>
        <v>2020</v>
      </c>
      <c r="C276" s="2">
        <f t="shared" si="255"/>
        <v>5</v>
      </c>
      <c r="D276" s="43">
        <v>6.3075691293941E-2</v>
      </c>
      <c r="E276" s="44">
        <f t="shared" ref="E276:E283" ca="1" si="310">(1+D276/2)^(-2*(DATE($B277,$C277,20)-$E$17)/365.25)</f>
        <v>0.29904097716379291</v>
      </c>
      <c r="F276" s="44"/>
      <c r="G276" s="10"/>
      <c r="H276" s="10">
        <f t="shared" si="294"/>
        <v>20224.952835621672</v>
      </c>
      <c r="I276" s="10">
        <f t="shared" si="294"/>
        <v>18876.475680430456</v>
      </c>
      <c r="K276" s="46">
        <f t="shared" ref="K276:P276" si="311">K264</f>
        <v>2226.0672043010754</v>
      </c>
      <c r="L276" s="46">
        <f t="shared" si="311"/>
        <v>1023.6263440860215</v>
      </c>
      <c r="M276" s="46">
        <f t="shared" si="311"/>
        <v>950.16532258064512</v>
      </c>
      <c r="N276" s="46">
        <f t="shared" si="311"/>
        <v>3.3051075268817205</v>
      </c>
      <c r="O276" s="46">
        <f t="shared" si="227"/>
        <v>4203.1639784946237</v>
      </c>
      <c r="P276" s="46">
        <f t="shared" si="311"/>
        <v>2831.510502104928</v>
      </c>
      <c r="Q276" s="46">
        <f t="shared" si="257"/>
        <v>7034.6744805995513</v>
      </c>
      <c r="R276" s="10">
        <f t="shared" si="249"/>
        <v>13190.278355022121</v>
      </c>
      <c r="T276" s="65">
        <f t="shared" si="250"/>
        <v>48.72</v>
      </c>
      <c r="U276" s="65">
        <f t="shared" si="298"/>
        <v>23</v>
      </c>
      <c r="V276" s="65">
        <f t="shared" si="298"/>
        <v>34</v>
      </c>
      <c r="W276" s="65">
        <f t="shared" si="298"/>
        <v>38</v>
      </c>
      <c r="X276" s="65">
        <f t="shared" si="258"/>
        <v>39.120199926194871</v>
      </c>
      <c r="Y276" s="65">
        <f>$Y$18/1000*CURVES!K235+$Y$14</f>
        <v>84.934382728494626</v>
      </c>
      <c r="Z276" s="65">
        <f t="shared" si="259"/>
        <v>57.560760339874555</v>
      </c>
      <c r="AA276" s="65">
        <f>CHOOSE(AA$18,CURVES!F235,CURVES!G235)</f>
        <v>39.401465294391663</v>
      </c>
      <c r="AB276" s="65">
        <f t="shared" si="251"/>
        <v>45.71765947691371</v>
      </c>
      <c r="AD276" s="65"/>
      <c r="AH276" s="46">
        <f t="shared" si="286"/>
        <v>1895.2591032026239</v>
      </c>
      <c r="AI276" s="46">
        <f t="shared" si="286"/>
        <v>0</v>
      </c>
      <c r="AJ276" s="46">
        <f t="shared" si="286"/>
        <v>1877.6303324734643</v>
      </c>
      <c r="AK276" s="46">
        <f t="shared" si="286"/>
        <v>570.53181663934993</v>
      </c>
      <c r="AL276" s="46">
        <f t="shared" si="228"/>
        <v>4343.4212523154383</v>
      </c>
      <c r="AM276" s="46">
        <f t="shared" si="287"/>
        <v>2186.8418319892476</v>
      </c>
      <c r="AN276" s="46">
        <f t="shared" si="260"/>
        <v>6530.2630843046863</v>
      </c>
      <c r="AO276" s="10">
        <f t="shared" si="253"/>
        <v>12346.21259612577</v>
      </c>
      <c r="AQ276" s="65">
        <f t="shared" si="254"/>
        <v>43</v>
      </c>
      <c r="AR276" s="65"/>
      <c r="AS276" s="65">
        <f t="shared" si="299"/>
        <v>30</v>
      </c>
      <c r="AT276" s="65">
        <f t="shared" si="299"/>
        <v>38</v>
      </c>
      <c r="AU276" s="65">
        <f t="shared" si="261"/>
        <v>36.723414833221909</v>
      </c>
      <c r="AV276" s="65">
        <f>$Y$18/1000*CURVES!O235+$AV$14</f>
        <v>81.787619288019158</v>
      </c>
      <c r="AW276" s="65">
        <f t="shared" si="262"/>
        <v>51.814428189777935</v>
      </c>
      <c r="AX276" s="65">
        <f>CHOOSE(AX$18,CURVES!B235,CURVES!C235)</f>
        <v>43.170430107526883</v>
      </c>
      <c r="AY276" s="65">
        <f t="shared" si="263"/>
        <v>46.160796663919861</v>
      </c>
    </row>
    <row r="277" spans="1:51">
      <c r="A277" s="75">
        <v>43983</v>
      </c>
      <c r="B277" s="2">
        <f t="shared" si="309"/>
        <v>2020</v>
      </c>
      <c r="C277" s="2">
        <f t="shared" si="255"/>
        <v>6</v>
      </c>
      <c r="D277" s="43">
        <v>6.3100196891582E-2</v>
      </c>
      <c r="E277" s="44">
        <f t="shared" ca="1" si="310"/>
        <v>0.29738159057488789</v>
      </c>
      <c r="F277" s="44"/>
      <c r="G277" s="10"/>
      <c r="H277" s="10">
        <f t="shared" si="294"/>
        <v>22351.040057877119</v>
      </c>
      <c r="I277" s="10">
        <f t="shared" si="294"/>
        <v>21285.610988831184</v>
      </c>
      <c r="K277" s="46">
        <f t="shared" ref="K277:P277" si="312">K265</f>
        <v>2252.1333333333332</v>
      </c>
      <c r="L277" s="46">
        <f t="shared" si="312"/>
        <v>1398.3916666666667</v>
      </c>
      <c r="M277" s="46">
        <f t="shared" si="312"/>
        <v>957.04027777777776</v>
      </c>
      <c r="N277" s="46">
        <f t="shared" si="312"/>
        <v>3.526388888888889</v>
      </c>
      <c r="O277" s="46">
        <f t="shared" si="227"/>
        <v>4611.0916666666662</v>
      </c>
      <c r="P277" s="46">
        <f t="shared" si="312"/>
        <v>3175.7411781346573</v>
      </c>
      <c r="Q277" s="46">
        <f t="shared" si="257"/>
        <v>7786.8328448013235</v>
      </c>
      <c r="R277" s="10">
        <f t="shared" si="249"/>
        <v>14564.207213075795</v>
      </c>
      <c r="T277" s="65">
        <f t="shared" si="250"/>
        <v>48.72</v>
      </c>
      <c r="U277" s="65">
        <f t="shared" si="298"/>
        <v>23</v>
      </c>
      <c r="V277" s="65">
        <f t="shared" si="298"/>
        <v>34</v>
      </c>
      <c r="W277" s="65">
        <f t="shared" si="298"/>
        <v>38</v>
      </c>
      <c r="X277" s="65">
        <f t="shared" si="258"/>
        <v>37.856613829094464</v>
      </c>
      <c r="Y277" s="65">
        <f>$Y$18/1000*CURVES!K236+$Y$14</f>
        <v>85.23888272849463</v>
      </c>
      <c r="Z277" s="65">
        <f t="shared" si="259"/>
        <v>57.180750542486756</v>
      </c>
      <c r="AA277" s="65">
        <f>CHOOSE(AA$18,CURVES!F236,CURVES!G236)</f>
        <v>50.858538904335447</v>
      </c>
      <c r="AB277" s="65">
        <f t="shared" si="251"/>
        <v>53.061121205126042</v>
      </c>
      <c r="AD277" s="65"/>
      <c r="AH277" s="46">
        <f t="shared" ref="AH277:AK284" si="313">AH265</f>
        <v>1881.3705563400365</v>
      </c>
      <c r="AI277" s="46">
        <f t="shared" si="313"/>
        <v>0</v>
      </c>
      <c r="AJ277" s="46">
        <f t="shared" si="313"/>
        <v>1162.1616861734683</v>
      </c>
      <c r="AK277" s="46">
        <f t="shared" si="313"/>
        <v>631.24071210358352</v>
      </c>
      <c r="AL277" s="46">
        <f t="shared" si="228"/>
        <v>3674.7729546170881</v>
      </c>
      <c r="AM277" s="46">
        <f t="shared" si="287"/>
        <v>2754.0461410958906</v>
      </c>
      <c r="AN277" s="46">
        <f t="shared" si="260"/>
        <v>6428.8190957129791</v>
      </c>
      <c r="AO277" s="10">
        <f t="shared" si="253"/>
        <v>14856.791893118205</v>
      </c>
      <c r="AQ277" s="65">
        <f t="shared" si="254"/>
        <v>43</v>
      </c>
      <c r="AR277" s="65"/>
      <c r="AS277" s="65">
        <f t="shared" si="299"/>
        <v>30</v>
      </c>
      <c r="AT277" s="65">
        <f t="shared" si="299"/>
        <v>38</v>
      </c>
      <c r="AU277" s="65">
        <f t="shared" si="261"/>
        <v>38.029813894263803</v>
      </c>
      <c r="AV277" s="65">
        <f>$Y$18/1000*CURVES!O236+$AV$14</f>
        <v>82.092119288019148</v>
      </c>
      <c r="AW277" s="65">
        <f t="shared" si="262"/>
        <v>56.905694570138138</v>
      </c>
      <c r="AX277" s="65">
        <f>CHOOSE(AX$18,CURVES!B236,CURVES!C236)</f>
        <v>48.931111111111107</v>
      </c>
      <c r="AY277" s="65">
        <f t="shared" si="263"/>
        <v>51.339646832667341</v>
      </c>
    </row>
    <row r="278" spans="1:51">
      <c r="A278" s="75">
        <v>44013</v>
      </c>
      <c r="B278" s="2">
        <f t="shared" si="309"/>
        <v>2020</v>
      </c>
      <c r="C278" s="2">
        <f t="shared" si="255"/>
        <v>7</v>
      </c>
      <c r="D278" s="43">
        <v>6.3123911986263007E-2</v>
      </c>
      <c r="E278" s="44">
        <f t="shared" ca="1" si="310"/>
        <v>0.29568438630789978</v>
      </c>
      <c r="F278" s="44"/>
      <c r="G278" s="10"/>
      <c r="H278" s="10">
        <f t="shared" si="294"/>
        <v>22060.312381568325</v>
      </c>
      <c r="I278" s="10">
        <f t="shared" si="294"/>
        <v>20206.233244040064</v>
      </c>
      <c r="K278" s="46">
        <f t="shared" ref="K278:P278" si="314">K266</f>
        <v>2248.4569892473119</v>
      </c>
      <c r="L278" s="46">
        <f t="shared" si="314"/>
        <v>1358.3225806451612</v>
      </c>
      <c r="M278" s="46">
        <f t="shared" si="314"/>
        <v>653.55107526881716</v>
      </c>
      <c r="N278" s="46">
        <f t="shared" si="314"/>
        <v>3.8373655913978495</v>
      </c>
      <c r="O278" s="46">
        <f t="shared" si="227"/>
        <v>4264.1680107526872</v>
      </c>
      <c r="P278" s="46">
        <f t="shared" si="314"/>
        <v>3349.3895623880758</v>
      </c>
      <c r="Q278" s="46">
        <f t="shared" si="257"/>
        <v>7613.5575731407625</v>
      </c>
      <c r="R278" s="10">
        <f t="shared" si="249"/>
        <v>14446.75480842756</v>
      </c>
      <c r="T278" s="65">
        <f t="shared" si="250"/>
        <v>48.72</v>
      </c>
      <c r="U278" s="65">
        <f t="shared" si="298"/>
        <v>23</v>
      </c>
      <c r="V278" s="65">
        <f t="shared" si="298"/>
        <v>34</v>
      </c>
      <c r="W278" s="65">
        <f t="shared" si="298"/>
        <v>38</v>
      </c>
      <c r="X278" s="65">
        <f t="shared" si="258"/>
        <v>38.261344278923424</v>
      </c>
      <c r="Y278" s="65">
        <f>$Y$18/1000*CURVES!K237+$Y$14</f>
        <v>85.553882728494614</v>
      </c>
      <c r="Z278" s="65">
        <f t="shared" si="259"/>
        <v>59.066484732663568</v>
      </c>
      <c r="AA278" s="65">
        <f>CHOOSE(AA$18,CURVES!F237,CURVES!G237)</f>
        <v>61.616596161680846</v>
      </c>
      <c r="AB278" s="65">
        <f t="shared" si="251"/>
        <v>60.736489849180522</v>
      </c>
      <c r="AD278" s="65"/>
      <c r="AH278" s="46">
        <f t="shared" si="313"/>
        <v>1914.3216201186069</v>
      </c>
      <c r="AI278" s="46">
        <f t="shared" si="313"/>
        <v>0</v>
      </c>
      <c r="AJ278" s="46">
        <f t="shared" si="313"/>
        <v>1193.3319743059751</v>
      </c>
      <c r="AK278" s="46">
        <f t="shared" si="313"/>
        <v>610.72305844211053</v>
      </c>
      <c r="AL278" s="46">
        <f t="shared" si="228"/>
        <v>3718.3766528666924</v>
      </c>
      <c r="AM278" s="46">
        <f t="shared" si="287"/>
        <v>2586.7318602150535</v>
      </c>
      <c r="AN278" s="46">
        <f t="shared" si="260"/>
        <v>6305.1085130817464</v>
      </c>
      <c r="AO278" s="10">
        <f t="shared" si="253"/>
        <v>13901.124730958318</v>
      </c>
      <c r="AQ278" s="65">
        <f t="shared" si="254"/>
        <v>43</v>
      </c>
      <c r="AR278" s="65"/>
      <c r="AS278" s="65">
        <f t="shared" si="299"/>
        <v>30</v>
      </c>
      <c r="AT278" s="65">
        <f t="shared" si="299"/>
        <v>38</v>
      </c>
      <c r="AU278" s="65">
        <f t="shared" si="261"/>
        <v>38.006710537547619</v>
      </c>
      <c r="AV278" s="65">
        <f>$Y$18/1000*CURVES!O237+$AV$14</f>
        <v>82.407119288019146</v>
      </c>
      <c r="AW278" s="65">
        <f t="shared" si="262"/>
        <v>56.222408440783184</v>
      </c>
      <c r="AX278" s="65">
        <f>CHOOSE(AX$18,CURVES!B237,CURVES!C237)</f>
        <v>60.86989247311827</v>
      </c>
      <c r="AY278" s="65">
        <f t="shared" si="263"/>
        <v>59.419701792708771</v>
      </c>
    </row>
    <row r="279" spans="1:51">
      <c r="A279" s="75">
        <v>44044</v>
      </c>
      <c r="B279" s="2">
        <f t="shared" si="309"/>
        <v>2020</v>
      </c>
      <c r="C279" s="2">
        <f t="shared" si="255"/>
        <v>8</v>
      </c>
      <c r="D279" s="43">
        <v>6.3148417584295999E-2</v>
      </c>
      <c r="E279" s="44">
        <f t="shared" ca="1" si="310"/>
        <v>0.29399128639933225</v>
      </c>
      <c r="F279" s="44"/>
      <c r="G279" s="10"/>
      <c r="H279" s="10">
        <f t="shared" si="294"/>
        <v>23656.857600593605</v>
      </c>
      <c r="I279" s="10">
        <f t="shared" si="294"/>
        <v>20957.207358824082</v>
      </c>
      <c r="K279" s="46">
        <f t="shared" ref="K279:P279" si="315">K267</f>
        <v>2226.0658602150538</v>
      </c>
      <c r="L279" s="46">
        <f t="shared" si="315"/>
        <v>1361.989247311828</v>
      </c>
      <c r="M279" s="46">
        <f t="shared" si="315"/>
        <v>483.36424731182797</v>
      </c>
      <c r="N279" s="46">
        <f t="shared" si="315"/>
        <v>3.924731182795699</v>
      </c>
      <c r="O279" s="46">
        <f t="shared" si="227"/>
        <v>4075.3440860215055</v>
      </c>
      <c r="P279" s="46">
        <f t="shared" si="315"/>
        <v>3426.252928840011</v>
      </c>
      <c r="Q279" s="46">
        <f t="shared" si="257"/>
        <v>7501.5970148615161</v>
      </c>
      <c r="R279" s="10">
        <f t="shared" si="249"/>
        <v>16155.260585732089</v>
      </c>
      <c r="T279" s="65">
        <f t="shared" si="250"/>
        <v>48.72</v>
      </c>
      <c r="U279" s="65">
        <f t="shared" si="298"/>
        <v>23</v>
      </c>
      <c r="V279" s="65">
        <f t="shared" si="298"/>
        <v>34</v>
      </c>
      <c r="W279" s="65">
        <f t="shared" si="298"/>
        <v>38</v>
      </c>
      <c r="X279" s="65">
        <f t="shared" si="258"/>
        <v>38.368099058856423</v>
      </c>
      <c r="Y279" s="65">
        <f>$Y$18/1000*CURVES!K238+$Y$14</f>
        <v>85.763882728494622</v>
      </c>
      <c r="Z279" s="65">
        <f t="shared" si="259"/>
        <v>60.015481914940608</v>
      </c>
      <c r="AA279" s="65">
        <f>CHOOSE(AA$18,CURVES!F238,CURVES!G238)</f>
        <v>64.735752671343334</v>
      </c>
      <c r="AB279" s="65">
        <f t="shared" si="251"/>
        <v>63.23895332405047</v>
      </c>
      <c r="AD279" s="65"/>
      <c r="AH279" s="46">
        <f t="shared" si="313"/>
        <v>1859.5945026415061</v>
      </c>
      <c r="AI279" s="46">
        <f t="shared" si="313"/>
        <v>0</v>
      </c>
      <c r="AJ279" s="46">
        <f t="shared" si="313"/>
        <v>1584.5088037693729</v>
      </c>
      <c r="AK279" s="46">
        <f t="shared" si="313"/>
        <v>621.50165686237608</v>
      </c>
      <c r="AL279" s="46">
        <f t="shared" si="228"/>
        <v>4065.6049632732547</v>
      </c>
      <c r="AM279" s="46">
        <f t="shared" si="287"/>
        <v>2208.289016129032</v>
      </c>
      <c r="AN279" s="46">
        <f t="shared" si="260"/>
        <v>6273.8939794022863</v>
      </c>
      <c r="AO279" s="10">
        <f t="shared" si="253"/>
        <v>14683.313379421796</v>
      </c>
      <c r="AQ279" s="65">
        <f t="shared" si="254"/>
        <v>43</v>
      </c>
      <c r="AR279" s="65"/>
      <c r="AS279" s="65">
        <f t="shared" si="299"/>
        <v>30</v>
      </c>
      <c r="AT279" s="65">
        <f t="shared" si="299"/>
        <v>38</v>
      </c>
      <c r="AU279" s="65">
        <f t="shared" si="261"/>
        <v>37.169103258318607</v>
      </c>
      <c r="AV279" s="65">
        <f>$Y$18/1000*CURVES!O238+$AV$14</f>
        <v>82.617119288019154</v>
      </c>
      <c r="AW279" s="65">
        <f t="shared" si="262"/>
        <v>53.165923563657181</v>
      </c>
      <c r="AX279" s="65">
        <f>CHOOSE(AX$18,CURVES!B238,CURVES!C238)</f>
        <v>69.410215053763437</v>
      </c>
      <c r="AY279" s="65">
        <f t="shared" si="263"/>
        <v>64.547212038405959</v>
      </c>
    </row>
    <row r="280" spans="1:51">
      <c r="A280" s="75">
        <v>44075</v>
      </c>
      <c r="B280" s="2">
        <f t="shared" si="309"/>
        <v>2020</v>
      </c>
      <c r="C280" s="2">
        <f t="shared" si="255"/>
        <v>9</v>
      </c>
      <c r="D280" s="43">
        <v>6.3172923182528998E-2</v>
      </c>
      <c r="E280" s="44">
        <f t="shared" ca="1" si="310"/>
        <v>0.29235648316215657</v>
      </c>
      <c r="F280" s="44"/>
      <c r="G280" s="10"/>
      <c r="H280" s="10">
        <f t="shared" si="294"/>
        <v>21428.657209333734</v>
      </c>
      <c r="I280" s="10">
        <f t="shared" si="294"/>
        <v>19740.343782151773</v>
      </c>
      <c r="K280" s="46">
        <f t="shared" ref="K280:P280" si="316">K268</f>
        <v>2263.6333333333332</v>
      </c>
      <c r="L280" s="46">
        <f t="shared" si="316"/>
        <v>1380.7361111111111</v>
      </c>
      <c r="M280" s="46">
        <f t="shared" si="316"/>
        <v>542.60277777777776</v>
      </c>
      <c r="N280" s="46">
        <f t="shared" si="316"/>
        <v>3.4194444444444443</v>
      </c>
      <c r="O280" s="46">
        <f t="shared" si="227"/>
        <v>4190.3916666666673</v>
      </c>
      <c r="P280" s="46">
        <f t="shared" si="316"/>
        <v>3348.1339323547272</v>
      </c>
      <c r="Q280" s="46">
        <f t="shared" si="257"/>
        <v>7538.5255990213946</v>
      </c>
      <c r="R280" s="10">
        <f t="shared" si="249"/>
        <v>13890.131610312341</v>
      </c>
      <c r="T280" s="65">
        <f t="shared" si="250"/>
        <v>48.72</v>
      </c>
      <c r="U280" s="65">
        <f t="shared" si="298"/>
        <v>23</v>
      </c>
      <c r="V280" s="65">
        <f t="shared" si="298"/>
        <v>34</v>
      </c>
      <c r="W280" s="65">
        <f t="shared" si="298"/>
        <v>38</v>
      </c>
      <c r="X280" s="65">
        <f t="shared" si="258"/>
        <v>38.330445615995849</v>
      </c>
      <c r="Y280" s="65">
        <f>$Y$18/1000*CURVES!K239+$Y$14</f>
        <v>85.984382728494637</v>
      </c>
      <c r="Z280" s="65">
        <f t="shared" si="259"/>
        <v>59.49529566006381</v>
      </c>
      <c r="AA280" s="65">
        <f>CHOOSE(AA$18,CURVES!F239,CURVES!G239)</f>
        <v>59.294879873268172</v>
      </c>
      <c r="AB280" s="65">
        <f t="shared" si="251"/>
        <v>59.365385436190181</v>
      </c>
      <c r="AD280" s="65"/>
      <c r="AH280" s="46">
        <f t="shared" si="313"/>
        <v>1890.9773416389726</v>
      </c>
      <c r="AI280" s="46">
        <f t="shared" si="313"/>
        <v>0</v>
      </c>
      <c r="AJ280" s="46">
        <f t="shared" si="313"/>
        <v>765.82060543821262</v>
      </c>
      <c r="AK280" s="46">
        <f t="shared" si="313"/>
        <v>570.92254509204622</v>
      </c>
      <c r="AL280" s="46">
        <f t="shared" si="228"/>
        <v>3227.7204921692314</v>
      </c>
      <c r="AM280" s="46">
        <f t="shared" si="287"/>
        <v>2371.5769315068492</v>
      </c>
      <c r="AN280" s="46">
        <f t="shared" si="260"/>
        <v>5599.2974236760801</v>
      </c>
      <c r="AO280" s="10">
        <f t="shared" si="253"/>
        <v>14141.046358475691</v>
      </c>
      <c r="AQ280" s="65">
        <f t="shared" si="254"/>
        <v>43</v>
      </c>
      <c r="AR280" s="65"/>
      <c r="AS280" s="65">
        <f t="shared" si="299"/>
        <v>30</v>
      </c>
      <c r="AT280" s="65">
        <f t="shared" si="299"/>
        <v>38</v>
      </c>
      <c r="AU280" s="65">
        <f t="shared" si="261"/>
        <v>39.031167931908605</v>
      </c>
      <c r="AV280" s="65">
        <f>$Y$18/1000*CURVES!O239+$AV$14</f>
        <v>82.837619288019141</v>
      </c>
      <c r="AW280" s="65">
        <f t="shared" si="262"/>
        <v>57.585347434508066</v>
      </c>
      <c r="AX280" s="65">
        <f>CHOOSE(AX$18,CURVES!B239,CURVES!C239)</f>
        <v>61.522222222222219</v>
      </c>
      <c r="AY280" s="65">
        <f t="shared" si="263"/>
        <v>60.405537877742155</v>
      </c>
    </row>
    <row r="281" spans="1:51">
      <c r="A281" s="75">
        <v>44105</v>
      </c>
      <c r="B281" s="2">
        <f t="shared" si="309"/>
        <v>2020</v>
      </c>
      <c r="C281" s="2">
        <f t="shared" si="255"/>
        <v>10</v>
      </c>
      <c r="D281" s="43">
        <v>6.3196638277782005E-2</v>
      </c>
      <c r="E281" s="44">
        <f t="shared" ca="1" si="310"/>
        <v>0.29068454002976368</v>
      </c>
      <c r="F281" s="44"/>
      <c r="G281" s="10"/>
      <c r="H281" s="10">
        <f t="shared" si="294"/>
        <v>19907.200277646538</v>
      </c>
      <c r="I281" s="10">
        <f t="shared" si="294"/>
        <v>17086.691500814846</v>
      </c>
      <c r="K281" s="46">
        <f t="shared" ref="K281:P281" si="317">K269</f>
        <v>2069.2916666666665</v>
      </c>
      <c r="L281" s="46">
        <f t="shared" si="317"/>
        <v>1227.5241935483871</v>
      </c>
      <c r="M281" s="46">
        <f t="shared" si="317"/>
        <v>369.34005376344084</v>
      </c>
      <c r="N281" s="46">
        <f t="shared" si="317"/>
        <v>3.278225806451613</v>
      </c>
      <c r="O281" s="46">
        <f t="shared" si="227"/>
        <v>3669.4341397849457</v>
      </c>
      <c r="P281" s="46">
        <f t="shared" si="317"/>
        <v>3171.075494984625</v>
      </c>
      <c r="Q281" s="46">
        <f t="shared" si="257"/>
        <v>6840.5096347695708</v>
      </c>
      <c r="R281" s="10">
        <f t="shared" si="249"/>
        <v>13066.690642876967</v>
      </c>
      <c r="T281" s="65">
        <f t="shared" si="250"/>
        <v>48.72</v>
      </c>
      <c r="U281" s="65">
        <f t="shared" si="298"/>
        <v>23</v>
      </c>
      <c r="V281" s="65">
        <f t="shared" si="298"/>
        <v>34</v>
      </c>
      <c r="W281" s="65">
        <f t="shared" si="298"/>
        <v>38</v>
      </c>
      <c r="X281" s="65">
        <f t="shared" si="258"/>
        <v>38.624778497461044</v>
      </c>
      <c r="Y281" s="65">
        <f>$Y$18/1000*CURVES!K240+$Y$14</f>
        <v>86.299382728494635</v>
      </c>
      <c r="Z281" s="65">
        <f t="shared" si="259"/>
        <v>60.725437261493852</v>
      </c>
      <c r="AA281" s="65">
        <f>CHOOSE(AA$18,CURVES!F240,CURVES!G240)</f>
        <v>48.5092721414089</v>
      </c>
      <c r="AB281" s="65">
        <f t="shared" si="251"/>
        <v>52.706989250715857</v>
      </c>
      <c r="AD281" s="65"/>
      <c r="AH281" s="46">
        <f t="shared" si="313"/>
        <v>1913.8399491890309</v>
      </c>
      <c r="AI281" s="46">
        <f t="shared" si="313"/>
        <v>0</v>
      </c>
      <c r="AJ281" s="46">
        <f t="shared" si="313"/>
        <v>1075.3801160883429</v>
      </c>
      <c r="AK281" s="46">
        <f t="shared" si="313"/>
        <v>576.38556050292607</v>
      </c>
      <c r="AL281" s="46">
        <f t="shared" si="228"/>
        <v>3565.6056257802998</v>
      </c>
      <c r="AM281" s="46">
        <f t="shared" si="287"/>
        <v>2259.7132500000002</v>
      </c>
      <c r="AN281" s="46">
        <f t="shared" si="260"/>
        <v>5825.3188757803</v>
      </c>
      <c r="AO281" s="10">
        <f t="shared" si="253"/>
        <v>11261.372625034546</v>
      </c>
      <c r="AQ281" s="65">
        <f t="shared" si="254"/>
        <v>43</v>
      </c>
      <c r="AR281" s="65"/>
      <c r="AS281" s="65">
        <f t="shared" si="299"/>
        <v>30</v>
      </c>
      <c r="AT281" s="65">
        <f t="shared" si="299"/>
        <v>38</v>
      </c>
      <c r="AU281" s="65">
        <f t="shared" si="261"/>
        <v>38.270966258930272</v>
      </c>
      <c r="AV281" s="65">
        <f>$Y$18/1000*CURVES!O240+$AV$14</f>
        <v>83.152619288019153</v>
      </c>
      <c r="AW281" s="65">
        <f t="shared" si="262"/>
        <v>55.681114646412269</v>
      </c>
      <c r="AX281" s="65">
        <f>CHOOSE(AX$18,CURVES!B240,CURVES!C240)</f>
        <v>48.135483870967747</v>
      </c>
      <c r="AY281" s="65">
        <f t="shared" si="263"/>
        <v>50.707995078521854</v>
      </c>
    </row>
    <row r="282" spans="1:51">
      <c r="A282" s="75">
        <v>44136</v>
      </c>
      <c r="B282" s="2">
        <f t="shared" si="309"/>
        <v>2020</v>
      </c>
      <c r="C282" s="2">
        <f t="shared" si="255"/>
        <v>11</v>
      </c>
      <c r="D282" s="43">
        <v>6.3221143876405997E-2</v>
      </c>
      <c r="E282" s="44">
        <f t="shared" ca="1" si="310"/>
        <v>0.28906587121532684</v>
      </c>
      <c r="F282" s="44"/>
      <c r="G282" s="10"/>
      <c r="H282" s="10">
        <f t="shared" si="294"/>
        <v>19473.174213795373</v>
      </c>
      <c r="I282" s="10">
        <f t="shared" si="294"/>
        <v>17346.052451259508</v>
      </c>
      <c r="K282" s="46">
        <f t="shared" ref="K282:P282" si="318">K270</f>
        <v>2201.1583333333333</v>
      </c>
      <c r="L282" s="46">
        <f t="shared" si="318"/>
        <v>1270.0277777777778</v>
      </c>
      <c r="M282" s="46">
        <f t="shared" si="318"/>
        <v>241.3111111111111</v>
      </c>
      <c r="N282" s="46">
        <f t="shared" si="318"/>
        <v>3.1194444444444445</v>
      </c>
      <c r="O282" s="46">
        <f t="shared" si="227"/>
        <v>3715.6166666666668</v>
      </c>
      <c r="P282" s="46">
        <f t="shared" si="318"/>
        <v>3029.0331582980816</v>
      </c>
      <c r="Q282" s="46">
        <f t="shared" si="257"/>
        <v>6744.6498249647484</v>
      </c>
      <c r="R282" s="10">
        <f t="shared" si="249"/>
        <v>12728.524388830625</v>
      </c>
      <c r="T282" s="65">
        <f t="shared" si="250"/>
        <v>48.72</v>
      </c>
      <c r="U282" s="65">
        <f t="shared" si="298"/>
        <v>23</v>
      </c>
      <c r="V282" s="65">
        <f t="shared" si="298"/>
        <v>34</v>
      </c>
      <c r="W282" s="65">
        <f t="shared" si="298"/>
        <v>38</v>
      </c>
      <c r="X282" s="65">
        <f t="shared" si="258"/>
        <v>38.963704424717896</v>
      </c>
      <c r="Y282" s="65">
        <f>$Y$18/1000*CURVES!K241+$Y$14</f>
        <v>87.270632728494633</v>
      </c>
      <c r="Z282" s="65">
        <f t="shared" si="259"/>
        <v>60.658424151465546</v>
      </c>
      <c r="AA282" s="65">
        <f>CHOOSE(AA$18,CURVES!F241,CURVES!G241)</f>
        <v>40.369700880159762</v>
      </c>
      <c r="AB282" s="65">
        <f t="shared" si="251"/>
        <v>47.396820976668174</v>
      </c>
      <c r="AD282" s="65"/>
      <c r="AH282" s="46">
        <f t="shared" si="313"/>
        <v>1838.7874362867092</v>
      </c>
      <c r="AI282" s="46">
        <f t="shared" si="313"/>
        <v>0</v>
      </c>
      <c r="AJ282" s="46">
        <f t="shared" si="313"/>
        <v>1347.8791847211178</v>
      </c>
      <c r="AK282" s="46">
        <f t="shared" si="313"/>
        <v>499.43911251442188</v>
      </c>
      <c r="AL282" s="46">
        <f t="shared" si="228"/>
        <v>3686.105733522249</v>
      </c>
      <c r="AM282" s="46">
        <f t="shared" si="287"/>
        <v>2451.2376410958905</v>
      </c>
      <c r="AN282" s="46">
        <f t="shared" si="260"/>
        <v>6137.3433746181399</v>
      </c>
      <c r="AO282" s="10">
        <f t="shared" si="253"/>
        <v>11208.709076641368</v>
      </c>
      <c r="AQ282" s="65">
        <f t="shared" si="254"/>
        <v>43</v>
      </c>
      <c r="AR282" s="65"/>
      <c r="AS282" s="65">
        <f t="shared" si="299"/>
        <v>30</v>
      </c>
      <c r="AT282" s="65">
        <f t="shared" si="299"/>
        <v>38</v>
      </c>
      <c r="AU282" s="65">
        <f t="shared" si="261"/>
        <v>37.568895628282228</v>
      </c>
      <c r="AV282" s="65">
        <f>$Y$18/1000*CURVES!O241+$AV$14</f>
        <v>84.622619288019152</v>
      </c>
      <c r="AW282" s="65">
        <f t="shared" si="262"/>
        <v>56.362020201607528</v>
      </c>
      <c r="AX282" s="65">
        <f>CHOOSE(AX$18,CURVES!B241,CURVES!C241)</f>
        <v>45.8</v>
      </c>
      <c r="AY282" s="65">
        <f t="shared" si="263"/>
        <v>49.537031517059212</v>
      </c>
    </row>
    <row r="283" spans="1:51">
      <c r="A283" s="75">
        <v>44166</v>
      </c>
      <c r="B283" s="2">
        <f t="shared" si="309"/>
        <v>2020</v>
      </c>
      <c r="C283" s="2">
        <f t="shared" si="255"/>
        <v>12</v>
      </c>
      <c r="D283" s="43">
        <v>6.3244858972038007E-2</v>
      </c>
      <c r="E283" s="44">
        <f t="shared" ca="1" si="310"/>
        <v>0.28741050597571877</v>
      </c>
      <c r="F283" s="44"/>
      <c r="G283" s="10"/>
      <c r="H283" s="10">
        <f t="shared" si="294"/>
        <v>19332.957300090693</v>
      </c>
      <c r="I283" s="10">
        <f t="shared" si="294"/>
        <v>17306.645241562575</v>
      </c>
      <c r="K283" s="46">
        <f t="shared" ref="K283:P283" si="319">K271</f>
        <v>2256.4126344086021</v>
      </c>
      <c r="L283" s="46">
        <f t="shared" si="319"/>
        <v>1157.2150537634409</v>
      </c>
      <c r="M283" s="46">
        <f t="shared" si="319"/>
        <v>239.86021505376345</v>
      </c>
      <c r="N283" s="46">
        <f t="shared" si="319"/>
        <v>2.9690860215053765</v>
      </c>
      <c r="O283" s="46">
        <f t="shared" si="227"/>
        <v>3656.4569892473123</v>
      </c>
      <c r="P283" s="46">
        <f t="shared" si="319"/>
        <v>2977.5968497309718</v>
      </c>
      <c r="Q283" s="46">
        <f t="shared" si="257"/>
        <v>6634.0538389782841</v>
      </c>
      <c r="R283" s="10">
        <f t="shared" si="249"/>
        <v>12698.90346111241</v>
      </c>
      <c r="T283" s="65">
        <f t="shared" si="250"/>
        <v>48.72</v>
      </c>
      <c r="U283" s="65">
        <f t="shared" si="298"/>
        <v>23</v>
      </c>
      <c r="V283" s="65">
        <f t="shared" si="298"/>
        <v>34</v>
      </c>
      <c r="W283" s="65">
        <f t="shared" si="298"/>
        <v>38</v>
      </c>
      <c r="X283" s="65">
        <f t="shared" si="258"/>
        <v>39.60567368670241</v>
      </c>
      <c r="Y283" s="65">
        <f>$Y$18/1000*CURVES!K242+$Y$14</f>
        <v>88.583132728494633</v>
      </c>
      <c r="Z283" s="65">
        <f t="shared" si="259"/>
        <v>61.588481075725419</v>
      </c>
      <c r="AA283" s="65">
        <f>CHOOSE(AA$18,CURVES!F242,CURVES!G242)</f>
        <v>40.416627296837021</v>
      </c>
      <c r="AB283" s="65">
        <f t="shared" si="251"/>
        <v>47.681693663039695</v>
      </c>
      <c r="AD283" s="65"/>
      <c r="AH283" s="46">
        <f t="shared" si="313"/>
        <v>1921.095004536046</v>
      </c>
      <c r="AI283" s="46">
        <f t="shared" si="313"/>
        <v>0</v>
      </c>
      <c r="AJ283" s="46">
        <f t="shared" si="313"/>
        <v>1326.4786927345147</v>
      </c>
      <c r="AK283" s="46">
        <f t="shared" si="313"/>
        <v>519.61972313456249</v>
      </c>
      <c r="AL283" s="46">
        <f t="shared" si="228"/>
        <v>3767.1934204051231</v>
      </c>
      <c r="AM283" s="46">
        <f t="shared" si="287"/>
        <v>2024.2479112903225</v>
      </c>
      <c r="AN283" s="46">
        <f t="shared" si="260"/>
        <v>5791.4413316954451</v>
      </c>
      <c r="AO283" s="10">
        <f t="shared" si="253"/>
        <v>11515.20390986713</v>
      </c>
      <c r="AQ283" s="65">
        <f t="shared" si="254"/>
        <v>43</v>
      </c>
      <c r="AR283" s="65"/>
      <c r="AS283" s="65">
        <f t="shared" si="299"/>
        <v>30</v>
      </c>
      <c r="AT283" s="65">
        <f t="shared" si="299"/>
        <v>38</v>
      </c>
      <c r="AU283" s="65">
        <f t="shared" si="261"/>
        <v>37.732863591833393</v>
      </c>
      <c r="AV283" s="65">
        <f>$Y$18/1000*CURVES!O242+$AV$14</f>
        <v>85.935119288019152</v>
      </c>
      <c r="AW283" s="65">
        <f t="shared" si="262"/>
        <v>54.58071023727657</v>
      </c>
      <c r="AX283" s="65">
        <f>CHOOSE(AX$18,CURVES!B242,CURVES!C242)</f>
        <v>45.4258064516129</v>
      </c>
      <c r="AY283" s="65">
        <f t="shared" si="263"/>
        <v>48.489374660930437</v>
      </c>
    </row>
    <row r="284" spans="1:51">
      <c r="A284" s="75">
        <v>44197</v>
      </c>
      <c r="B284" s="2">
        <f t="shared" si="309"/>
        <v>2021</v>
      </c>
      <c r="C284" s="2">
        <f>MONTH(A284)</f>
        <v>1</v>
      </c>
      <c r="D284" s="6"/>
      <c r="E284" s="6"/>
      <c r="F284" s="6"/>
      <c r="G284" s="10"/>
      <c r="H284" s="10">
        <f>(1+$I$17)*H272</f>
        <v>19688.180782405667</v>
      </c>
      <c r="I284" s="10">
        <f>(1+$I$17)*I272</f>
        <v>18716.070914189269</v>
      </c>
      <c r="K284" s="46">
        <f t="shared" ref="K284:P284" si="320">K272</f>
        <v>2185.9180107526881</v>
      </c>
      <c r="L284" s="46">
        <f t="shared" si="320"/>
        <v>1282.3306451612902</v>
      </c>
      <c r="M284" s="46">
        <f t="shared" si="320"/>
        <v>142.8521505376344</v>
      </c>
      <c r="N284" s="46">
        <f t="shared" si="320"/>
        <v>3.168010752688172</v>
      </c>
      <c r="O284" s="46">
        <f t="shared" si="227"/>
        <v>3614.2688172043008</v>
      </c>
      <c r="P284" s="46">
        <f t="shared" si="320"/>
        <v>2792.6655547379</v>
      </c>
      <c r="Q284" s="46">
        <f t="shared" si="257"/>
        <v>6406.9343719422013</v>
      </c>
      <c r="R284" s="10">
        <f t="shared" si="249"/>
        <v>13281.246410463466</v>
      </c>
      <c r="T284" s="65">
        <f t="shared" si="250"/>
        <v>48.72</v>
      </c>
      <c r="U284" s="65">
        <f t="shared" si="298"/>
        <v>23</v>
      </c>
      <c r="V284" s="65">
        <f t="shared" si="298"/>
        <v>34</v>
      </c>
      <c r="W284" s="65">
        <f t="shared" si="298"/>
        <v>38</v>
      </c>
      <c r="X284" s="65">
        <f t="shared" si="258"/>
        <v>39.003431946853418</v>
      </c>
      <c r="Y284" s="65">
        <f>$Y$18/1000*CURVES!K243+$Y$14</f>
        <v>90.357632728494622</v>
      </c>
      <c r="Z284" s="65">
        <f t="shared" si="259"/>
        <v>61.387789158633097</v>
      </c>
      <c r="AA284" s="65">
        <f>CHOOSE(AA$18,CURVES!F243,CURVES!G243)</f>
        <v>41.630304943941731</v>
      </c>
      <c r="AB284" s="65">
        <f t="shared" si="251"/>
        <v>48.059792061986386</v>
      </c>
      <c r="AD284" s="65"/>
      <c r="AH284" s="46">
        <f t="shared" si="313"/>
        <v>1826.0560878589888</v>
      </c>
      <c r="AI284" s="46">
        <f t="shared" si="313"/>
        <v>0</v>
      </c>
      <c r="AJ284" s="46">
        <f t="shared" si="313"/>
        <v>1744.0893186443859</v>
      </c>
      <c r="AK284" s="46">
        <f t="shared" si="313"/>
        <v>538.87289280137145</v>
      </c>
      <c r="AL284" s="46">
        <f t="shared" si="228"/>
        <v>4109.0182993047465</v>
      </c>
      <c r="AM284" s="46">
        <f t="shared" si="287"/>
        <v>2445.3687016129034</v>
      </c>
      <c r="AN284" s="46">
        <f t="shared" si="260"/>
        <v>6554.3870009176499</v>
      </c>
      <c r="AO284" s="10">
        <f t="shared" si="253"/>
        <v>12161.68391327162</v>
      </c>
      <c r="AQ284" s="65">
        <f t="shared" si="254"/>
        <v>43</v>
      </c>
      <c r="AR284" s="65"/>
      <c r="AS284" s="65">
        <f t="shared" si="299"/>
        <v>30</v>
      </c>
      <c r="AT284" s="65">
        <f t="shared" si="299"/>
        <v>38</v>
      </c>
      <c r="AU284" s="65">
        <f t="shared" si="261"/>
        <v>36.826378040059808</v>
      </c>
      <c r="AV284" s="65">
        <f>$Y$18/1000*CURVES!O243+$AV$14</f>
        <v>87.709619288019155</v>
      </c>
      <c r="AW284" s="65">
        <f t="shared" si="262"/>
        <v>55.810347947079009</v>
      </c>
      <c r="AX284" s="65">
        <f>CHOOSE(AX$18,CURVES!B243,CURVES!C243)</f>
        <v>48.619354838709675</v>
      </c>
      <c r="AY284" s="65">
        <f t="shared" si="263"/>
        <v>51.137647912575488</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honeticPr fontId="14" type="noConversion"/>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78"/>
  <sheetViews>
    <sheetView workbookViewId="0">
      <selection activeCell="O4" sqref="O4"/>
    </sheetView>
  </sheetViews>
  <sheetFormatPr defaultRowHeight="12.75"/>
  <sheetData>
    <row r="2" spans="1:15" ht="13.5" thickBot="1">
      <c r="B2" t="s">
        <v>41</v>
      </c>
      <c r="F2" t="s">
        <v>37</v>
      </c>
      <c r="K2" t="s">
        <v>76</v>
      </c>
      <c r="O2" t="s">
        <v>76</v>
      </c>
    </row>
    <row r="3" spans="1:15" ht="13.5" thickBot="1">
      <c r="B3" s="76" t="s">
        <v>38</v>
      </c>
      <c r="C3" s="77" t="s">
        <v>39</v>
      </c>
      <c r="D3" s="2"/>
      <c r="F3" s="76" t="s">
        <v>38</v>
      </c>
      <c r="G3" s="77" t="s">
        <v>39</v>
      </c>
      <c r="J3" t="s">
        <v>74</v>
      </c>
      <c r="K3" s="83">
        <v>0.5</v>
      </c>
      <c r="N3" s="34" t="s">
        <v>95</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5"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honeticPr fontId="1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2.75"/>
  <cols>
    <col min="1" max="1" width="18.28515625" customWidth="1"/>
    <col min="2" max="2" width="8.7109375" customWidth="1"/>
    <col min="3" max="3" width="7.42578125" customWidth="1"/>
    <col min="4" max="20" width="11.85546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5"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45</v>
      </c>
      <c r="G12" s="7" t="s">
        <v>8</v>
      </c>
      <c r="H12" s="7" t="s">
        <v>45</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5"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88</v>
      </c>
      <c r="M28" s="19"/>
      <c r="N28" s="20"/>
      <c r="O28" s="10"/>
    </row>
    <row r="29" spans="1:45">
      <c r="B29" t="s">
        <v>22</v>
      </c>
      <c r="E29" s="10"/>
      <c r="F29" s="10"/>
      <c r="G29" s="10">
        <f>SUM(G30:G41)</f>
        <v>2061878</v>
      </c>
      <c r="H29" s="10" t="s">
        <v>21</v>
      </c>
      <c r="I29" s="14">
        <v>13391819</v>
      </c>
      <c r="J29" s="31" t="s">
        <v>34</v>
      </c>
      <c r="M29" s="20"/>
      <c r="N29" s="20"/>
      <c r="O29" s="1" t="s">
        <v>44</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47</v>
      </c>
      <c r="M45" s="47">
        <v>26988000</v>
      </c>
    </row>
    <row r="46" spans="1:19">
      <c r="E46" s="9" t="s">
        <v>24</v>
      </c>
      <c r="F46" s="9" t="s">
        <v>17</v>
      </c>
      <c r="G46" s="9" t="s">
        <v>8</v>
      </c>
      <c r="H46" s="9" t="s">
        <v>10</v>
      </c>
      <c r="I46" s="9" t="s">
        <v>18</v>
      </c>
      <c r="J46" s="9"/>
      <c r="K46" s="1" t="s">
        <v>8</v>
      </c>
      <c r="L46" s="1" t="s">
        <v>28</v>
      </c>
      <c r="M46" s="1" t="s">
        <v>46</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honeticPr fontId="14" type="noConversion"/>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
  <sheetViews>
    <sheetView workbookViewId="0">
      <selection activeCell="F33" sqref="F33"/>
    </sheetView>
  </sheetViews>
  <sheetFormatPr defaultRowHeight="12.75"/>
  <cols>
    <col min="3" max="3" width="10" customWidth="1"/>
  </cols>
  <sheetData>
    <row r="1" spans="1:7">
      <c r="B1" s="1" t="s">
        <v>23</v>
      </c>
      <c r="C1" s="126"/>
      <c r="E1" s="1" t="s">
        <v>29</v>
      </c>
    </row>
    <row r="2" spans="1:7">
      <c r="A2" s="130">
        <v>0.03</v>
      </c>
      <c r="B2" s="6">
        <v>36892</v>
      </c>
      <c r="C2" s="126">
        <v>4000</v>
      </c>
      <c r="E2" s="6">
        <v>36892</v>
      </c>
      <c r="F2">
        <v>6990</v>
      </c>
    </row>
    <row r="3" spans="1:7">
      <c r="B3" s="6">
        <v>36923</v>
      </c>
      <c r="C3" s="126">
        <v>2500</v>
      </c>
      <c r="E3" s="6">
        <v>36923</v>
      </c>
      <c r="F3">
        <v>6320</v>
      </c>
    </row>
    <row r="4" spans="1:7">
      <c r="B4" s="6">
        <v>36951</v>
      </c>
      <c r="C4" s="126">
        <v>3000</v>
      </c>
      <c r="E4" s="6">
        <v>36951</v>
      </c>
      <c r="F4">
        <v>6925</v>
      </c>
    </row>
    <row r="5" spans="1:7">
      <c r="B5" s="6">
        <v>36982</v>
      </c>
      <c r="C5" s="126">
        <v>3000</v>
      </c>
      <c r="E5" s="6">
        <v>36982</v>
      </c>
      <c r="F5">
        <v>8375</v>
      </c>
    </row>
    <row r="6" spans="1:7">
      <c r="B6" s="6">
        <v>37012</v>
      </c>
      <c r="C6" s="126">
        <v>4300</v>
      </c>
      <c r="E6" s="6">
        <v>37012</v>
      </c>
      <c r="F6">
        <v>8075</v>
      </c>
    </row>
    <row r="7" spans="1:7">
      <c r="B7" s="6">
        <v>37043</v>
      </c>
      <c r="C7" s="126">
        <v>3700</v>
      </c>
      <c r="E7" s="6">
        <v>37043</v>
      </c>
      <c r="F7">
        <v>10200</v>
      </c>
    </row>
    <row r="8" spans="1:7">
      <c r="B8" s="6">
        <v>37073</v>
      </c>
      <c r="C8" s="126">
        <v>3700</v>
      </c>
      <c r="E8" s="6">
        <v>37073</v>
      </c>
      <c r="F8">
        <v>11860</v>
      </c>
    </row>
    <row r="9" spans="1:7">
      <c r="B9" s="6">
        <v>37104</v>
      </c>
      <c r="C9" s="126">
        <v>3700</v>
      </c>
      <c r="E9" s="6">
        <v>37104</v>
      </c>
      <c r="F9">
        <v>12775</v>
      </c>
    </row>
    <row r="10" spans="1:7">
      <c r="B10" s="6">
        <v>37135</v>
      </c>
      <c r="C10" s="126">
        <v>4700</v>
      </c>
      <c r="E10" s="6">
        <v>37135</v>
      </c>
      <c r="F10">
        <v>13060</v>
      </c>
    </row>
    <row r="11" spans="1:7">
      <c r="B11" s="6">
        <v>37165</v>
      </c>
      <c r="C11" s="126">
        <v>4400</v>
      </c>
      <c r="E11" s="6">
        <v>37165</v>
      </c>
      <c r="F11">
        <v>11340</v>
      </c>
    </row>
    <row r="12" spans="1:7">
      <c r="B12" s="6">
        <v>37196</v>
      </c>
      <c r="C12" s="126">
        <v>4400</v>
      </c>
      <c r="E12" s="6">
        <v>37196</v>
      </c>
      <c r="F12">
        <v>8090</v>
      </c>
    </row>
    <row r="13" spans="1:7">
      <c r="B13" s="6">
        <v>37226</v>
      </c>
      <c r="C13" s="126">
        <v>4400</v>
      </c>
      <c r="D13" s="127">
        <f>AVERAGE(C2:C13)</f>
        <v>3816.6666666666665</v>
      </c>
      <c r="E13" s="6">
        <v>37226</v>
      </c>
      <c r="F13">
        <v>6740</v>
      </c>
      <c r="G13" s="127">
        <f>AVERAGE(F2:F13)</f>
        <v>9229.1666666666661</v>
      </c>
    </row>
    <row r="14" spans="1:7">
      <c r="B14" s="6">
        <v>37257</v>
      </c>
      <c r="C14" s="126">
        <f>C2*(1+$A$2)</f>
        <v>4120</v>
      </c>
      <c r="E14" s="6">
        <v>37257</v>
      </c>
      <c r="F14" s="126">
        <f>F2*(1+$A$2)</f>
        <v>7199.7</v>
      </c>
    </row>
    <row r="15" spans="1:7">
      <c r="B15" s="6">
        <v>37288</v>
      </c>
      <c r="C15" s="126">
        <f t="shared" ref="C15:C78" si="0">C3*(1+$A$2)</f>
        <v>2575</v>
      </c>
      <c r="E15" s="6">
        <v>37288</v>
      </c>
      <c r="F15" s="126">
        <f t="shared" ref="F15:F78" si="1">F3*(1+$A$2)</f>
        <v>6509.6</v>
      </c>
    </row>
    <row r="16" spans="1:7">
      <c r="B16" s="6">
        <v>37316</v>
      </c>
      <c r="C16" s="126">
        <f t="shared" si="0"/>
        <v>3090</v>
      </c>
      <c r="E16" s="6">
        <v>37316</v>
      </c>
      <c r="F16" s="126">
        <f t="shared" si="1"/>
        <v>7132.75</v>
      </c>
    </row>
    <row r="17" spans="2:6">
      <c r="B17" s="6">
        <v>37347</v>
      </c>
      <c r="C17" s="126">
        <f t="shared" si="0"/>
        <v>3090</v>
      </c>
      <c r="E17" s="6">
        <v>37347</v>
      </c>
      <c r="F17" s="126">
        <f t="shared" si="1"/>
        <v>8626.25</v>
      </c>
    </row>
    <row r="18" spans="2:6">
      <c r="B18" s="6">
        <v>37377</v>
      </c>
      <c r="C18" s="126">
        <f t="shared" si="0"/>
        <v>4429</v>
      </c>
      <c r="E18" s="6">
        <v>37377</v>
      </c>
      <c r="F18" s="126">
        <f t="shared" si="1"/>
        <v>8317.25</v>
      </c>
    </row>
    <row r="19" spans="2:6">
      <c r="B19" s="6">
        <v>37408</v>
      </c>
      <c r="C19" s="126">
        <f t="shared" si="0"/>
        <v>3811</v>
      </c>
      <c r="E19" s="6">
        <v>37408</v>
      </c>
      <c r="F19" s="126">
        <f t="shared" si="1"/>
        <v>10506</v>
      </c>
    </row>
    <row r="20" spans="2:6">
      <c r="B20" s="6">
        <v>37438</v>
      </c>
      <c r="C20" s="126">
        <f t="shared" si="0"/>
        <v>3811</v>
      </c>
      <c r="E20" s="6">
        <v>37438</v>
      </c>
      <c r="F20" s="126">
        <f t="shared" si="1"/>
        <v>12215.800000000001</v>
      </c>
    </row>
    <row r="21" spans="2:6">
      <c r="B21" s="6">
        <v>37469</v>
      </c>
      <c r="C21" s="126">
        <f t="shared" si="0"/>
        <v>3811</v>
      </c>
      <c r="E21" s="6">
        <v>37469</v>
      </c>
      <c r="F21" s="126">
        <f t="shared" si="1"/>
        <v>13158.25</v>
      </c>
    </row>
    <row r="22" spans="2:6">
      <c r="B22" s="6">
        <v>37500</v>
      </c>
      <c r="C22" s="126">
        <f t="shared" si="0"/>
        <v>4841</v>
      </c>
      <c r="E22" s="6">
        <v>37500</v>
      </c>
      <c r="F22" s="126">
        <f t="shared" si="1"/>
        <v>13451.800000000001</v>
      </c>
    </row>
    <row r="23" spans="2:6">
      <c r="B23" s="6">
        <v>37530</v>
      </c>
      <c r="C23" s="126">
        <f t="shared" si="0"/>
        <v>4532</v>
      </c>
      <c r="E23" s="6">
        <v>37530</v>
      </c>
      <c r="F23" s="126">
        <f t="shared" si="1"/>
        <v>11680.2</v>
      </c>
    </row>
    <row r="24" spans="2:6">
      <c r="B24" s="6">
        <v>37561</v>
      </c>
      <c r="C24" s="126">
        <f t="shared" si="0"/>
        <v>4532</v>
      </c>
      <c r="E24" s="6">
        <v>37561</v>
      </c>
      <c r="F24" s="126">
        <f t="shared" si="1"/>
        <v>8332.7000000000007</v>
      </c>
    </row>
    <row r="25" spans="2:6">
      <c r="B25" s="6">
        <v>37591</v>
      </c>
      <c r="C25" s="126">
        <f t="shared" si="0"/>
        <v>4532</v>
      </c>
      <c r="E25" s="6">
        <v>37591</v>
      </c>
      <c r="F25" s="126">
        <f t="shared" si="1"/>
        <v>6942.2</v>
      </c>
    </row>
    <row r="26" spans="2:6">
      <c r="B26" s="6">
        <v>37622</v>
      </c>
      <c r="C26" s="126">
        <f>C14*(1+$A$2)</f>
        <v>4243.6000000000004</v>
      </c>
      <c r="E26" s="6">
        <v>37622</v>
      </c>
      <c r="F26" s="126">
        <f>F14*(1+$A$2)</f>
        <v>7415.6909999999998</v>
      </c>
    </row>
    <row r="27" spans="2:6">
      <c r="B27" s="6">
        <v>37653</v>
      </c>
      <c r="C27" s="126">
        <f t="shared" si="0"/>
        <v>2652.25</v>
      </c>
      <c r="E27" s="6">
        <v>37653</v>
      </c>
      <c r="F27" s="126">
        <f t="shared" si="1"/>
        <v>6704.8880000000008</v>
      </c>
    </row>
    <row r="28" spans="2:6">
      <c r="B28" s="6">
        <v>37681</v>
      </c>
      <c r="C28" s="126">
        <f t="shared" si="0"/>
        <v>3182.7000000000003</v>
      </c>
      <c r="E28" s="6">
        <v>37681</v>
      </c>
      <c r="F28" s="126">
        <f t="shared" si="1"/>
        <v>7346.7325000000001</v>
      </c>
    </row>
    <row r="29" spans="2:6">
      <c r="B29" s="6">
        <v>37712</v>
      </c>
      <c r="C29" s="126">
        <f t="shared" si="0"/>
        <v>3182.7000000000003</v>
      </c>
      <c r="E29" s="6">
        <v>37712</v>
      </c>
      <c r="F29" s="126">
        <f t="shared" si="1"/>
        <v>8885.0375000000004</v>
      </c>
    </row>
    <row r="30" spans="2:6">
      <c r="B30" s="6">
        <v>37742</v>
      </c>
      <c r="C30" s="126">
        <f t="shared" si="0"/>
        <v>4561.87</v>
      </c>
      <c r="E30" s="6">
        <v>37742</v>
      </c>
      <c r="F30" s="126">
        <f t="shared" si="1"/>
        <v>8566.7674999999999</v>
      </c>
    </row>
    <row r="31" spans="2:6">
      <c r="B31" s="6">
        <v>37773</v>
      </c>
      <c r="C31" s="126">
        <f t="shared" si="0"/>
        <v>3925.33</v>
      </c>
      <c r="E31" s="6">
        <v>37773</v>
      </c>
      <c r="F31" s="126">
        <f t="shared" si="1"/>
        <v>10821.18</v>
      </c>
    </row>
    <row r="32" spans="2:6">
      <c r="B32" s="6">
        <v>37803</v>
      </c>
      <c r="C32" s="126">
        <f t="shared" si="0"/>
        <v>3925.33</v>
      </c>
      <c r="E32" s="6">
        <v>37803</v>
      </c>
      <c r="F32" s="126">
        <f t="shared" si="1"/>
        <v>12582.274000000001</v>
      </c>
    </row>
    <row r="33" spans="2:6">
      <c r="B33" s="6">
        <v>37834</v>
      </c>
      <c r="C33" s="126">
        <f t="shared" si="0"/>
        <v>3925.33</v>
      </c>
      <c r="E33" s="6">
        <v>37834</v>
      </c>
      <c r="F33" s="126">
        <f t="shared" si="1"/>
        <v>13552.997499999999</v>
      </c>
    </row>
    <row r="34" spans="2:6">
      <c r="B34" s="6">
        <v>37865</v>
      </c>
      <c r="C34" s="126">
        <f t="shared" si="0"/>
        <v>4986.2300000000005</v>
      </c>
      <c r="E34" s="6">
        <v>37865</v>
      </c>
      <c r="F34" s="126">
        <f t="shared" si="1"/>
        <v>13855.354000000001</v>
      </c>
    </row>
    <row r="35" spans="2:6">
      <c r="B35" s="6">
        <v>37895</v>
      </c>
      <c r="C35" s="126">
        <f t="shared" si="0"/>
        <v>4667.96</v>
      </c>
      <c r="E35" s="6">
        <v>37895</v>
      </c>
      <c r="F35" s="126">
        <f t="shared" si="1"/>
        <v>12030.606000000002</v>
      </c>
    </row>
    <row r="36" spans="2:6">
      <c r="B36" s="6">
        <v>37926</v>
      </c>
      <c r="C36" s="126">
        <f t="shared" si="0"/>
        <v>4667.96</v>
      </c>
      <c r="E36" s="6">
        <v>37926</v>
      </c>
      <c r="F36" s="126">
        <f t="shared" si="1"/>
        <v>8582.6810000000005</v>
      </c>
    </row>
    <row r="37" spans="2:6">
      <c r="B37" s="6">
        <v>37956</v>
      </c>
      <c r="C37" s="126">
        <f t="shared" si="0"/>
        <v>4667.96</v>
      </c>
      <c r="E37" s="6">
        <v>37956</v>
      </c>
      <c r="F37" s="126">
        <f t="shared" si="1"/>
        <v>7150.4660000000003</v>
      </c>
    </row>
    <row r="38" spans="2:6">
      <c r="B38" s="6">
        <v>37987</v>
      </c>
      <c r="C38" s="126">
        <f>C26*(1+$A$2)</f>
        <v>4370.9080000000004</v>
      </c>
      <c r="E38" s="6">
        <v>37987</v>
      </c>
      <c r="F38" s="126">
        <f>F26*(1+$A$2)</f>
        <v>7638.1617299999998</v>
      </c>
    </row>
    <row r="39" spans="2:6">
      <c r="B39" s="6">
        <v>38018</v>
      </c>
      <c r="C39" s="126">
        <f t="shared" si="0"/>
        <v>2731.8175000000001</v>
      </c>
      <c r="E39" s="6">
        <v>38018</v>
      </c>
      <c r="F39" s="126">
        <f t="shared" si="1"/>
        <v>6906.0346400000008</v>
      </c>
    </row>
    <row r="40" spans="2:6">
      <c r="B40" s="6">
        <v>38047</v>
      </c>
      <c r="C40" s="126">
        <f t="shared" si="0"/>
        <v>3278.1810000000005</v>
      </c>
      <c r="E40" s="6">
        <v>38047</v>
      </c>
      <c r="F40" s="126">
        <f t="shared" si="1"/>
        <v>7567.1344749999998</v>
      </c>
    </row>
    <row r="41" spans="2:6">
      <c r="B41" s="6">
        <v>38078</v>
      </c>
      <c r="C41" s="126">
        <f t="shared" si="0"/>
        <v>3278.1810000000005</v>
      </c>
      <c r="E41" s="6">
        <v>38078</v>
      </c>
      <c r="F41" s="126">
        <f t="shared" si="1"/>
        <v>9151.5886250000003</v>
      </c>
    </row>
    <row r="42" spans="2:6">
      <c r="B42" s="6">
        <v>38108</v>
      </c>
      <c r="C42" s="126">
        <f t="shared" si="0"/>
        <v>4698.7260999999999</v>
      </c>
      <c r="E42" s="6">
        <v>38108</v>
      </c>
      <c r="F42" s="126">
        <f t="shared" si="1"/>
        <v>8823.7705249999999</v>
      </c>
    </row>
    <row r="43" spans="2:6">
      <c r="B43" s="6">
        <v>38139</v>
      </c>
      <c r="C43" s="126">
        <f t="shared" si="0"/>
        <v>4043.0898999999999</v>
      </c>
      <c r="E43" s="6">
        <v>38139</v>
      </c>
      <c r="F43" s="126">
        <f t="shared" si="1"/>
        <v>11145.815400000001</v>
      </c>
    </row>
    <row r="44" spans="2:6">
      <c r="B44" s="6">
        <v>38169</v>
      </c>
      <c r="C44" s="126">
        <f t="shared" si="0"/>
        <v>4043.0898999999999</v>
      </c>
      <c r="E44" s="6">
        <v>38169</v>
      </c>
      <c r="F44" s="126">
        <f t="shared" si="1"/>
        <v>12959.742220000002</v>
      </c>
    </row>
    <row r="45" spans="2:6">
      <c r="B45" s="6">
        <v>38200</v>
      </c>
      <c r="C45" s="126">
        <f t="shared" si="0"/>
        <v>4043.0898999999999</v>
      </c>
      <c r="E45" s="6">
        <v>38200</v>
      </c>
      <c r="F45" s="126">
        <f t="shared" si="1"/>
        <v>13959.587425</v>
      </c>
    </row>
    <row r="46" spans="2:6">
      <c r="B46" s="6">
        <v>38231</v>
      </c>
      <c r="C46" s="126">
        <f t="shared" si="0"/>
        <v>5135.8169000000007</v>
      </c>
      <c r="E46" s="6">
        <v>38231</v>
      </c>
      <c r="F46" s="126">
        <f t="shared" si="1"/>
        <v>14271.014620000002</v>
      </c>
    </row>
    <row r="47" spans="2:6">
      <c r="B47" s="6">
        <v>38261</v>
      </c>
      <c r="C47" s="126">
        <f t="shared" si="0"/>
        <v>4807.9988000000003</v>
      </c>
      <c r="E47" s="6">
        <v>38261</v>
      </c>
      <c r="F47" s="126">
        <f t="shared" si="1"/>
        <v>12391.524180000002</v>
      </c>
    </row>
    <row r="48" spans="2:6">
      <c r="B48" s="6">
        <v>38292</v>
      </c>
      <c r="C48" s="126">
        <f t="shared" si="0"/>
        <v>4807.9988000000003</v>
      </c>
      <c r="E48" s="6">
        <v>38292</v>
      </c>
      <c r="F48" s="126">
        <f t="shared" si="1"/>
        <v>8840.1614300000001</v>
      </c>
    </row>
    <row r="49" spans="2:7">
      <c r="B49" s="6">
        <v>38322</v>
      </c>
      <c r="C49" s="126">
        <f t="shared" si="0"/>
        <v>4807.9988000000003</v>
      </c>
      <c r="E49" s="6">
        <v>38322</v>
      </c>
      <c r="F49" s="126">
        <f t="shared" si="1"/>
        <v>7364.979980000001</v>
      </c>
    </row>
    <row r="50" spans="2:7">
      <c r="B50" s="6">
        <v>38353</v>
      </c>
      <c r="C50" s="126">
        <f>C38*(1+$A$2)</f>
        <v>4502.0352400000002</v>
      </c>
      <c r="E50" s="6">
        <v>38353</v>
      </c>
      <c r="F50" s="126">
        <f>F38*(1+$A$2)</f>
        <v>7867.3065819000003</v>
      </c>
    </row>
    <row r="51" spans="2:7">
      <c r="B51" s="6">
        <v>38384</v>
      </c>
      <c r="C51" s="126">
        <f t="shared" si="0"/>
        <v>2813.7720250000002</v>
      </c>
      <c r="E51" s="6">
        <v>38384</v>
      </c>
      <c r="F51" s="126">
        <f t="shared" si="1"/>
        <v>7113.2156792000005</v>
      </c>
    </row>
    <row r="52" spans="2:7">
      <c r="B52" s="6">
        <v>38412</v>
      </c>
      <c r="C52" s="126">
        <f t="shared" si="0"/>
        <v>3376.5264300000008</v>
      </c>
      <c r="E52" s="6">
        <v>38412</v>
      </c>
      <c r="F52" s="126">
        <f t="shared" si="1"/>
        <v>7794.1485092499997</v>
      </c>
    </row>
    <row r="53" spans="2:7">
      <c r="B53" s="6">
        <v>38443</v>
      </c>
      <c r="C53" s="126">
        <f t="shared" si="0"/>
        <v>3376.5264300000008</v>
      </c>
      <c r="E53" s="6">
        <v>38443</v>
      </c>
      <c r="F53" s="126">
        <f t="shared" si="1"/>
        <v>9426.1362837500001</v>
      </c>
    </row>
    <row r="54" spans="2:7">
      <c r="B54" s="6">
        <v>38473</v>
      </c>
      <c r="C54" s="126">
        <f t="shared" si="0"/>
        <v>4839.6878829999996</v>
      </c>
      <c r="E54" s="6">
        <v>38473</v>
      </c>
      <c r="F54" s="126">
        <f t="shared" si="1"/>
        <v>9088.4836407500006</v>
      </c>
    </row>
    <row r="55" spans="2:7">
      <c r="B55" s="6">
        <v>38504</v>
      </c>
      <c r="C55" s="126">
        <f t="shared" si="0"/>
        <v>4164.3825969999998</v>
      </c>
      <c r="E55" s="6">
        <v>38504</v>
      </c>
      <c r="F55" s="126">
        <f t="shared" si="1"/>
        <v>11480.189862000001</v>
      </c>
    </row>
    <row r="56" spans="2:7">
      <c r="B56" s="6">
        <v>38534</v>
      </c>
      <c r="C56" s="126">
        <f t="shared" si="0"/>
        <v>4164.3825969999998</v>
      </c>
      <c r="E56" s="6">
        <v>38534</v>
      </c>
      <c r="F56" s="126">
        <f t="shared" si="1"/>
        <v>13348.534486600001</v>
      </c>
    </row>
    <row r="57" spans="2:7">
      <c r="B57" s="6">
        <v>38565</v>
      </c>
      <c r="C57" s="126">
        <f t="shared" si="0"/>
        <v>4164.3825969999998</v>
      </c>
      <c r="E57" s="6">
        <v>38565</v>
      </c>
      <c r="F57" s="126">
        <f t="shared" si="1"/>
        <v>14378.37504775</v>
      </c>
    </row>
    <row r="58" spans="2:7">
      <c r="B58" s="6">
        <v>38596</v>
      </c>
      <c r="C58" s="126">
        <f t="shared" si="0"/>
        <v>5289.891407000001</v>
      </c>
      <c r="E58" s="6">
        <v>38596</v>
      </c>
      <c r="F58" s="126">
        <f t="shared" si="1"/>
        <v>14699.145058600003</v>
      </c>
    </row>
    <row r="59" spans="2:7">
      <c r="B59" s="6">
        <v>38626</v>
      </c>
      <c r="C59" s="126">
        <f t="shared" si="0"/>
        <v>4952.2387640000006</v>
      </c>
      <c r="E59" s="6">
        <v>38626</v>
      </c>
      <c r="F59" s="126">
        <f t="shared" si="1"/>
        <v>12763.269905400002</v>
      </c>
    </row>
    <row r="60" spans="2:7">
      <c r="B60" s="6">
        <v>38657</v>
      </c>
      <c r="C60" s="126">
        <f t="shared" si="0"/>
        <v>4952.2387640000006</v>
      </c>
      <c r="E60" s="6">
        <v>38657</v>
      </c>
      <c r="F60" s="126">
        <f t="shared" si="1"/>
        <v>9105.3662729000007</v>
      </c>
    </row>
    <row r="61" spans="2:7">
      <c r="B61" s="6">
        <v>38687</v>
      </c>
      <c r="C61" s="126">
        <f t="shared" si="0"/>
        <v>4952.2387640000006</v>
      </c>
      <c r="D61" s="127">
        <f>AVERAGE(C2:C61)</f>
        <v>4052.6403349666662</v>
      </c>
      <c r="E61" s="6">
        <v>38687</v>
      </c>
      <c r="F61" s="126">
        <f t="shared" si="1"/>
        <v>7585.9293794000014</v>
      </c>
      <c r="G61" s="127">
        <f>AVERAGE(F2:F61)</f>
        <v>9799.7798492916663</v>
      </c>
    </row>
    <row r="62" spans="2:7">
      <c r="B62" s="6">
        <v>38718</v>
      </c>
      <c r="C62" s="126">
        <f>C50*(1+$A$2)</f>
        <v>4637.0962972000007</v>
      </c>
      <c r="E62" s="6">
        <v>38718</v>
      </c>
      <c r="F62" s="126">
        <f>F50*(1+$A$2)</f>
        <v>8103.3257793570001</v>
      </c>
    </row>
    <row r="63" spans="2:7">
      <c r="B63" s="6">
        <v>38749</v>
      </c>
      <c r="C63" s="126">
        <f t="shared" si="0"/>
        <v>2898.1851857500001</v>
      </c>
      <c r="E63" s="6">
        <v>38749</v>
      </c>
      <c r="F63" s="126">
        <f t="shared" si="1"/>
        <v>7326.6121495760008</v>
      </c>
    </row>
    <row r="64" spans="2:7">
      <c r="B64" s="6">
        <v>38777</v>
      </c>
      <c r="C64" s="126">
        <f t="shared" si="0"/>
        <v>3477.8222229000007</v>
      </c>
      <c r="E64" s="6">
        <v>38777</v>
      </c>
      <c r="F64" s="126">
        <f t="shared" si="1"/>
        <v>8027.9729645275002</v>
      </c>
    </row>
    <row r="65" spans="2:6">
      <c r="B65" s="6">
        <v>38808</v>
      </c>
      <c r="C65" s="126">
        <f t="shared" si="0"/>
        <v>3477.8222229000007</v>
      </c>
      <c r="E65" s="6">
        <v>38808</v>
      </c>
      <c r="F65" s="126">
        <f t="shared" si="1"/>
        <v>9708.9203722625007</v>
      </c>
    </row>
    <row r="66" spans="2:6">
      <c r="B66" s="6">
        <v>38838</v>
      </c>
      <c r="C66" s="126">
        <f t="shared" si="0"/>
        <v>4984.8785194900001</v>
      </c>
      <c r="E66" s="6">
        <v>38838</v>
      </c>
      <c r="F66" s="126">
        <f t="shared" si="1"/>
        <v>9361.1381499725012</v>
      </c>
    </row>
    <row r="67" spans="2:6">
      <c r="B67" s="6">
        <v>38869</v>
      </c>
      <c r="C67" s="126">
        <f t="shared" si="0"/>
        <v>4289.3140749100003</v>
      </c>
      <c r="E67" s="6">
        <v>38869</v>
      </c>
      <c r="F67" s="126">
        <f t="shared" si="1"/>
        <v>11824.595557860001</v>
      </c>
    </row>
    <row r="68" spans="2:6">
      <c r="B68" s="6">
        <v>38899</v>
      </c>
      <c r="C68" s="126">
        <f t="shared" si="0"/>
        <v>4289.3140749100003</v>
      </c>
      <c r="E68" s="6">
        <v>38899</v>
      </c>
      <c r="F68" s="126">
        <f t="shared" si="1"/>
        <v>13748.990521198002</v>
      </c>
    </row>
    <row r="69" spans="2:6">
      <c r="B69" s="6">
        <v>38930</v>
      </c>
      <c r="C69" s="126">
        <f t="shared" si="0"/>
        <v>4289.3140749100003</v>
      </c>
      <c r="E69" s="6">
        <v>38930</v>
      </c>
      <c r="F69" s="126">
        <f t="shared" si="1"/>
        <v>14809.726299182501</v>
      </c>
    </row>
    <row r="70" spans="2:6">
      <c r="B70" s="6">
        <v>38961</v>
      </c>
      <c r="C70" s="126">
        <f t="shared" si="0"/>
        <v>5448.5881492100016</v>
      </c>
      <c r="E70" s="6">
        <v>38961</v>
      </c>
      <c r="F70" s="126">
        <f t="shared" si="1"/>
        <v>15140.119410358004</v>
      </c>
    </row>
    <row r="71" spans="2:6">
      <c r="B71" s="6">
        <v>38991</v>
      </c>
      <c r="C71" s="126">
        <f t="shared" si="0"/>
        <v>5100.8059269200012</v>
      </c>
      <c r="E71" s="6">
        <v>38991</v>
      </c>
      <c r="F71" s="126">
        <f t="shared" si="1"/>
        <v>13146.168002562003</v>
      </c>
    </row>
    <row r="72" spans="2:6">
      <c r="B72" s="6">
        <v>39022</v>
      </c>
      <c r="C72" s="126">
        <f t="shared" si="0"/>
        <v>5100.8059269200012</v>
      </c>
      <c r="E72" s="6">
        <v>39022</v>
      </c>
      <c r="F72" s="126">
        <f t="shared" si="1"/>
        <v>9378.5272610870015</v>
      </c>
    </row>
    <row r="73" spans="2:6">
      <c r="B73" s="6">
        <v>39052</v>
      </c>
      <c r="C73" s="126">
        <f t="shared" si="0"/>
        <v>5100.8059269200012</v>
      </c>
      <c r="E73" s="6">
        <v>39052</v>
      </c>
      <c r="F73" s="126">
        <f t="shared" si="1"/>
        <v>7813.507260782002</v>
      </c>
    </row>
    <row r="74" spans="2:6">
      <c r="B74" s="6">
        <v>39083</v>
      </c>
      <c r="C74" s="126">
        <f>C62*(1+$A$2)</f>
        <v>4776.2091861160006</v>
      </c>
      <c r="E74" s="6">
        <v>39083</v>
      </c>
      <c r="F74" s="126">
        <f>F62*(1+$A$2)</f>
        <v>8346.4255527377099</v>
      </c>
    </row>
    <row r="75" spans="2:6">
      <c r="B75" s="6">
        <v>39114</v>
      </c>
      <c r="C75" s="126">
        <f t="shared" si="0"/>
        <v>2985.1307413224999</v>
      </c>
      <c r="E75" s="6">
        <v>39114</v>
      </c>
      <c r="F75" s="126">
        <f t="shared" si="1"/>
        <v>7546.410514063281</v>
      </c>
    </row>
    <row r="76" spans="2:6">
      <c r="B76" s="6">
        <v>39142</v>
      </c>
      <c r="C76" s="126">
        <f t="shared" si="0"/>
        <v>3582.1568895870009</v>
      </c>
      <c r="E76" s="6">
        <v>39142</v>
      </c>
      <c r="F76" s="126">
        <f t="shared" si="1"/>
        <v>8268.8121534633246</v>
      </c>
    </row>
    <row r="77" spans="2:6">
      <c r="B77" s="6">
        <v>39173</v>
      </c>
      <c r="C77" s="126">
        <f t="shared" si="0"/>
        <v>3582.1568895870009</v>
      </c>
      <c r="E77" s="6">
        <v>39173</v>
      </c>
      <c r="F77" s="126">
        <f t="shared" si="1"/>
        <v>10000.187983430376</v>
      </c>
    </row>
    <row r="78" spans="2:6">
      <c r="B78" s="6">
        <v>39203</v>
      </c>
      <c r="C78" s="126">
        <f t="shared" si="0"/>
        <v>5134.4248750747001</v>
      </c>
      <c r="E78" s="6">
        <v>39203</v>
      </c>
      <c r="F78" s="126">
        <f t="shared" si="1"/>
        <v>9641.9722944716759</v>
      </c>
    </row>
    <row r="79" spans="2:6">
      <c r="B79" s="6">
        <v>39234</v>
      </c>
      <c r="C79" s="126">
        <f t="shared" ref="C79:C85" si="2">C67*(1+$A$2)</f>
        <v>4417.9934971573002</v>
      </c>
      <c r="E79" s="6">
        <v>39234</v>
      </c>
      <c r="F79" s="126">
        <f t="shared" ref="F79:F85" si="3">F67*(1+$A$2)</f>
        <v>12179.333424595801</v>
      </c>
    </row>
    <row r="80" spans="2:6">
      <c r="B80" s="6">
        <v>39264</v>
      </c>
      <c r="C80" s="126">
        <f t="shared" si="2"/>
        <v>4417.9934971573002</v>
      </c>
      <c r="E80" s="6">
        <v>39264</v>
      </c>
      <c r="F80" s="126">
        <f t="shared" si="3"/>
        <v>14161.460236833942</v>
      </c>
    </row>
    <row r="81" spans="2:7">
      <c r="B81" s="6">
        <v>39295</v>
      </c>
      <c r="C81" s="126">
        <f t="shared" si="2"/>
        <v>4417.9934971573002</v>
      </c>
      <c r="E81" s="6">
        <v>39295</v>
      </c>
      <c r="F81" s="126">
        <f t="shared" si="3"/>
        <v>15254.018088157976</v>
      </c>
    </row>
    <row r="82" spans="2:7">
      <c r="B82" s="6">
        <v>39326</v>
      </c>
      <c r="C82" s="126">
        <f t="shared" si="2"/>
        <v>5612.0457936863022</v>
      </c>
      <c r="E82" s="6">
        <v>39326</v>
      </c>
      <c r="F82" s="126">
        <f t="shared" si="3"/>
        <v>15594.322992668744</v>
      </c>
    </row>
    <row r="83" spans="2:7">
      <c r="B83" s="6">
        <v>39356</v>
      </c>
      <c r="C83" s="126">
        <f t="shared" si="2"/>
        <v>5253.8301047276018</v>
      </c>
      <c r="E83" s="6">
        <v>39356</v>
      </c>
      <c r="F83" s="126">
        <f t="shared" si="3"/>
        <v>13540.553042638863</v>
      </c>
    </row>
    <row r="84" spans="2:7">
      <c r="B84" s="6">
        <v>39387</v>
      </c>
      <c r="C84" s="126">
        <f t="shared" si="2"/>
        <v>5253.8301047276018</v>
      </c>
      <c r="E84" s="6">
        <v>39387</v>
      </c>
      <c r="F84" s="126">
        <f t="shared" si="3"/>
        <v>9659.8830789196127</v>
      </c>
    </row>
    <row r="85" spans="2:7">
      <c r="B85" s="6">
        <v>39417</v>
      </c>
      <c r="C85" s="126">
        <f t="shared" si="2"/>
        <v>5253.8301047276018</v>
      </c>
      <c r="D85" s="127">
        <f>AVERAGE(C2:C85)</f>
        <v>4177.8662843091424</v>
      </c>
      <c r="E85" s="6">
        <v>39417</v>
      </c>
      <c r="F85" s="126">
        <f t="shared" si="3"/>
        <v>8047.9124786054626</v>
      </c>
      <c r="G85" s="127">
        <f>AVERAGE(F2:F85)</f>
        <v>10102.591506271569</v>
      </c>
    </row>
    <row r="86" spans="2:7">
      <c r="B86" s="6">
        <v>39448</v>
      </c>
      <c r="C86" s="126">
        <f>C74*(1+$A$2)</f>
        <v>4919.495461699481</v>
      </c>
      <c r="E86" s="6">
        <v>39448</v>
      </c>
      <c r="F86" s="126">
        <f>F74*(1+$A$2)</f>
        <v>8596.818319319842</v>
      </c>
    </row>
    <row r="87" spans="2:7">
      <c r="B87" s="6">
        <v>39479</v>
      </c>
      <c r="C87" s="126">
        <f t="shared" ref="C87:C121" si="4">C75*(1+$A$2)</f>
        <v>3074.684663562175</v>
      </c>
      <c r="E87" s="6">
        <v>39479</v>
      </c>
      <c r="F87" s="126">
        <f t="shared" ref="F87:F121" si="5">F75*(1+$A$2)</f>
        <v>7772.8028294851792</v>
      </c>
    </row>
    <row r="88" spans="2:7">
      <c r="B88" s="6">
        <v>39508</v>
      </c>
      <c r="C88" s="126">
        <f t="shared" si="4"/>
        <v>3689.621596274611</v>
      </c>
      <c r="E88" s="6">
        <v>39508</v>
      </c>
      <c r="F88" s="126">
        <f t="shared" si="5"/>
        <v>8516.8765180672253</v>
      </c>
    </row>
    <row r="89" spans="2:7">
      <c r="B89" s="6">
        <v>39539</v>
      </c>
      <c r="C89" s="126">
        <f t="shared" si="4"/>
        <v>3689.621596274611</v>
      </c>
      <c r="E89" s="6">
        <v>39539</v>
      </c>
      <c r="F89" s="126">
        <f t="shared" si="5"/>
        <v>10300.193622933288</v>
      </c>
    </row>
    <row r="90" spans="2:7">
      <c r="B90" s="6">
        <v>39569</v>
      </c>
      <c r="C90" s="126">
        <f t="shared" si="4"/>
        <v>5288.4576213269411</v>
      </c>
      <c r="E90" s="6">
        <v>39569</v>
      </c>
      <c r="F90" s="126">
        <f t="shared" si="5"/>
        <v>9931.2314633058268</v>
      </c>
    </row>
    <row r="91" spans="2:7">
      <c r="B91" s="6">
        <v>39600</v>
      </c>
      <c r="C91" s="126">
        <f t="shared" si="4"/>
        <v>4550.5333020720191</v>
      </c>
      <c r="E91" s="6">
        <v>39600</v>
      </c>
      <c r="F91" s="126">
        <f t="shared" si="5"/>
        <v>12544.713427333676</v>
      </c>
    </row>
    <row r="92" spans="2:7">
      <c r="B92" s="6">
        <v>39630</v>
      </c>
      <c r="C92" s="126">
        <f t="shared" si="4"/>
        <v>4550.5333020720191</v>
      </c>
      <c r="E92" s="6">
        <v>39630</v>
      </c>
      <c r="F92" s="126">
        <f t="shared" si="5"/>
        <v>14586.304043938961</v>
      </c>
    </row>
    <row r="93" spans="2:7">
      <c r="B93" s="6">
        <v>39661</v>
      </c>
      <c r="C93" s="126">
        <f t="shared" si="4"/>
        <v>4550.5333020720191</v>
      </c>
      <c r="E93" s="6">
        <v>39661</v>
      </c>
      <c r="F93" s="126">
        <f t="shared" si="5"/>
        <v>15711.638630802716</v>
      </c>
    </row>
    <row r="94" spans="2:7">
      <c r="B94" s="6">
        <v>39692</v>
      </c>
      <c r="C94" s="126">
        <f t="shared" si="4"/>
        <v>5780.4071674968918</v>
      </c>
      <c r="E94" s="6">
        <v>39692</v>
      </c>
      <c r="F94" s="126">
        <f t="shared" si="5"/>
        <v>16062.152682448806</v>
      </c>
    </row>
    <row r="95" spans="2:7">
      <c r="B95" s="6">
        <v>39722</v>
      </c>
      <c r="C95" s="126">
        <f t="shared" si="4"/>
        <v>5411.4450078694299</v>
      </c>
      <c r="E95" s="6">
        <v>39722</v>
      </c>
      <c r="F95" s="126">
        <f t="shared" si="5"/>
        <v>13946.769633918029</v>
      </c>
    </row>
    <row r="96" spans="2:7">
      <c r="B96" s="6">
        <v>39753</v>
      </c>
      <c r="C96" s="126">
        <f t="shared" si="4"/>
        <v>5411.4450078694299</v>
      </c>
      <c r="E96" s="6">
        <v>39753</v>
      </c>
      <c r="F96" s="126">
        <f t="shared" si="5"/>
        <v>9949.6795712872008</v>
      </c>
    </row>
    <row r="97" spans="2:6">
      <c r="B97" s="6">
        <v>39783</v>
      </c>
      <c r="C97" s="126">
        <f t="shared" si="4"/>
        <v>5411.4450078694299</v>
      </c>
      <c r="E97" s="6">
        <v>39783</v>
      </c>
      <c r="F97" s="126">
        <f t="shared" si="5"/>
        <v>8289.3498529636272</v>
      </c>
    </row>
    <row r="98" spans="2:6">
      <c r="B98" s="6">
        <v>39814</v>
      </c>
      <c r="C98" s="126">
        <f>C86*(1+$A$2)</f>
        <v>5067.0803255504652</v>
      </c>
      <c r="E98" s="6">
        <v>39814</v>
      </c>
      <c r="F98" s="126">
        <f>F86*(1+$A$2)</f>
        <v>8854.7228688994383</v>
      </c>
    </row>
    <row r="99" spans="2:6">
      <c r="B99" s="6">
        <v>39845</v>
      </c>
      <c r="C99" s="126">
        <f t="shared" si="4"/>
        <v>3166.9252034690403</v>
      </c>
      <c r="E99" s="6">
        <v>39845</v>
      </c>
      <c r="F99" s="126">
        <f t="shared" si="5"/>
        <v>8005.9869143697351</v>
      </c>
    </row>
    <row r="100" spans="2:6">
      <c r="B100" s="6">
        <v>39873</v>
      </c>
      <c r="C100" s="126">
        <f t="shared" si="4"/>
        <v>3800.3102441628494</v>
      </c>
      <c r="E100" s="6">
        <v>39873</v>
      </c>
      <c r="F100" s="126">
        <f t="shared" si="5"/>
        <v>8772.3828136092416</v>
      </c>
    </row>
    <row r="101" spans="2:6">
      <c r="B101" s="6">
        <v>39904</v>
      </c>
      <c r="C101" s="126">
        <f t="shared" si="4"/>
        <v>3800.3102441628494</v>
      </c>
      <c r="E101" s="6">
        <v>39904</v>
      </c>
      <c r="F101" s="126">
        <f t="shared" si="5"/>
        <v>10609.199431621286</v>
      </c>
    </row>
    <row r="102" spans="2:6">
      <c r="B102" s="6">
        <v>39934</v>
      </c>
      <c r="C102" s="126">
        <f t="shared" si="4"/>
        <v>5447.111349966749</v>
      </c>
      <c r="E102" s="6">
        <v>39934</v>
      </c>
      <c r="F102" s="126">
        <f t="shared" si="5"/>
        <v>10229.168407205001</v>
      </c>
    </row>
    <row r="103" spans="2:6">
      <c r="B103" s="6">
        <v>39965</v>
      </c>
      <c r="C103" s="126">
        <f t="shared" si="4"/>
        <v>4687.0493011341796</v>
      </c>
      <c r="E103" s="6">
        <v>39965</v>
      </c>
      <c r="F103" s="126">
        <f t="shared" si="5"/>
        <v>12921.054830153687</v>
      </c>
    </row>
    <row r="104" spans="2:6">
      <c r="B104" s="6">
        <v>39995</v>
      </c>
      <c r="C104" s="126">
        <f t="shared" si="4"/>
        <v>4687.0493011341796</v>
      </c>
      <c r="E104" s="6">
        <v>39995</v>
      </c>
      <c r="F104" s="126">
        <f t="shared" si="5"/>
        <v>15023.89316525713</v>
      </c>
    </row>
    <row r="105" spans="2:6">
      <c r="B105" s="6">
        <v>40026</v>
      </c>
      <c r="C105" s="126">
        <f t="shared" si="4"/>
        <v>4687.0493011341796</v>
      </c>
      <c r="E105" s="6">
        <v>40026</v>
      </c>
      <c r="F105" s="126">
        <f t="shared" si="5"/>
        <v>16182.987789726798</v>
      </c>
    </row>
    <row r="106" spans="2:6">
      <c r="B106" s="6">
        <v>40057</v>
      </c>
      <c r="C106" s="126">
        <f t="shared" si="4"/>
        <v>5953.8193825217986</v>
      </c>
      <c r="E106" s="6">
        <v>40057</v>
      </c>
      <c r="F106" s="126">
        <f t="shared" si="5"/>
        <v>16544.017262922272</v>
      </c>
    </row>
    <row r="107" spans="2:6">
      <c r="B107" s="6">
        <v>40087</v>
      </c>
      <c r="C107" s="126">
        <f t="shared" si="4"/>
        <v>5573.788358105513</v>
      </c>
      <c r="E107" s="6">
        <v>40087</v>
      </c>
      <c r="F107" s="126">
        <f t="shared" si="5"/>
        <v>14365.172722935571</v>
      </c>
    </row>
    <row r="108" spans="2:6">
      <c r="B108" s="6">
        <v>40118</v>
      </c>
      <c r="C108" s="126">
        <f t="shared" si="4"/>
        <v>5573.788358105513</v>
      </c>
      <c r="E108" s="6">
        <v>40118</v>
      </c>
      <c r="F108" s="126">
        <f t="shared" si="5"/>
        <v>10248.169958425817</v>
      </c>
    </row>
    <row r="109" spans="2:6">
      <c r="B109" s="6">
        <v>40148</v>
      </c>
      <c r="C109" s="126">
        <f t="shared" si="4"/>
        <v>5573.788358105513</v>
      </c>
      <c r="E109" s="6">
        <v>40148</v>
      </c>
      <c r="F109" s="126">
        <f t="shared" si="5"/>
        <v>8538.0303485525365</v>
      </c>
    </row>
    <row r="110" spans="2:6">
      <c r="B110" s="6">
        <v>40179</v>
      </c>
      <c r="C110" s="126">
        <f>C98*(1+$A$2)</f>
        <v>5219.0927353169791</v>
      </c>
      <c r="E110" s="6">
        <v>40179</v>
      </c>
      <c r="F110" s="126">
        <f>F98*(1+$A$2)</f>
        <v>9120.3645549664216</v>
      </c>
    </row>
    <row r="111" spans="2:6">
      <c r="B111" s="6">
        <v>40210</v>
      </c>
      <c r="C111" s="126">
        <f t="shared" si="4"/>
        <v>3261.9329595731115</v>
      </c>
      <c r="E111" s="6">
        <v>40210</v>
      </c>
      <c r="F111" s="126">
        <f t="shared" si="5"/>
        <v>8246.1665218008275</v>
      </c>
    </row>
    <row r="112" spans="2:6">
      <c r="B112" s="6">
        <v>40238</v>
      </c>
      <c r="C112" s="126">
        <f t="shared" si="4"/>
        <v>3914.3195514877348</v>
      </c>
      <c r="E112" s="6">
        <v>40238</v>
      </c>
      <c r="F112" s="126">
        <f t="shared" si="5"/>
        <v>9035.5542980175196</v>
      </c>
    </row>
    <row r="113" spans="2:7">
      <c r="B113" s="6">
        <v>40269</v>
      </c>
      <c r="C113" s="126">
        <f t="shared" si="4"/>
        <v>3914.3195514877348</v>
      </c>
      <c r="E113" s="6">
        <v>40269</v>
      </c>
      <c r="F113" s="126">
        <f t="shared" si="5"/>
        <v>10927.475414569924</v>
      </c>
    </row>
    <row r="114" spans="2:7">
      <c r="B114" s="6">
        <v>40299</v>
      </c>
      <c r="C114" s="126">
        <f t="shared" si="4"/>
        <v>5610.5246904657515</v>
      </c>
      <c r="E114" s="6">
        <v>40299</v>
      </c>
      <c r="F114" s="126">
        <f t="shared" si="5"/>
        <v>10536.043459421151</v>
      </c>
    </row>
    <row r="115" spans="2:7">
      <c r="B115" s="6">
        <v>40330</v>
      </c>
      <c r="C115" s="126">
        <f t="shared" si="4"/>
        <v>4827.6607801682048</v>
      </c>
      <c r="E115" s="6">
        <v>40330</v>
      </c>
      <c r="F115" s="126">
        <f t="shared" si="5"/>
        <v>13308.686475058299</v>
      </c>
    </row>
    <row r="116" spans="2:7">
      <c r="B116" s="6">
        <v>40360</v>
      </c>
      <c r="C116" s="126">
        <f t="shared" si="4"/>
        <v>4827.6607801682048</v>
      </c>
      <c r="E116" s="6">
        <v>40360</v>
      </c>
      <c r="F116" s="126">
        <f t="shared" si="5"/>
        <v>15474.609960214844</v>
      </c>
    </row>
    <row r="117" spans="2:7">
      <c r="B117" s="6">
        <v>40391</v>
      </c>
      <c r="C117" s="126">
        <f t="shared" si="4"/>
        <v>4827.6607801682048</v>
      </c>
      <c r="E117" s="6">
        <v>40391</v>
      </c>
      <c r="F117" s="126">
        <f t="shared" si="5"/>
        <v>16668.477423418601</v>
      </c>
    </row>
    <row r="118" spans="2:7">
      <c r="B118" s="6">
        <v>40422</v>
      </c>
      <c r="C118" s="126">
        <f t="shared" si="4"/>
        <v>6132.4339639974523</v>
      </c>
      <c r="E118" s="6">
        <v>40422</v>
      </c>
      <c r="F118" s="126">
        <f t="shared" si="5"/>
        <v>17040.337780809939</v>
      </c>
    </row>
    <row r="119" spans="2:7">
      <c r="B119" s="6">
        <v>40452</v>
      </c>
      <c r="C119" s="126">
        <f t="shared" si="4"/>
        <v>5741.0020088486781</v>
      </c>
      <c r="E119" s="6">
        <v>40452</v>
      </c>
      <c r="F119" s="126">
        <f t="shared" si="5"/>
        <v>14796.127904623638</v>
      </c>
    </row>
    <row r="120" spans="2:7">
      <c r="B120" s="6">
        <v>40483</v>
      </c>
      <c r="C120" s="126">
        <f t="shared" si="4"/>
        <v>5741.0020088486781</v>
      </c>
      <c r="E120" s="6">
        <v>40483</v>
      </c>
      <c r="F120" s="126">
        <f t="shared" si="5"/>
        <v>10555.615057178591</v>
      </c>
    </row>
    <row r="121" spans="2:7">
      <c r="B121" s="6">
        <v>40513</v>
      </c>
      <c r="C121" s="126">
        <f t="shared" si="4"/>
        <v>5741.0020088486781</v>
      </c>
      <c r="D121" s="127">
        <f>AVERAGE(C2:C121)</f>
        <v>4375.3806038779967</v>
      </c>
      <c r="E121" s="6">
        <v>40513</v>
      </c>
      <c r="F121" s="126">
        <f t="shared" si="5"/>
        <v>8794.171259009112</v>
      </c>
      <c r="G121" s="127">
        <f>AVERAGE(F2:F121)</f>
        <v>10580.205281211533</v>
      </c>
    </row>
    <row r="122" spans="2:7">
      <c r="B122" s="6"/>
      <c r="E122" s="6"/>
    </row>
    <row r="123" spans="2:7">
      <c r="B123" s="6"/>
      <c r="E123" s="6"/>
    </row>
    <row r="124" spans="2:7">
      <c r="B124" s="6"/>
      <c r="E124" s="6"/>
    </row>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CALC</vt:lpstr>
      <vt:lpstr>CURVES</vt:lpstr>
      <vt:lpstr>_udcgen1999</vt:lpstr>
      <vt:lpstr>Treasury Input</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Jan Havlíček</cp:lastModifiedBy>
  <cp:lastPrinted>2001-01-12T03:54:49Z</cp:lastPrinted>
  <dcterms:created xsi:type="dcterms:W3CDTF">2000-12-05T00:57:24Z</dcterms:created>
  <dcterms:modified xsi:type="dcterms:W3CDTF">2023-09-15T16:32:23Z</dcterms:modified>
</cp:coreProperties>
</file>