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6B57B6-9268-4484-83D2-7E759B8C1298}" xr6:coauthVersionLast="47" xr6:coauthVersionMax="47" xr10:uidLastSave="{00000000-0000-0000-0000-000000000000}"/>
  <bookViews>
    <workbookView xWindow="-120" yWindow="-120" windowWidth="38640" windowHeight="15720" activeTab="2"/>
  </bookViews>
  <sheets>
    <sheet name="in and out" sheetId="4" r:id="rId1"/>
    <sheet name="facts" sheetId="1" r:id="rId2"/>
    <sheet name="facts premium" sheetId="6" r:id="rId3"/>
    <sheet name="attendance" sheetId="2" r:id="rId4"/>
    <sheet name="Chart1" sheetId="5" r:id="rId5"/>
    <sheet name="elasticity" sheetId="3" r:id="rId6"/>
  </sheets>
  <definedNames>
    <definedName name="DiscRate" localSheetId="2">'facts premium'!$C$15</definedName>
    <definedName name="DiscRate">facts!$C$15</definedName>
    <definedName name="discrate2" localSheetId="2">'facts premium'!$D$15</definedName>
    <definedName name="discrate2">facts!$D$15</definedName>
    <definedName name="DiscRate3" localSheetId="2">'facts premium'!$E$15</definedName>
    <definedName name="DiscRate3">facts!$E$15</definedName>
    <definedName name="DiscRate4" localSheetId="2">'facts premium'!$F$15</definedName>
    <definedName name="DiscRate4">facts!$F$15</definedName>
    <definedName name="DiscRate5" localSheetId="2">'facts premium'!$G$15</definedName>
    <definedName name="DiscRate5">facts!$G$15</definedName>
    <definedName name="DiscRate6" localSheetId="2">'facts premium'!$H$15</definedName>
    <definedName name="DiscRate6">facts!$H$15</definedName>
    <definedName name="inflation">elasticity!$B$1</definedName>
    <definedName name="tixdr0">attendance!$F$22</definedName>
    <definedName name="tixdr2">attendance!$G$22</definedName>
    <definedName name="tixdr3">attendance!$H$22</definedName>
    <definedName name="tixdr4">attendance!$I$22</definedName>
    <definedName name="tixdr5">attendance!$J$22</definedName>
    <definedName name="tixdr6">attendance!$K$22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E3" i="2"/>
  <c r="F3" i="2"/>
  <c r="G3" i="2"/>
  <c r="H3" i="2"/>
  <c r="I3" i="2"/>
  <c r="J3" i="2"/>
  <c r="K3" i="2"/>
  <c r="E4" i="2"/>
  <c r="F4" i="2"/>
  <c r="G4" i="2"/>
  <c r="H4" i="2"/>
  <c r="I4" i="2"/>
  <c r="J4" i="2"/>
  <c r="K4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F22" i="2"/>
  <c r="G22" i="2"/>
  <c r="H22" i="2"/>
  <c r="I22" i="2"/>
  <c r="J22" i="2"/>
  <c r="K22" i="2"/>
  <c r="A4" i="3"/>
  <c r="E4" i="3"/>
  <c r="F4" i="3"/>
  <c r="A5" i="3"/>
  <c r="E5" i="3"/>
  <c r="F5" i="3"/>
  <c r="G5" i="3"/>
  <c r="H5" i="3"/>
  <c r="I5" i="3"/>
  <c r="A6" i="3"/>
  <c r="E6" i="3"/>
  <c r="F6" i="3"/>
  <c r="G6" i="3"/>
  <c r="H6" i="3"/>
  <c r="I6" i="3"/>
  <c r="A7" i="3"/>
  <c r="E7" i="3"/>
  <c r="F7" i="3"/>
  <c r="G7" i="3"/>
  <c r="H7" i="3"/>
  <c r="I7" i="3"/>
  <c r="A8" i="3"/>
  <c r="E8" i="3"/>
  <c r="F8" i="3"/>
  <c r="G8" i="3"/>
  <c r="H8" i="3"/>
  <c r="I8" i="3"/>
  <c r="A9" i="3"/>
  <c r="F9" i="3"/>
  <c r="G9" i="3"/>
  <c r="H9" i="3"/>
  <c r="I9" i="3"/>
  <c r="A10" i="3"/>
  <c r="F10" i="3"/>
  <c r="G10" i="3"/>
  <c r="H10" i="3"/>
  <c r="I10" i="3"/>
  <c r="A11" i="3"/>
  <c r="E11" i="3"/>
  <c r="F11" i="3"/>
  <c r="G11" i="3"/>
  <c r="H11" i="3"/>
  <c r="I11" i="3"/>
  <c r="D19" i="3"/>
  <c r="E19" i="3"/>
  <c r="F19" i="3"/>
  <c r="G19" i="3"/>
  <c r="H19" i="3"/>
  <c r="I19" i="3"/>
  <c r="J19" i="3"/>
  <c r="K19" i="3"/>
  <c r="L19" i="3"/>
  <c r="D20" i="3"/>
  <c r="E20" i="3"/>
  <c r="F20" i="3"/>
  <c r="G20" i="3"/>
  <c r="H20" i="3"/>
  <c r="I20" i="3"/>
  <c r="J20" i="3"/>
  <c r="K20" i="3"/>
  <c r="L20" i="3"/>
  <c r="D21" i="3"/>
  <c r="E21" i="3"/>
  <c r="F21" i="3"/>
  <c r="G21" i="3"/>
  <c r="H21" i="3"/>
  <c r="I21" i="3"/>
  <c r="J21" i="3"/>
  <c r="K21" i="3"/>
  <c r="L21" i="3"/>
  <c r="D22" i="3"/>
  <c r="E22" i="3"/>
  <c r="F22" i="3"/>
  <c r="G22" i="3"/>
  <c r="H22" i="3"/>
  <c r="I22" i="3"/>
  <c r="J22" i="3"/>
  <c r="K22" i="3"/>
  <c r="L22" i="3"/>
  <c r="D23" i="3"/>
  <c r="E23" i="3"/>
  <c r="F23" i="3"/>
  <c r="G23" i="3"/>
  <c r="H23" i="3"/>
  <c r="I23" i="3"/>
  <c r="J23" i="3"/>
  <c r="K23" i="3"/>
  <c r="L23" i="3"/>
  <c r="D24" i="3"/>
  <c r="E24" i="3"/>
  <c r="F24" i="3"/>
  <c r="G24" i="3"/>
  <c r="H24" i="3"/>
  <c r="I24" i="3"/>
  <c r="J24" i="3"/>
  <c r="K24" i="3"/>
  <c r="L24" i="3"/>
  <c r="D25" i="3"/>
  <c r="E25" i="3"/>
  <c r="F25" i="3"/>
  <c r="G25" i="3"/>
  <c r="H25" i="3"/>
  <c r="I25" i="3"/>
  <c r="J25" i="3"/>
  <c r="K25" i="3"/>
  <c r="L25" i="3"/>
  <c r="D26" i="3"/>
  <c r="E26" i="3"/>
  <c r="F26" i="3"/>
  <c r="G26" i="3"/>
  <c r="H26" i="3"/>
  <c r="I26" i="3"/>
  <c r="J26" i="3"/>
  <c r="K26" i="3"/>
  <c r="L26" i="3"/>
  <c r="D27" i="3"/>
  <c r="E27" i="3"/>
  <c r="F27" i="3"/>
  <c r="G27" i="3"/>
  <c r="H27" i="3"/>
  <c r="I27" i="3"/>
  <c r="J27" i="3"/>
  <c r="K27" i="3"/>
  <c r="L27" i="3"/>
  <c r="D28" i="3"/>
  <c r="E28" i="3"/>
  <c r="F28" i="3"/>
  <c r="G28" i="3"/>
  <c r="H28" i="3"/>
  <c r="I28" i="3"/>
  <c r="J28" i="3"/>
  <c r="K28" i="3"/>
  <c r="L28" i="3"/>
  <c r="D29" i="3"/>
  <c r="E29" i="3"/>
  <c r="F29" i="3"/>
  <c r="G29" i="3"/>
  <c r="H29" i="3"/>
  <c r="I29" i="3"/>
  <c r="J29" i="3"/>
  <c r="K29" i="3"/>
  <c r="L29" i="3"/>
  <c r="D30" i="3"/>
  <c r="E30" i="3"/>
  <c r="F30" i="3"/>
  <c r="G30" i="3"/>
  <c r="H30" i="3"/>
  <c r="I30" i="3"/>
  <c r="J30" i="3"/>
  <c r="K30" i="3"/>
  <c r="L30" i="3"/>
  <c r="D31" i="3"/>
  <c r="E31" i="3"/>
  <c r="F31" i="3"/>
  <c r="G31" i="3"/>
  <c r="H31" i="3"/>
  <c r="I31" i="3"/>
  <c r="J31" i="3"/>
  <c r="K31" i="3"/>
  <c r="L31" i="3"/>
  <c r="D32" i="3"/>
  <c r="E32" i="3"/>
  <c r="F32" i="3"/>
  <c r="G32" i="3"/>
  <c r="H32" i="3"/>
  <c r="I32" i="3"/>
  <c r="J32" i="3"/>
  <c r="K32" i="3"/>
  <c r="L32" i="3"/>
  <c r="D33" i="3"/>
  <c r="E33" i="3"/>
  <c r="F33" i="3"/>
  <c r="G33" i="3"/>
  <c r="H33" i="3"/>
  <c r="I33" i="3"/>
  <c r="J33" i="3"/>
  <c r="K33" i="3"/>
  <c r="L33" i="3"/>
  <c r="D34" i="3"/>
  <c r="E34" i="3"/>
  <c r="F34" i="3"/>
  <c r="G34" i="3"/>
  <c r="H34" i="3"/>
  <c r="I34" i="3"/>
  <c r="J34" i="3"/>
  <c r="K34" i="3"/>
  <c r="L34" i="3"/>
  <c r="D35" i="3"/>
  <c r="E35" i="3"/>
  <c r="F35" i="3"/>
  <c r="G35" i="3"/>
  <c r="H35" i="3"/>
  <c r="I35" i="3"/>
  <c r="J35" i="3"/>
  <c r="K35" i="3"/>
  <c r="L35" i="3"/>
  <c r="D36" i="3"/>
  <c r="E36" i="3"/>
  <c r="F36" i="3"/>
  <c r="G36" i="3"/>
  <c r="H36" i="3"/>
  <c r="I36" i="3"/>
  <c r="J36" i="3"/>
  <c r="K36" i="3"/>
  <c r="L36" i="3"/>
  <c r="D37" i="3"/>
  <c r="E37" i="3"/>
  <c r="F37" i="3"/>
  <c r="G37" i="3"/>
  <c r="H37" i="3"/>
  <c r="I37" i="3"/>
  <c r="J37" i="3"/>
  <c r="K37" i="3"/>
  <c r="L37" i="3"/>
  <c r="D38" i="3"/>
  <c r="E38" i="3"/>
  <c r="F38" i="3"/>
  <c r="G38" i="3"/>
  <c r="H38" i="3"/>
  <c r="I38" i="3"/>
  <c r="J38" i="3"/>
  <c r="K38" i="3"/>
  <c r="L38" i="3"/>
  <c r="B6" i="1"/>
  <c r="B8" i="1"/>
  <c r="B13" i="1"/>
  <c r="C20" i="1"/>
  <c r="D20" i="1"/>
  <c r="E20" i="1"/>
  <c r="F20" i="1"/>
  <c r="G20" i="1"/>
  <c r="H20" i="1"/>
  <c r="C24" i="1"/>
  <c r="D24" i="1"/>
  <c r="E24" i="1"/>
  <c r="F24" i="1"/>
  <c r="G24" i="1"/>
  <c r="H24" i="1"/>
  <c r="C25" i="1"/>
  <c r="D25" i="1"/>
  <c r="E25" i="1"/>
  <c r="F25" i="1"/>
  <c r="G25" i="1"/>
  <c r="H25" i="1"/>
  <c r="C28" i="1"/>
  <c r="D28" i="1"/>
  <c r="E28" i="1"/>
  <c r="F28" i="1"/>
  <c r="G28" i="1"/>
  <c r="H28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D39" i="1"/>
  <c r="D40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B6" i="6"/>
  <c r="B8" i="6"/>
  <c r="B13" i="6"/>
  <c r="C16" i="6"/>
  <c r="D16" i="6"/>
  <c r="E16" i="6"/>
  <c r="F16" i="6"/>
  <c r="G16" i="6"/>
  <c r="H16" i="6"/>
  <c r="C21" i="6"/>
  <c r="D21" i="6"/>
  <c r="E21" i="6"/>
  <c r="F21" i="6"/>
  <c r="G21" i="6"/>
  <c r="H21" i="6"/>
  <c r="C25" i="6"/>
  <c r="D25" i="6"/>
  <c r="E25" i="6"/>
  <c r="F25" i="6"/>
  <c r="G25" i="6"/>
  <c r="H25" i="6"/>
  <c r="C26" i="6"/>
  <c r="D26" i="6"/>
  <c r="E26" i="6"/>
  <c r="F26" i="6"/>
  <c r="G26" i="6"/>
  <c r="H26" i="6"/>
  <c r="C29" i="6"/>
  <c r="D29" i="6"/>
  <c r="E29" i="6"/>
  <c r="F29" i="6"/>
  <c r="G29" i="6"/>
  <c r="H29" i="6"/>
  <c r="C31" i="6"/>
  <c r="D31" i="6"/>
  <c r="E31" i="6"/>
  <c r="F31" i="6"/>
  <c r="G31" i="6"/>
  <c r="H31" i="6"/>
  <c r="C32" i="6"/>
  <c r="D32" i="6"/>
  <c r="E32" i="6"/>
  <c r="F32" i="6"/>
  <c r="G32" i="6"/>
  <c r="H32" i="6"/>
  <c r="C33" i="6"/>
  <c r="D33" i="6"/>
  <c r="E33" i="6"/>
  <c r="F33" i="6"/>
  <c r="G33" i="6"/>
  <c r="H33" i="6"/>
  <c r="D40" i="6"/>
  <c r="D41" i="6"/>
  <c r="C43" i="6"/>
  <c r="D43" i="6"/>
  <c r="E43" i="6"/>
  <c r="F43" i="6"/>
  <c r="G43" i="6"/>
  <c r="H43" i="6"/>
  <c r="C44" i="6"/>
  <c r="D44" i="6"/>
  <c r="E44" i="6"/>
  <c r="F44" i="6"/>
  <c r="G44" i="6"/>
  <c r="H44" i="6"/>
  <c r="C45" i="6"/>
  <c r="D45" i="6"/>
  <c r="E45" i="6"/>
  <c r="F45" i="6"/>
  <c r="G45" i="6"/>
  <c r="H45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B71" i="6"/>
  <c r="C71" i="6"/>
  <c r="B3" i="4"/>
  <c r="B10" i="4"/>
</calcChain>
</file>

<file path=xl/sharedStrings.xml><?xml version="1.0" encoding="utf-8"?>
<sst xmlns="http://schemas.openxmlformats.org/spreadsheetml/2006/main" count="118" uniqueCount="74">
  <si>
    <t>Facts:</t>
  </si>
  <si>
    <t>20 year lease</t>
  </si>
  <si>
    <t>min 90% home games</t>
  </si>
  <si>
    <t>est cost:</t>
  </si>
  <si>
    <t>County pd</t>
  </si>
  <si>
    <t>Mariners</t>
  </si>
  <si>
    <t>+ &gt;$384</t>
  </si>
  <si>
    <t>+ maintenance</t>
  </si>
  <si>
    <t>10% profits</t>
  </si>
  <si>
    <t>(not likely)</t>
  </si>
  <si>
    <t>3-yrs to build</t>
  </si>
  <si>
    <t>Discount Rate:</t>
  </si>
  <si>
    <t>(384 - 45)</t>
  </si>
  <si>
    <t>PV 3/1/99</t>
  </si>
  <si>
    <t>Mar/Aug 1st lease</t>
  </si>
  <si>
    <t>Lease Payments (Revenue)</t>
  </si>
  <si>
    <t>Cost of Building (Expense)</t>
  </si>
  <si>
    <t>$339M over 2.67 years</t>
  </si>
  <si>
    <t>How long does a baseball stadium last?</t>
  </si>
  <si>
    <t>At end of 20 stadium will be in new condition, because of maintenance covered by team.</t>
  </si>
  <si>
    <t>Value 1/1/2019</t>
  </si>
  <si>
    <t>Residual value of stadium 1/1/19</t>
  </si>
  <si>
    <t>Assumes project goes over, as most do.</t>
  </si>
  <si>
    <t>40 payments of $350,000</t>
  </si>
  <si>
    <t>Population</t>
  </si>
  <si>
    <t>1990</t>
  </si>
  <si>
    <t>1996</t>
  </si>
  <si>
    <t>2000</t>
  </si>
  <si>
    <t>Cost per Capita</t>
  </si>
  <si>
    <t>NPV of Investments</t>
  </si>
  <si>
    <t>people per hh</t>
  </si>
  <si>
    <t>Cost per Household</t>
  </si>
  <si>
    <t>Attendance</t>
  </si>
  <si>
    <t>Year</t>
  </si>
  <si>
    <t>price 1</t>
  </si>
  <si>
    <t>PV Ticket Sales</t>
  </si>
  <si>
    <t>PV @ 7/96, dr2</t>
  </si>
  <si>
    <t>PV @ 7/96, dr3</t>
  </si>
  <si>
    <t>PV @ 7/96, dr4</t>
  </si>
  <si>
    <t>PV @ 7/96, dr5</t>
  </si>
  <si>
    <t>PV @ 7/96, dr</t>
  </si>
  <si>
    <t>PV @ 7/96, dr6</t>
  </si>
  <si>
    <t>price</t>
  </si>
  <si>
    <t>note</t>
  </si>
  <si>
    <t>purchased  200,000 worth of tickets by county</t>
  </si>
  <si>
    <t>adj ticket sales</t>
  </si>
  <si>
    <t>ticket sales</t>
  </si>
  <si>
    <t>strike shortened seasons - adjusted up to full season</t>
  </si>
  <si>
    <t>Inflation:</t>
  </si>
  <si>
    <t>%changeQ</t>
  </si>
  <si>
    <t>%changeP</t>
  </si>
  <si>
    <t>Price</t>
  </si>
  <si>
    <t>Elasticity</t>
  </si>
  <si>
    <t>Bonds Issued</t>
  </si>
  <si>
    <t>IN</t>
  </si>
  <si>
    <t>lease pymts</t>
  </si>
  <si>
    <t>taxes</t>
  </si>
  <si>
    <t>int on slush</t>
  </si>
  <si>
    <t>OUT</t>
  </si>
  <si>
    <t>coupon payments</t>
  </si>
  <si>
    <t>principal bonds</t>
  </si>
  <si>
    <t>issue bonds</t>
  </si>
  <si>
    <t>pay for construction</t>
  </si>
  <si>
    <t>residual value</t>
  </si>
  <si>
    <t>Tax on tickets</t>
  </si>
  <si>
    <t>elasticity</t>
  </si>
  <si>
    <t>new price</t>
  </si>
  <si>
    <t>with 40% tax</t>
  </si>
  <si>
    <t>pretax price</t>
  </si>
  <si>
    <t xml:space="preserve">effective </t>
  </si>
  <si>
    <t>tax rate</t>
  </si>
  <si>
    <t>PV 1/1/97</t>
  </si>
  <si>
    <t>year</t>
  </si>
  <si>
    <t>Discount Rate w/ premium: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</si>
</sst>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6" formatCode="_(* #,##0.0_);_(* \(#,##0.0\);_(* &quot;-&quot;??_);_(@_)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166" fontId="2" fillId="0" borderId="0" xfId="1" applyNumberFormat="1" applyFon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169" fontId="2" fillId="0" borderId="0" xfId="0" applyNumberFormat="1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0" fontId="5" fillId="0" borderId="0" xfId="0" applyFont="1"/>
    <xf numFmtId="171" fontId="1" fillId="0" borderId="0" xfId="2" applyNumberFormat="1"/>
    <xf numFmtId="172" fontId="1" fillId="0" borderId="0" xfId="2" applyNumberFormat="1"/>
    <xf numFmtId="43" fontId="1" fillId="0" borderId="0" xfId="1"/>
    <xf numFmtId="8" fontId="1" fillId="0" borderId="0" xfId="1" applyNumberFormat="1"/>
    <xf numFmtId="9" fontId="1" fillId="0" borderId="0" xfId="3"/>
    <xf numFmtId="43" fontId="1" fillId="0" borderId="0" xfId="1" applyFont="1"/>
    <xf numFmtId="168" fontId="1" fillId="0" borderId="0" xfId="1" applyNumberFormat="1"/>
    <xf numFmtId="43" fontId="1" fillId="0" borderId="0" xfId="1" applyNumberFormat="1"/>
    <xf numFmtId="44" fontId="1" fillId="0" borderId="0" xfId="2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2819089900111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296337402885685E-2"/>
          <c:y val="0.11256117455138662"/>
          <c:w val="0.83573806881243062"/>
          <c:h val="0.85318107667210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elasticity!$H$3</c:f>
              <c:strCache>
                <c:ptCount val="1"/>
                <c:pt idx="0">
                  <c:v>%changeP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elasticity!$G$4:$G$11</c:f>
              <c:numCache>
                <c:formatCode>0%</c:formatCode>
                <c:ptCount val="8"/>
                <c:pt idx="0" formatCode="_(* #,##0.00_);_(* \(#,##0.00\);_(* &quot;-&quot;??_);_(@_)">
                  <c:v>0</c:v>
                </c:pt>
                <c:pt idx="1">
                  <c:v>0.16275733000623838</c:v>
                </c:pt>
                <c:pt idx="2">
                  <c:v>0.40186601023453594</c:v>
                </c:pt>
                <c:pt idx="3">
                  <c:v>-0.21972891973200581</c:v>
                </c:pt>
                <c:pt idx="4">
                  <c:v>0.24247196971348428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xVal>
          <c:yVal>
            <c:numRef>
              <c:f>elasticity!$H$4:$H$11</c:f>
              <c:numCache>
                <c:formatCode>0%</c:formatCode>
                <c:ptCount val="8"/>
                <c:pt idx="0" formatCode="_(* #,##0.00_);_(* \(#,##0.00\);_(* &quot;-&quot;??_);_(@_)">
                  <c:v>0</c:v>
                </c:pt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7-4E23-8FFD-2637D75CD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713119"/>
        <c:axId val="1"/>
      </c:scatterChart>
      <c:valAx>
        <c:axId val="792713119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271311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44062153163152"/>
          <c:y val="0.52202283849918429"/>
          <c:w val="9.2119866814650384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0F712FB-FE1A-8D9E-7F7D-E1233E3F5F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6" sqref="B6"/>
    </sheetView>
  </sheetViews>
  <sheetFormatPr defaultRowHeight="12.75" x14ac:dyDescent="0.2"/>
  <cols>
    <col min="1" max="1" width="15.85546875" bestFit="1" customWidth="1"/>
  </cols>
  <sheetData>
    <row r="1" spans="1:2" x14ac:dyDescent="0.2">
      <c r="A1" t="s">
        <v>54</v>
      </c>
    </row>
    <row r="3" spans="1:2" x14ac:dyDescent="0.2">
      <c r="A3" t="s">
        <v>55</v>
      </c>
      <c r="B3" s="6">
        <f>facts!C25</f>
        <v>7.7525989816992729</v>
      </c>
    </row>
    <row r="4" spans="1:2" x14ac:dyDescent="0.2">
      <c r="A4" t="s">
        <v>56</v>
      </c>
      <c r="B4">
        <v>0</v>
      </c>
    </row>
    <row r="5" spans="1:2" x14ac:dyDescent="0.2">
      <c r="A5" t="s">
        <v>57</v>
      </c>
      <c r="B5">
        <v>0</v>
      </c>
    </row>
    <row r="6" spans="1:2" x14ac:dyDescent="0.2">
      <c r="A6" t="s">
        <v>63</v>
      </c>
    </row>
    <row r="7" spans="1:2" x14ac:dyDescent="0.2">
      <c r="A7" s="26" t="s">
        <v>61</v>
      </c>
    </row>
    <row r="9" spans="1:2" x14ac:dyDescent="0.2">
      <c r="A9" t="s">
        <v>58</v>
      </c>
    </row>
    <row r="10" spans="1:2" x14ac:dyDescent="0.2">
      <c r="A10" t="s">
        <v>59</v>
      </c>
      <c r="B10" s="7">
        <f>0.05*facts!C20</f>
        <v>16.032547966823014</v>
      </c>
    </row>
    <row r="11" spans="1:2" x14ac:dyDescent="0.2">
      <c r="A11" t="s">
        <v>60</v>
      </c>
    </row>
    <row r="12" spans="1:2" x14ac:dyDescent="0.2">
      <c r="A12" s="26" t="s">
        <v>62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4" workbookViewId="0">
      <selection activeCell="C22" sqref="C22"/>
    </sheetView>
  </sheetViews>
  <sheetFormatPr defaultRowHeight="12.75" x14ac:dyDescent="0.2"/>
  <cols>
    <col min="1" max="1" width="13.5703125" customWidth="1"/>
    <col min="2" max="2" width="10" customWidth="1"/>
    <col min="3" max="3" width="15" bestFit="1" customWidth="1"/>
    <col min="4" max="4" width="12.85546875" bestFit="1" customWidth="1"/>
    <col min="5" max="5" width="10.1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10</v>
      </c>
    </row>
    <row r="5" spans="1:8" x14ac:dyDescent="0.2">
      <c r="A5" t="s">
        <v>3</v>
      </c>
      <c r="B5" s="24">
        <v>363.5</v>
      </c>
    </row>
    <row r="6" spans="1:8" x14ac:dyDescent="0.2">
      <c r="A6" s="3" t="s">
        <v>4</v>
      </c>
      <c r="B6" s="24">
        <f>384-45</f>
        <v>339</v>
      </c>
      <c r="C6" t="s">
        <v>12</v>
      </c>
      <c r="E6" t="s">
        <v>22</v>
      </c>
    </row>
    <row r="7" spans="1:8" x14ac:dyDescent="0.2">
      <c r="A7" s="3"/>
      <c r="B7" s="22">
        <v>26</v>
      </c>
      <c r="D7" s="11"/>
    </row>
    <row r="8" spans="1:8" x14ac:dyDescent="0.2">
      <c r="A8" s="3"/>
      <c r="B8" s="25">
        <f>B6/B7</f>
        <v>13.038461538461538</v>
      </c>
      <c r="D8" s="11"/>
    </row>
    <row r="9" spans="1:8" x14ac:dyDescent="0.2">
      <c r="A9" s="3" t="s">
        <v>5</v>
      </c>
      <c r="B9" s="1">
        <v>45</v>
      </c>
    </row>
    <row r="10" spans="1:8" x14ac:dyDescent="0.2">
      <c r="B10" s="2" t="s">
        <v>6</v>
      </c>
    </row>
    <row r="11" spans="1:8" x14ac:dyDescent="0.2">
      <c r="B11" s="2" t="s">
        <v>7</v>
      </c>
    </row>
    <row r="12" spans="1:8" x14ac:dyDescent="0.2">
      <c r="B12" t="s">
        <v>8</v>
      </c>
      <c r="C12" t="s">
        <v>9</v>
      </c>
    </row>
    <row r="13" spans="1:8" x14ac:dyDescent="0.2">
      <c r="B13">
        <f>0.7/2</f>
        <v>0.35</v>
      </c>
      <c r="C13" t="s">
        <v>14</v>
      </c>
    </row>
    <row r="15" spans="1:8" x14ac:dyDescent="0.2">
      <c r="A15" t="s">
        <v>11</v>
      </c>
      <c r="C15" s="19">
        <v>0.05</v>
      </c>
      <c r="D15" s="19">
        <v>0.04</v>
      </c>
      <c r="E15" s="19">
        <v>4.4999999999999998E-2</v>
      </c>
      <c r="F15" s="19">
        <v>5.5E-2</v>
      </c>
      <c r="G15" s="19">
        <v>0.06</v>
      </c>
      <c r="H15" s="19">
        <v>6.5000000000000002E-2</v>
      </c>
    </row>
    <row r="16" spans="1:8" x14ac:dyDescent="0.2">
      <c r="A16" t="s">
        <v>20</v>
      </c>
      <c r="C16" s="8">
        <v>250</v>
      </c>
      <c r="D16" s="8">
        <v>250</v>
      </c>
      <c r="E16" s="8">
        <v>250</v>
      </c>
      <c r="F16" s="8">
        <v>250</v>
      </c>
      <c r="G16" s="8">
        <v>250</v>
      </c>
      <c r="H16" s="8">
        <v>250</v>
      </c>
    </row>
    <row r="18" spans="1:10" x14ac:dyDescent="0.2">
      <c r="A18" t="s">
        <v>16</v>
      </c>
      <c r="C18" s="7"/>
    </row>
    <row r="19" spans="1:10" x14ac:dyDescent="0.2">
      <c r="B19" t="s">
        <v>17</v>
      </c>
      <c r="J19" s="11"/>
    </row>
    <row r="20" spans="1:10" x14ac:dyDescent="0.2">
      <c r="A20" s="10" t="s">
        <v>53</v>
      </c>
      <c r="B20" s="5">
        <v>35431</v>
      </c>
      <c r="C20" s="7">
        <f>-PV(DiscRate/12,$B$7,$B$6/$B$7,,0)</f>
        <v>320.65095933646029</v>
      </c>
      <c r="D20" s="7">
        <f>-PV(discrate2/12,$B$7,$B$6/$B$7,,0)</f>
        <v>324.20835599878484</v>
      </c>
      <c r="E20" s="7">
        <f>-PV(DiscRate3/12,$B$7,$B$6/$B$7,,0)</f>
        <v>322.42282046780042</v>
      </c>
      <c r="F20" s="7">
        <f>-PV(DiscRate4/12,$B$7,$B$6/$B$7,,0)</f>
        <v>318.89265033380576</v>
      </c>
      <c r="G20" s="7">
        <f>-PV(DiscRate5/12,$B$7,$B$6/$B$7,,0)</f>
        <v>317.14777239628722</v>
      </c>
      <c r="H20" s="7">
        <f>-PV(DiscRate6/12,$B$7,$B$6/$B$7,,0)</f>
        <v>315.41620565491723</v>
      </c>
      <c r="J20" s="11"/>
    </row>
    <row r="21" spans="1:10" x14ac:dyDescent="0.2">
      <c r="J21" s="4"/>
    </row>
    <row r="22" spans="1:10" x14ac:dyDescent="0.2">
      <c r="A22" t="s">
        <v>15</v>
      </c>
      <c r="J22" s="4"/>
    </row>
    <row r="23" spans="1:10" x14ac:dyDescent="0.2">
      <c r="B23" t="s">
        <v>23</v>
      </c>
    </row>
    <row r="24" spans="1:10" x14ac:dyDescent="0.2">
      <c r="B24" t="s">
        <v>13</v>
      </c>
      <c r="C24" s="4">
        <f>PV(POWER(1+DiscRate,0.5)-1,40,-$B$13)</f>
        <v>8.831261573415377</v>
      </c>
      <c r="D24" s="9">
        <f>PV(POWER(1+discrate2,0.5)-1,40,-$B$13)</f>
        <v>9.607427966774571</v>
      </c>
      <c r="E24" s="9">
        <f>PV(POWER(1+DiscRate3,0.5)-1,40,-$B$13)</f>
        <v>9.206865816150934</v>
      </c>
      <c r="F24" s="9">
        <f>PV(POWER(1+DiscRate4,0.5)-1,40,-$B$13)</f>
        <v>8.478750665509132</v>
      </c>
      <c r="G24" s="9">
        <f>PV(POWER(1+DiscRate5,0.5)-1,40,-$B$13)</f>
        <v>8.1476247579390808</v>
      </c>
      <c r="H24" s="9">
        <f>PV(POWER(1+DiscRate6,0.5)-1,40,-$B$13)</f>
        <v>7.8363175113097192</v>
      </c>
    </row>
    <row r="25" spans="1:10" x14ac:dyDescent="0.2">
      <c r="B25" s="5">
        <v>35431</v>
      </c>
      <c r="C25" s="6">
        <f>C24/POWER(1+DiscRate,2.67)</f>
        <v>7.7525989816992729</v>
      </c>
      <c r="D25" s="12">
        <f>D24/POWER(1+discrate2,2.67)</f>
        <v>8.6522313023304864</v>
      </c>
      <c r="E25" s="6">
        <f>E24/POWER(1+DiscRate3,2.67)</f>
        <v>8.1859920428395654</v>
      </c>
      <c r="F25" s="12">
        <f>F24/POWER(1+DiscRate4,2.67)</f>
        <v>7.3493308191899755</v>
      </c>
      <c r="G25" s="12">
        <f>G24/POWER(1+DiscRate5,2.67)</f>
        <v>6.9737176360406981</v>
      </c>
      <c r="H25" s="12">
        <f>H24/POWER(1+DiscRate6,2.67)</f>
        <v>6.6235157236983557</v>
      </c>
    </row>
    <row r="26" spans="1:10" x14ac:dyDescent="0.2">
      <c r="A26" s="5"/>
    </row>
    <row r="27" spans="1:10" x14ac:dyDescent="0.2">
      <c r="A27" s="5" t="s">
        <v>21</v>
      </c>
    </row>
    <row r="28" spans="1:10" x14ac:dyDescent="0.2">
      <c r="B28" t="s">
        <v>71</v>
      </c>
      <c r="C28" s="6">
        <f>C16/POWER(1+DiscRate,22.5)</f>
        <v>83.402828532720179</v>
      </c>
      <c r="D28" s="6">
        <f>D16/POWER(1+discrate2,22.5)</f>
        <v>103.44032453831792</v>
      </c>
      <c r="E28" s="6">
        <f>E16/POWER(1+DiscRate3,22.5)</f>
        <v>92.858886930349598</v>
      </c>
      <c r="F28" s="6">
        <f>F16/POWER(1+DiscRate4,22.5)</f>
        <v>74.947934214070415</v>
      </c>
      <c r="G28" s="6">
        <f>G16/POWER(1+DiscRate5,22.5)</f>
        <v>67.384194339760938</v>
      </c>
      <c r="H28" s="6">
        <f>H16/POWER(1+DiscRate6,22.5)</f>
        <v>60.614124091238779</v>
      </c>
    </row>
    <row r="29" spans="1:10" x14ac:dyDescent="0.2">
      <c r="A29" s="5"/>
      <c r="E29" s="4"/>
    </row>
    <row r="30" spans="1:10" x14ac:dyDescent="0.2">
      <c r="A30" s="5" t="s">
        <v>29</v>
      </c>
      <c r="C30" s="6">
        <f t="shared" ref="C30:H30" si="0">C28+C25-C20</f>
        <v>-229.49553182204085</v>
      </c>
      <c r="D30" s="6">
        <f t="shared" si="0"/>
        <v>-212.11580015813644</v>
      </c>
      <c r="E30" s="6">
        <f t="shared" si="0"/>
        <v>-221.37794149461126</v>
      </c>
      <c r="F30" s="6">
        <f t="shared" si="0"/>
        <v>-236.59538530054539</v>
      </c>
      <c r="G30" s="6">
        <f t="shared" si="0"/>
        <v>-242.78986042048558</v>
      </c>
      <c r="H30" s="6">
        <f t="shared" si="0"/>
        <v>-248.17856583998008</v>
      </c>
    </row>
    <row r="31" spans="1:10" x14ac:dyDescent="0.2">
      <c r="A31" s="5" t="s">
        <v>35</v>
      </c>
      <c r="C31" s="6">
        <f>tixdr0/1000000</f>
        <v>561.89556663732299</v>
      </c>
      <c r="D31" s="6">
        <f>tixdr2/1000000</f>
        <v>631.05184908278613</v>
      </c>
      <c r="E31" s="6">
        <f>tixdr3/1000000</f>
        <v>595.16011117885637</v>
      </c>
      <c r="F31" s="6">
        <f>tixdr4/1000000</f>
        <v>531.03596951079192</v>
      </c>
      <c r="G31" s="6">
        <f>tixdr5/1000000</f>
        <v>502.37979498221443</v>
      </c>
      <c r="H31" s="6">
        <f>tixdr6/1000000</f>
        <v>475.74416014391016</v>
      </c>
    </row>
    <row r="32" spans="1:10" x14ac:dyDescent="0.2">
      <c r="A32" s="5" t="s">
        <v>64</v>
      </c>
      <c r="C32" s="18">
        <f t="shared" ref="C32:H32" si="1">-C30/C31</f>
        <v>0.40843093529899543</v>
      </c>
      <c r="D32" s="18">
        <f t="shared" si="1"/>
        <v>0.33613054215186916</v>
      </c>
      <c r="E32" s="18">
        <f t="shared" si="1"/>
        <v>0.37196367386940554</v>
      </c>
      <c r="F32" s="18">
        <f t="shared" si="1"/>
        <v>0.44553551714868761</v>
      </c>
      <c r="G32" s="18">
        <f t="shared" si="1"/>
        <v>0.48327950854210006</v>
      </c>
      <c r="H32" s="18">
        <f t="shared" si="1"/>
        <v>0.52166392492323466</v>
      </c>
    </row>
    <row r="33" spans="1:8" x14ac:dyDescent="0.2">
      <c r="A33" s="5"/>
      <c r="E33" s="6"/>
    </row>
    <row r="34" spans="1:8" x14ac:dyDescent="0.2">
      <c r="A34" s="5" t="s">
        <v>18</v>
      </c>
    </row>
    <row r="35" spans="1:8" x14ac:dyDescent="0.2">
      <c r="A35" s="4" t="s">
        <v>19</v>
      </c>
    </row>
    <row r="36" spans="1:8" x14ac:dyDescent="0.2">
      <c r="A36" s="6"/>
    </row>
    <row r="38" spans="1:8" x14ac:dyDescent="0.2">
      <c r="A38" s="14" t="s">
        <v>24</v>
      </c>
      <c r="B38" s="15" t="s">
        <v>25</v>
      </c>
      <c r="C38" s="15" t="s">
        <v>27</v>
      </c>
      <c r="D38" s="15" t="s">
        <v>26</v>
      </c>
    </row>
    <row r="39" spans="1:8" x14ac:dyDescent="0.2">
      <c r="B39" s="13">
        <v>1507319</v>
      </c>
      <c r="C39" s="13">
        <v>1686234</v>
      </c>
      <c r="D39" s="13">
        <f>(C39*6+B39*4)/10</f>
        <v>1614668</v>
      </c>
    </row>
    <row r="40" spans="1:8" x14ac:dyDescent="0.2">
      <c r="B40">
        <v>2.4</v>
      </c>
      <c r="C40">
        <v>2.34</v>
      </c>
      <c r="D40" s="16">
        <f>(C40*6+B40*4)/10</f>
        <v>2.3639999999999999</v>
      </c>
    </row>
    <row r="41" spans="1:8" x14ac:dyDescent="0.2">
      <c r="D41" s="13"/>
    </row>
    <row r="42" spans="1:8" x14ac:dyDescent="0.2">
      <c r="A42" t="s">
        <v>28</v>
      </c>
      <c r="C42" s="23">
        <f t="shared" ref="C42:H42" si="2">C20*1000000/$D$39</f>
        <v>198.58630959210208</v>
      </c>
      <c r="D42" s="23">
        <f t="shared" si="2"/>
        <v>200.78948489645231</v>
      </c>
      <c r="E42" s="23">
        <f t="shared" si="2"/>
        <v>199.68366281353221</v>
      </c>
      <c r="F42" s="23">
        <f t="shared" si="2"/>
        <v>197.49734950702296</v>
      </c>
      <c r="G42" s="23">
        <f t="shared" si="2"/>
        <v>196.4167075809313</v>
      </c>
      <c r="H42" s="23">
        <f t="shared" si="2"/>
        <v>195.34430957628271</v>
      </c>
    </row>
    <row r="43" spans="1:8" x14ac:dyDescent="0.2">
      <c r="A43" t="s">
        <v>30</v>
      </c>
      <c r="C43" s="6">
        <f t="shared" ref="C43:H43" si="3">$D$40</f>
        <v>2.3639999999999999</v>
      </c>
      <c r="D43" s="6">
        <f t="shared" si="3"/>
        <v>2.3639999999999999</v>
      </c>
      <c r="E43" s="6">
        <f t="shared" si="3"/>
        <v>2.3639999999999999</v>
      </c>
      <c r="F43" s="6">
        <f t="shared" si="3"/>
        <v>2.3639999999999999</v>
      </c>
      <c r="G43" s="6">
        <f t="shared" si="3"/>
        <v>2.3639999999999999</v>
      </c>
      <c r="H43" s="6">
        <f t="shared" si="3"/>
        <v>2.3639999999999999</v>
      </c>
    </row>
    <row r="44" spans="1:8" x14ac:dyDescent="0.2">
      <c r="A44" t="s">
        <v>31</v>
      </c>
      <c r="C44" s="23">
        <f t="shared" ref="C44:H44" si="4">C42*C43</f>
        <v>469.45803587572931</v>
      </c>
      <c r="D44" s="23">
        <f t="shared" si="4"/>
        <v>474.66634229521321</v>
      </c>
      <c r="E44" s="23">
        <f t="shared" si="4"/>
        <v>472.05217889119012</v>
      </c>
      <c r="F44" s="23">
        <f t="shared" si="4"/>
        <v>466.88373423460223</v>
      </c>
      <c r="G44" s="23">
        <f t="shared" si="4"/>
        <v>464.32909672132155</v>
      </c>
      <c r="H44" s="23">
        <f t="shared" si="4"/>
        <v>461.79394783833231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A41" workbookViewId="0">
      <selection activeCell="B51" sqref="B51"/>
    </sheetView>
  </sheetViews>
  <sheetFormatPr defaultRowHeight="12.75" x14ac:dyDescent="0.2"/>
  <cols>
    <col min="1" max="1" width="13.5703125" customWidth="1"/>
    <col min="2" max="2" width="12.85546875" customWidth="1"/>
    <col min="3" max="3" width="15" bestFit="1" customWidth="1"/>
    <col min="4" max="4" width="12.85546875" bestFit="1" customWidth="1"/>
    <col min="5" max="5" width="10.1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10</v>
      </c>
    </row>
    <row r="5" spans="1:8" x14ac:dyDescent="0.2">
      <c r="A5" t="s">
        <v>3</v>
      </c>
      <c r="B5" s="27">
        <v>363.5</v>
      </c>
    </row>
    <row r="6" spans="1:8" x14ac:dyDescent="0.2">
      <c r="A6" s="3" t="s">
        <v>4</v>
      </c>
      <c r="B6" s="27">
        <f>384-45</f>
        <v>339</v>
      </c>
      <c r="C6" t="s">
        <v>12</v>
      </c>
      <c r="E6" t="s">
        <v>22</v>
      </c>
    </row>
    <row r="7" spans="1:8" x14ac:dyDescent="0.2">
      <c r="A7" s="3"/>
      <c r="B7" s="22">
        <v>26</v>
      </c>
      <c r="D7" s="11"/>
    </row>
    <row r="8" spans="1:8" x14ac:dyDescent="0.2">
      <c r="A8" s="3"/>
      <c r="B8" s="28">
        <f>B6/B7</f>
        <v>13.038461538461538</v>
      </c>
      <c r="D8" s="11"/>
    </row>
    <row r="9" spans="1:8" x14ac:dyDescent="0.2">
      <c r="A9" s="3" t="s">
        <v>5</v>
      </c>
      <c r="B9" s="1">
        <v>45</v>
      </c>
    </row>
    <row r="10" spans="1:8" x14ac:dyDescent="0.2">
      <c r="B10" s="2" t="s">
        <v>6</v>
      </c>
    </row>
    <row r="11" spans="1:8" x14ac:dyDescent="0.2">
      <c r="B11" s="2" t="s">
        <v>7</v>
      </c>
    </row>
    <row r="12" spans="1:8" x14ac:dyDescent="0.2">
      <c r="B12" t="s">
        <v>8</v>
      </c>
      <c r="C12" t="s">
        <v>9</v>
      </c>
    </row>
    <row r="13" spans="1:8" x14ac:dyDescent="0.2">
      <c r="B13">
        <f>0.7/2</f>
        <v>0.35</v>
      </c>
      <c r="C13" t="s">
        <v>14</v>
      </c>
    </row>
    <row r="15" spans="1:8" x14ac:dyDescent="0.2">
      <c r="A15" t="s">
        <v>11</v>
      </c>
      <c r="C15" s="19">
        <v>0.05</v>
      </c>
      <c r="D15" s="19">
        <v>0.04</v>
      </c>
      <c r="E15" s="19">
        <v>4.4999999999999998E-2</v>
      </c>
      <c r="F15" s="19">
        <v>5.5E-2</v>
      </c>
      <c r="G15" s="19">
        <v>0.06</v>
      </c>
      <c r="H15" s="19">
        <v>6.5000000000000002E-2</v>
      </c>
    </row>
    <row r="16" spans="1:8" x14ac:dyDescent="0.2">
      <c r="A16" t="s">
        <v>73</v>
      </c>
      <c r="C16" s="19">
        <f t="shared" ref="C16:H16" si="0">DiscRate+0.005</f>
        <v>5.5E-2</v>
      </c>
      <c r="D16" s="19">
        <f t="shared" si="0"/>
        <v>5.5E-2</v>
      </c>
      <c r="E16" s="19">
        <f t="shared" si="0"/>
        <v>5.5E-2</v>
      </c>
      <c r="F16" s="19">
        <f t="shared" si="0"/>
        <v>5.5E-2</v>
      </c>
      <c r="G16" s="19">
        <f t="shared" si="0"/>
        <v>5.5E-2</v>
      </c>
      <c r="H16" s="19">
        <f t="shared" si="0"/>
        <v>5.5E-2</v>
      </c>
    </row>
    <row r="17" spans="1:10" x14ac:dyDescent="0.2">
      <c r="A17" t="s">
        <v>20</v>
      </c>
      <c r="C17" s="8">
        <v>0.6</v>
      </c>
      <c r="D17" s="8">
        <v>0.6</v>
      </c>
      <c r="E17" s="8">
        <v>0.6</v>
      </c>
      <c r="F17" s="8">
        <v>0.6</v>
      </c>
      <c r="G17" s="8">
        <v>0.6</v>
      </c>
      <c r="H17" s="8">
        <v>0.6</v>
      </c>
    </row>
    <row r="19" spans="1:10" x14ac:dyDescent="0.2">
      <c r="A19" t="s">
        <v>16</v>
      </c>
      <c r="C19" s="7"/>
    </row>
    <row r="20" spans="1:10" x14ac:dyDescent="0.2">
      <c r="B20" t="s">
        <v>17</v>
      </c>
      <c r="J20" s="11"/>
    </row>
    <row r="21" spans="1:10" x14ac:dyDescent="0.2">
      <c r="A21" s="10" t="s">
        <v>53</v>
      </c>
      <c r="B21" s="5">
        <v>35431</v>
      </c>
      <c r="C21" s="7">
        <f>-PV(DiscRate/12,$B$7,$B$6/$B$7,,0)</f>
        <v>320.65095933646029</v>
      </c>
      <c r="D21" s="7">
        <f>-PV(discrate2/12,$B$7,$B$6/$B$7,,0)</f>
        <v>324.20835599878484</v>
      </c>
      <c r="E21" s="7">
        <f>-PV(DiscRate3/12,$B$7,$B$6/$B$7,,0)</f>
        <v>322.42282046780042</v>
      </c>
      <c r="F21" s="7">
        <f>-PV(DiscRate4/12,$B$7,$B$6/$B$7,,0)</f>
        <v>318.89265033380576</v>
      </c>
      <c r="G21" s="7">
        <f>-PV(DiscRate5/12,$B$7,$B$6/$B$7,,0)</f>
        <v>317.14777239628722</v>
      </c>
      <c r="H21" s="7">
        <f>-PV(DiscRate6/12,$B$7,$B$6/$B$7,,0)</f>
        <v>315.41620565491723</v>
      </c>
      <c r="J21" s="11"/>
    </row>
    <row r="22" spans="1:10" x14ac:dyDescent="0.2">
      <c r="J22" s="29"/>
    </row>
    <row r="23" spans="1:10" x14ac:dyDescent="0.2">
      <c r="A23" t="s">
        <v>15</v>
      </c>
      <c r="J23" s="29"/>
    </row>
    <row r="24" spans="1:10" x14ac:dyDescent="0.2">
      <c r="B24" t="s">
        <v>23</v>
      </c>
    </row>
    <row r="25" spans="1:10" x14ac:dyDescent="0.2">
      <c r="B25" t="s">
        <v>13</v>
      </c>
      <c r="C25" s="29">
        <f>PV(POWER(1+DiscRate,0.5)-1,40,-$B$13)</f>
        <v>8.831261573415377</v>
      </c>
      <c r="D25" s="30">
        <f>PV(POWER(1+discrate2,0.5)-1,40,-$B$13)</f>
        <v>9.607427966774571</v>
      </c>
      <c r="E25" s="30">
        <f>PV(POWER(1+DiscRate3,0.5)-1,40,-$B$13)</f>
        <v>9.206865816150934</v>
      </c>
      <c r="F25" s="30">
        <f>PV(POWER(1+DiscRate4,0.5)-1,40,-$B$13)</f>
        <v>8.478750665509132</v>
      </c>
      <c r="G25" s="30">
        <f>PV(POWER(1+DiscRate5,0.5)-1,40,-$B$13)</f>
        <v>8.1476247579390808</v>
      </c>
      <c r="H25" s="30">
        <f>PV(POWER(1+DiscRate6,0.5)-1,40,-$B$13)</f>
        <v>7.8363175113097192</v>
      </c>
    </row>
    <row r="26" spans="1:10" x14ac:dyDescent="0.2">
      <c r="B26" s="5">
        <v>35431</v>
      </c>
      <c r="C26" s="6">
        <f t="shared" ref="C26:H26" si="1">C25/POWER(1+DiscRate,2.167)</f>
        <v>7.945212866984277</v>
      </c>
      <c r="D26" s="6">
        <f t="shared" si="1"/>
        <v>8.6435057625318503</v>
      </c>
      <c r="E26" s="6">
        <f t="shared" si="1"/>
        <v>8.28313238589649</v>
      </c>
      <c r="F26" s="6">
        <f t="shared" si="1"/>
        <v>7.6280697070896428</v>
      </c>
      <c r="G26" s="6">
        <f t="shared" si="1"/>
        <v>7.3301659705117261</v>
      </c>
      <c r="H26" s="6">
        <f t="shared" si="1"/>
        <v>7.0500924701467609</v>
      </c>
    </row>
    <row r="27" spans="1:10" x14ac:dyDescent="0.2">
      <c r="A27" s="5"/>
    </row>
    <row r="28" spans="1:10" x14ac:dyDescent="0.2">
      <c r="A28" s="5" t="s">
        <v>21</v>
      </c>
    </row>
    <row r="29" spans="1:10" x14ac:dyDescent="0.2">
      <c r="B29" t="s">
        <v>71</v>
      </c>
      <c r="C29" s="6">
        <f>C17/POWER(1+DiscRate,22.5)</f>
        <v>0.2001667884785284</v>
      </c>
      <c r="D29" s="6">
        <f>D17/POWER(1+discrate2,22.5)</f>
        <v>0.24825677889196299</v>
      </c>
      <c r="E29" s="6">
        <f>E17/POWER(1+DiscRate3,22.5)</f>
        <v>0.22286132863283903</v>
      </c>
      <c r="F29" s="6">
        <f>F17/POWER(1+DiscRate4,22.5)</f>
        <v>0.17987504211376901</v>
      </c>
      <c r="G29" s="6">
        <f>G17/POWER(1+DiscRate5,22.5)</f>
        <v>0.16172206641542625</v>
      </c>
      <c r="H29" s="6">
        <f>H17/POWER(1+DiscRate6,22.5)</f>
        <v>0.14547389781897307</v>
      </c>
    </row>
    <row r="30" spans="1:10" x14ac:dyDescent="0.2">
      <c r="A30" s="5"/>
      <c r="E30" s="29"/>
    </row>
    <row r="31" spans="1:10" x14ac:dyDescent="0.2">
      <c r="A31" s="5" t="s">
        <v>29</v>
      </c>
      <c r="C31" s="6">
        <f t="shared" ref="C31:H31" si="2">C29+C26-C21</f>
        <v>-312.50557968099747</v>
      </c>
      <c r="D31" s="6">
        <f t="shared" si="2"/>
        <v>-315.31659345736102</v>
      </c>
      <c r="E31" s="6">
        <f t="shared" si="2"/>
        <v>-313.9168267532711</v>
      </c>
      <c r="F31" s="6">
        <f t="shared" si="2"/>
        <v>-311.08470558460237</v>
      </c>
      <c r="G31" s="6">
        <f t="shared" si="2"/>
        <v>-309.65588435936007</v>
      </c>
      <c r="H31" s="6">
        <f t="shared" si="2"/>
        <v>-308.2206392869515</v>
      </c>
    </row>
    <row r="32" spans="1:10" x14ac:dyDescent="0.2">
      <c r="A32" s="5" t="s">
        <v>35</v>
      </c>
      <c r="C32" s="6">
        <f>tixdr0/1000000</f>
        <v>561.89556663732299</v>
      </c>
      <c r="D32" s="6">
        <f>tixdr2/1000000</f>
        <v>631.05184908278613</v>
      </c>
      <c r="E32" s="6">
        <f>tixdr3/1000000</f>
        <v>595.16011117885637</v>
      </c>
      <c r="F32" s="6">
        <f>tixdr4/1000000</f>
        <v>531.03596951079192</v>
      </c>
      <c r="G32" s="6">
        <f>tixdr5/1000000</f>
        <v>502.37979498221443</v>
      </c>
      <c r="H32" s="6">
        <f>tixdr6/1000000</f>
        <v>475.74416014391016</v>
      </c>
    </row>
    <row r="33" spans="1:8" x14ac:dyDescent="0.2">
      <c r="A33" s="5" t="s">
        <v>64</v>
      </c>
      <c r="C33" s="31">
        <f t="shared" ref="C33:H33" si="3">-C31/C32</f>
        <v>0.5561630990456008</v>
      </c>
      <c r="D33" s="31">
        <f t="shared" si="3"/>
        <v>0.49966828227452897</v>
      </c>
      <c r="E33" s="31">
        <f t="shared" si="3"/>
        <v>0.52744937178582763</v>
      </c>
      <c r="F33" s="31">
        <f t="shared" si="3"/>
        <v>0.58580722106486305</v>
      </c>
      <c r="G33" s="31">
        <f t="shared" si="3"/>
        <v>0.61637806188109678</v>
      </c>
      <c r="H33" s="31">
        <f t="shared" si="3"/>
        <v>0.64787056806691301</v>
      </c>
    </row>
    <row r="34" spans="1:8" x14ac:dyDescent="0.2">
      <c r="A34" s="5"/>
      <c r="E34" s="6"/>
    </row>
    <row r="35" spans="1:8" x14ac:dyDescent="0.2">
      <c r="A35" s="5" t="s">
        <v>18</v>
      </c>
    </row>
    <row r="36" spans="1:8" x14ac:dyDescent="0.2">
      <c r="A36" s="32" t="s">
        <v>19</v>
      </c>
    </row>
    <row r="37" spans="1:8" x14ac:dyDescent="0.2">
      <c r="A37" s="6"/>
    </row>
    <row r="39" spans="1:8" x14ac:dyDescent="0.2">
      <c r="A39" s="14" t="s">
        <v>24</v>
      </c>
      <c r="B39" s="15" t="s">
        <v>25</v>
      </c>
      <c r="C39" s="15" t="s">
        <v>27</v>
      </c>
      <c r="D39" s="15" t="s">
        <v>26</v>
      </c>
    </row>
    <row r="40" spans="1:8" x14ac:dyDescent="0.2">
      <c r="B40" s="33">
        <v>1507319</v>
      </c>
      <c r="C40" s="33">
        <v>1686234</v>
      </c>
      <c r="D40" s="33">
        <f>(C40*6+B40*4)/10</f>
        <v>1614668</v>
      </c>
    </row>
    <row r="41" spans="1:8" x14ac:dyDescent="0.2">
      <c r="B41">
        <v>2.4</v>
      </c>
      <c r="C41">
        <v>2.34</v>
      </c>
      <c r="D41" s="34">
        <f>(C41*6+B41*4)/10</f>
        <v>2.3639999999999999</v>
      </c>
    </row>
    <row r="42" spans="1:8" x14ac:dyDescent="0.2">
      <c r="D42" s="33"/>
    </row>
    <row r="43" spans="1:8" x14ac:dyDescent="0.2">
      <c r="A43" t="s">
        <v>28</v>
      </c>
      <c r="C43" s="35">
        <f t="shared" ref="C43:H43" si="4">C21*1000000/$D$40</f>
        <v>198.58630959210208</v>
      </c>
      <c r="D43" s="35">
        <f t="shared" si="4"/>
        <v>200.78948489645231</v>
      </c>
      <c r="E43" s="35">
        <f t="shared" si="4"/>
        <v>199.68366281353221</v>
      </c>
      <c r="F43" s="35">
        <f t="shared" si="4"/>
        <v>197.49734950702296</v>
      </c>
      <c r="G43" s="35">
        <f t="shared" si="4"/>
        <v>196.4167075809313</v>
      </c>
      <c r="H43" s="35">
        <f t="shared" si="4"/>
        <v>195.34430957628271</v>
      </c>
    </row>
    <row r="44" spans="1:8" x14ac:dyDescent="0.2">
      <c r="A44" t="s">
        <v>30</v>
      </c>
      <c r="C44" s="6">
        <f t="shared" ref="C44:H44" si="5">$D$41</f>
        <v>2.3639999999999999</v>
      </c>
      <c r="D44" s="6">
        <f t="shared" si="5"/>
        <v>2.3639999999999999</v>
      </c>
      <c r="E44" s="6">
        <f t="shared" si="5"/>
        <v>2.3639999999999999</v>
      </c>
      <c r="F44" s="6">
        <f t="shared" si="5"/>
        <v>2.3639999999999999</v>
      </c>
      <c r="G44" s="6">
        <f t="shared" si="5"/>
        <v>2.3639999999999999</v>
      </c>
      <c r="H44" s="6">
        <f t="shared" si="5"/>
        <v>2.3639999999999999</v>
      </c>
    </row>
    <row r="45" spans="1:8" x14ac:dyDescent="0.2">
      <c r="A45" t="s">
        <v>31</v>
      </c>
      <c r="C45" s="35">
        <f t="shared" ref="C45:H45" si="6">C43*C44</f>
        <v>469.45803587572931</v>
      </c>
      <c r="D45" s="35">
        <f t="shared" si="6"/>
        <v>474.66634229521321</v>
      </c>
      <c r="E45" s="35">
        <f t="shared" si="6"/>
        <v>472.05217889119012</v>
      </c>
      <c r="F45" s="35">
        <f t="shared" si="6"/>
        <v>466.88373423460223</v>
      </c>
      <c r="G45" s="35">
        <f t="shared" si="6"/>
        <v>464.32909672132155</v>
      </c>
      <c r="H45" s="35">
        <f t="shared" si="6"/>
        <v>461.79394783833231</v>
      </c>
    </row>
    <row r="50" spans="1:3" x14ac:dyDescent="0.2">
      <c r="A50" t="s">
        <v>72</v>
      </c>
    </row>
    <row r="51" spans="1:3" x14ac:dyDescent="0.2">
      <c r="A51">
        <v>1996</v>
      </c>
      <c r="B51" s="13">
        <v>4602104</v>
      </c>
      <c r="C51" s="13">
        <f>B51/(POWER(1+C$16,(A51-1997)))</f>
        <v>4855219.72</v>
      </c>
    </row>
    <row r="52" spans="1:3" x14ac:dyDescent="0.2">
      <c r="A52">
        <v>1997</v>
      </c>
      <c r="B52" s="13">
        <v>19893231</v>
      </c>
      <c r="C52" s="13">
        <f t="shared" ref="C52:C70" si="7">B52/(POWER(1+C$16,(A52-1997)))</f>
        <v>19893231</v>
      </c>
    </row>
    <row r="53" spans="1:3" x14ac:dyDescent="0.2">
      <c r="A53">
        <v>1998</v>
      </c>
      <c r="B53" s="13">
        <v>20428789</v>
      </c>
      <c r="C53" s="13">
        <f t="shared" si="7"/>
        <v>19363781.04265403</v>
      </c>
    </row>
    <row r="54" spans="1:3" x14ac:dyDescent="0.2">
      <c r="A54">
        <v>1999</v>
      </c>
      <c r="B54" s="13">
        <v>24715328</v>
      </c>
      <c r="C54" s="13">
        <f t="shared" si="7"/>
        <v>22205546.146762203</v>
      </c>
    </row>
    <row r="55" spans="1:3" x14ac:dyDescent="0.2">
      <c r="A55">
        <v>2000</v>
      </c>
      <c r="B55" s="13">
        <v>25091313</v>
      </c>
      <c r="C55" s="13">
        <f t="shared" si="7"/>
        <v>21368105.003113184</v>
      </c>
    </row>
    <row r="56" spans="1:3" x14ac:dyDescent="0.2">
      <c r="A56">
        <v>2001</v>
      </c>
      <c r="B56" s="13">
        <v>25488810</v>
      </c>
      <c r="C56" s="13">
        <f t="shared" si="7"/>
        <v>20574994.198848587</v>
      </c>
    </row>
    <row r="57" spans="1:3" x14ac:dyDescent="0.2">
      <c r="A57">
        <v>2002</v>
      </c>
      <c r="B57" s="13">
        <v>26244265</v>
      </c>
      <c r="C57" s="13">
        <f t="shared" si="7"/>
        <v>20080388.742805645</v>
      </c>
    </row>
    <row r="58" spans="1:3" x14ac:dyDescent="0.2">
      <c r="A58">
        <v>2003</v>
      </c>
      <c r="B58" s="13">
        <v>27316484</v>
      </c>
      <c r="C58" s="13">
        <f t="shared" si="7"/>
        <v>19811166.193883065</v>
      </c>
    </row>
    <row r="59" spans="1:3" x14ac:dyDescent="0.2">
      <c r="A59">
        <v>2004</v>
      </c>
      <c r="B59" s="13">
        <v>28432512</v>
      </c>
      <c r="C59" s="13">
        <f t="shared" si="7"/>
        <v>19545555.308456723</v>
      </c>
    </row>
    <row r="60" spans="1:3" x14ac:dyDescent="0.2">
      <c r="A60">
        <v>2005</v>
      </c>
      <c r="B60" s="13">
        <v>29594139</v>
      </c>
      <c r="C60" s="13">
        <f t="shared" si="7"/>
        <v>19283507.550774425</v>
      </c>
    </row>
    <row r="61" spans="1:3" x14ac:dyDescent="0.2">
      <c r="A61">
        <v>2006</v>
      </c>
      <c r="B61" s="13">
        <v>30803229</v>
      </c>
      <c r="C61" s="13">
        <f t="shared" si="7"/>
        <v>19024975.57280539</v>
      </c>
    </row>
    <row r="62" spans="1:3" x14ac:dyDescent="0.2">
      <c r="A62">
        <v>2007</v>
      </c>
      <c r="B62" s="13">
        <v>32061720</v>
      </c>
      <c r="C62" s="13">
        <f t="shared" si="7"/>
        <v>18769911.3170457</v>
      </c>
    </row>
    <row r="63" spans="1:3" x14ac:dyDescent="0.2">
      <c r="A63">
        <v>2008</v>
      </c>
      <c r="B63" s="13">
        <v>33371633</v>
      </c>
      <c r="C63" s="13">
        <f t="shared" si="7"/>
        <v>18518269.614820339</v>
      </c>
    </row>
    <row r="64" spans="1:3" x14ac:dyDescent="0.2">
      <c r="A64">
        <v>2009</v>
      </c>
      <c r="B64" s="13">
        <v>34735066</v>
      </c>
      <c r="C64" s="13">
        <f t="shared" si="7"/>
        <v>18270002.753609467</v>
      </c>
    </row>
    <row r="65" spans="1:3" x14ac:dyDescent="0.2">
      <c r="A65">
        <v>2010</v>
      </c>
      <c r="B65" s="13">
        <v>36154209</v>
      </c>
      <c r="C65" s="13">
        <f t="shared" si="7"/>
        <v>18025067.055414233</v>
      </c>
    </row>
    <row r="66" spans="1:3" x14ac:dyDescent="0.2">
      <c r="A66">
        <v>2011</v>
      </c>
      <c r="B66" s="13">
        <v>37631336</v>
      </c>
      <c r="C66" s="13">
        <f t="shared" si="7"/>
        <v>17783416.586036079</v>
      </c>
    </row>
    <row r="67" spans="1:3" x14ac:dyDescent="0.2">
      <c r="A67">
        <v>2012</v>
      </c>
      <c r="B67" s="13">
        <v>39168818</v>
      </c>
      <c r="C67" s="13">
        <f t="shared" si="7"/>
        <v>17545008.037569594</v>
      </c>
    </row>
    <row r="68" spans="1:3" x14ac:dyDescent="0.2">
      <c r="A68">
        <v>2013</v>
      </c>
      <c r="B68" s="13">
        <v>40769121</v>
      </c>
      <c r="C68" s="13">
        <f t="shared" si="7"/>
        <v>17309797.761381697</v>
      </c>
    </row>
    <row r="69" spans="1:3" x14ac:dyDescent="0.2">
      <c r="A69">
        <v>2014</v>
      </c>
      <c r="B69" s="13">
        <v>42434811</v>
      </c>
      <c r="C69" s="13">
        <f t="shared" si="7"/>
        <v>17077742.402158529</v>
      </c>
    </row>
    <row r="70" spans="1:3" x14ac:dyDescent="0.2">
      <c r="A70">
        <v>2015</v>
      </c>
      <c r="B70" s="13">
        <v>44168561</v>
      </c>
      <c r="C70" s="13">
        <f t="shared" si="7"/>
        <v>16848800.068317816</v>
      </c>
    </row>
    <row r="71" spans="1:3" x14ac:dyDescent="0.2">
      <c r="B71" s="13">
        <f>SUM(B51:B70)</f>
        <v>603105479</v>
      </c>
      <c r="C71" s="13">
        <f>SUM(C51:C70)</f>
        <v>366154486.07645673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B1" workbookViewId="0">
      <selection activeCell="D2" sqref="D2"/>
    </sheetView>
  </sheetViews>
  <sheetFormatPr defaultRowHeight="12.75" x14ac:dyDescent="0.2"/>
  <cols>
    <col min="3" max="3" width="12.85546875" bestFit="1" customWidth="1"/>
    <col min="5" max="11" width="14" bestFit="1" customWidth="1"/>
  </cols>
  <sheetData>
    <row r="1" spans="1:11" x14ac:dyDescent="0.2">
      <c r="B1" t="s">
        <v>33</v>
      </c>
      <c r="C1" t="s">
        <v>32</v>
      </c>
      <c r="D1" t="s">
        <v>34</v>
      </c>
      <c r="F1" t="s">
        <v>40</v>
      </c>
      <c r="G1" t="s">
        <v>36</v>
      </c>
      <c r="H1" t="s">
        <v>37</v>
      </c>
      <c r="I1" t="s">
        <v>38</v>
      </c>
      <c r="J1" t="s">
        <v>39</v>
      </c>
      <c r="K1" t="s">
        <v>41</v>
      </c>
    </row>
    <row r="2" spans="1:11" x14ac:dyDescent="0.2">
      <c r="A2">
        <v>1</v>
      </c>
      <c r="B2">
        <v>1999</v>
      </c>
      <c r="C2" s="13">
        <v>2703704</v>
      </c>
      <c r="D2">
        <v>15.64</v>
      </c>
      <c r="E2" s="13">
        <f>C2*D2</f>
        <v>42285930.560000002</v>
      </c>
      <c r="F2" s="17">
        <f>$E2/POWER(1+DiscRate,2+attendance!$A2)</f>
        <v>36528176.706619151</v>
      </c>
      <c r="G2" s="17">
        <f>$E2/POWER(1+discrate2,2+attendance!$A2)</f>
        <v>37592038.290851161</v>
      </c>
      <c r="H2" s="17">
        <f>$E2/POWER(1+DiscRate3,2+attendance!$A2)</f>
        <v>37055017.349029712</v>
      </c>
      <c r="I2" s="17">
        <f>$E2/POWER(1+DiscRate4,2+attendance!$A2)</f>
        <v>36011276.267624289</v>
      </c>
      <c r="J2" s="17">
        <f>$E2/POWER(1+DiscRate5,2+attendance!$A2)</f>
        <v>35504082.699140891</v>
      </c>
      <c r="K2" s="17">
        <f>$E2/POWER(1+DiscRate6,2+attendance!$A2)</f>
        <v>35006369.210139878</v>
      </c>
    </row>
    <row r="3" spans="1:11" x14ac:dyDescent="0.2">
      <c r="A3">
        <v>2</v>
      </c>
      <c r="B3">
        <v>2000</v>
      </c>
      <c r="C3" s="13">
        <v>2478395</v>
      </c>
      <c r="D3">
        <v>16.23</v>
      </c>
      <c r="E3" s="13">
        <f t="shared" ref="E3:E21" si="0">C3*D3</f>
        <v>40224350.850000001</v>
      </c>
      <c r="F3" s="17">
        <f>E3/POWER(1+DiscRate,2+attendance!A3)</f>
        <v>33092672.991191942</v>
      </c>
      <c r="G3" s="17">
        <f>$E3/POWER(1+discrate2,2+attendance!$A3)</f>
        <v>34383943.688030109</v>
      </c>
      <c r="H3" s="17">
        <f>$E3/POWER(1+DiscRate3,2+attendance!$A3)</f>
        <v>33730585.693940878</v>
      </c>
      <c r="I3" s="17">
        <f>$E3/POWER(1+DiscRate4,2+attendance!$A3)</f>
        <v>32469769.494582143</v>
      </c>
      <c r="J3" s="17">
        <f>$E3/POWER(1+DiscRate5,2+attendance!$A3)</f>
        <v>31861453.41614788</v>
      </c>
      <c r="K3" s="17">
        <f>$E3/POWER(1+DiscRate6,2+attendance!$A3)</f>
        <v>31267316.731959559</v>
      </c>
    </row>
    <row r="4" spans="1:11" x14ac:dyDescent="0.2">
      <c r="A4">
        <v>3</v>
      </c>
      <c r="B4">
        <v>2001</v>
      </c>
      <c r="C4" s="13">
        <v>2253086</v>
      </c>
      <c r="D4">
        <v>16.87</v>
      </c>
      <c r="E4" s="13">
        <f t="shared" si="0"/>
        <v>38009560.82</v>
      </c>
      <c r="F4" s="17">
        <f>E4/POWER(1+DiscRate,2+attendance!A4)</f>
        <v>29781485.478444334</v>
      </c>
      <c r="G4" s="17">
        <f>$E4/POWER(1+discrate2,2+attendance!$A4)</f>
        <v>31241088.353976205</v>
      </c>
      <c r="H4" s="17">
        <f>$E4/POWER(1+DiscRate3,2+attendance!$A4)</f>
        <v>30500811.857040402</v>
      </c>
      <c r="I4" s="17">
        <f>$E4/POWER(1+DiscRate4,2+attendance!$A4)</f>
        <v>29082420.757788967</v>
      </c>
      <c r="J4" s="17">
        <f>$E4/POWER(1+DiscRate5,2+attendance!$A4)</f>
        <v>28402954.969794463</v>
      </c>
      <c r="K4" s="17">
        <f>$E4/POWER(1+DiscRate6,2+attendance!$A4)</f>
        <v>27742450.047095712</v>
      </c>
    </row>
    <row r="5" spans="1:11" x14ac:dyDescent="0.2">
      <c r="A5">
        <v>4</v>
      </c>
      <c r="B5">
        <v>2002</v>
      </c>
      <c r="C5" s="13">
        <v>2253086</v>
      </c>
      <c r="D5">
        <v>17.54</v>
      </c>
      <c r="E5" s="13">
        <f t="shared" si="0"/>
        <v>39519128.439999998</v>
      </c>
      <c r="F5" s="17">
        <f>E5/POWER(1+DiscRate,2+attendance!A5)</f>
        <v>29489782.103588432</v>
      </c>
      <c r="G5" s="17">
        <f>$E5/POWER(1+discrate2,2+attendance!$A5)</f>
        <v>31232541.250327311</v>
      </c>
      <c r="H5" s="17">
        <f>$E5/POWER(1+DiscRate3,2+attendance!$A5)</f>
        <v>30346570.309543498</v>
      </c>
      <c r="I5" s="17">
        <f>$E5/POWER(1+DiscRate4,2+attendance!$A5)</f>
        <v>28661083.225873824</v>
      </c>
      <c r="J5" s="17">
        <f>$E5/POWER(1+DiscRate5,2+attendance!$A5)</f>
        <v>27859426.142767381</v>
      </c>
      <c r="K5" s="17">
        <f>$E5/POWER(1+DiscRate6,2+attendance!$A5)</f>
        <v>27083807.06513264</v>
      </c>
    </row>
    <row r="6" spans="1:11" x14ac:dyDescent="0.2">
      <c r="A6">
        <v>5</v>
      </c>
      <c r="B6">
        <v>2003</v>
      </c>
      <c r="C6" s="13">
        <v>2253086</v>
      </c>
      <c r="D6">
        <v>18.260000000000002</v>
      </c>
      <c r="E6" s="13">
        <f t="shared" si="0"/>
        <v>41141350.360000007</v>
      </c>
      <c r="F6" s="17">
        <f>E6/POWER(1+DiscRate,2+attendance!A6)</f>
        <v>29238389.597194158</v>
      </c>
      <c r="G6" s="17">
        <f>$E6/POWER(1+discrate2,2+attendance!$A6)</f>
        <v>31264044.997751124</v>
      </c>
      <c r="H6" s="17">
        <f>$E6/POWER(1+DiscRate3,2+attendance!$A6)</f>
        <v>30231835.032012369</v>
      </c>
      <c r="I6" s="17">
        <f>$E6/POWER(1+DiscRate4,2+attendance!$A6)</f>
        <v>28282078.591085304</v>
      </c>
      <c r="J6" s="17">
        <f>$E6/POWER(1+DiscRate5,2+attendance!$A6)</f>
        <v>27361347.72094686</v>
      </c>
      <c r="K6" s="17">
        <f>$E6/POWER(1+DiscRate6,2+attendance!$A6)</f>
        <v>26474714.643354274</v>
      </c>
    </row>
    <row r="7" spans="1:11" x14ac:dyDescent="0.2">
      <c r="A7">
        <v>6</v>
      </c>
      <c r="B7">
        <v>2004</v>
      </c>
      <c r="C7" s="13">
        <v>2253086</v>
      </c>
      <c r="D7">
        <v>19.010000000000002</v>
      </c>
      <c r="E7" s="13">
        <f t="shared" si="0"/>
        <v>42831164.860000007</v>
      </c>
      <c r="F7" s="17">
        <f>E7/POWER(1+DiscRate,2+attendance!A7)</f>
        <v>28989818.298787929</v>
      </c>
      <c r="G7" s="17">
        <f>$E7/POWER(1+discrate2,2+attendance!$A7)</f>
        <v>31296312.632027168</v>
      </c>
      <c r="H7" s="17">
        <f>$E7/POWER(1+DiscRate3,2+attendance!$A7)</f>
        <v>30118238.100303188</v>
      </c>
      <c r="I7" s="17">
        <f>$E7/POWER(1+DiscRate4,2+attendance!$A7)</f>
        <v>27908738.652145762</v>
      </c>
      <c r="J7" s="17">
        <f>$E7/POWER(1+DiscRate5,2+attendance!$A7)</f>
        <v>26872802.712145314</v>
      </c>
      <c r="K7" s="17">
        <f>$E7/POWER(1+DiscRate6,2+attendance!$A7)</f>
        <v>25879925.611288421</v>
      </c>
    </row>
    <row r="8" spans="1:11" x14ac:dyDescent="0.2">
      <c r="A8">
        <v>7</v>
      </c>
      <c r="B8">
        <v>2005</v>
      </c>
      <c r="C8" s="13">
        <v>2253086</v>
      </c>
      <c r="D8">
        <v>19.79</v>
      </c>
      <c r="E8" s="13">
        <f t="shared" si="0"/>
        <v>44588571.939999998</v>
      </c>
      <c r="F8" s="17">
        <f>E8/POWER(1+DiscRate,2+attendance!A8)</f>
        <v>28742191.033942685</v>
      </c>
      <c r="G8" s="17">
        <f>$E8/POWER(1+discrate2,2+attendance!$A8)</f>
        <v>31327339.20344644</v>
      </c>
      <c r="H8" s="17">
        <f>$E8/POWER(1+DiscRate3,2+attendance!$A8)</f>
        <v>30003847.484199956</v>
      </c>
      <c r="I8" s="17">
        <f>$E8/POWER(1+DiscRate4,2+attendance!$A8)</f>
        <v>27539206.749551345</v>
      </c>
      <c r="J8" s="17">
        <f>$E8/POWER(1+DiscRate5,2+attendance!$A8)</f>
        <v>26391907.222283985</v>
      </c>
      <c r="K8" s="17">
        <f>$E8/POWER(1+DiscRate6,2+attendance!$A8)</f>
        <v>25297470.214460772</v>
      </c>
    </row>
    <row r="9" spans="1:11" x14ac:dyDescent="0.2">
      <c r="A9">
        <v>8</v>
      </c>
      <c r="B9">
        <v>2006</v>
      </c>
      <c r="C9" s="13">
        <v>2253086</v>
      </c>
      <c r="D9">
        <v>20.6</v>
      </c>
      <c r="E9" s="13">
        <f t="shared" si="0"/>
        <v>46413571.600000001</v>
      </c>
      <c r="F9" s="17">
        <f>E9/POWER(1+DiscRate,2+attendance!A9)</f>
        <v>28493906.749402985</v>
      </c>
      <c r="G9" s="17">
        <f>$E9/POWER(1+discrate2,2+attendance!$A9)</f>
        <v>31355345.920190692</v>
      </c>
      <c r="H9" s="17">
        <f>$E9/POWER(1+DiscRate3,2+attendance!$A9)</f>
        <v>29886983.575123448</v>
      </c>
      <c r="I9" s="17">
        <f>$E9/POWER(1+DiscRate4,2+attendance!$A9)</f>
        <v>27171924.115092728</v>
      </c>
      <c r="J9" s="17">
        <f>$E9/POWER(1+DiscRate5,2+attendance!$A9)</f>
        <v>25917095.959415853</v>
      </c>
      <c r="K9" s="17">
        <f>$E9/POWER(1+DiscRate6,2+attendance!$A9)</f>
        <v>24725717.992816214</v>
      </c>
    </row>
    <row r="10" spans="1:11" x14ac:dyDescent="0.2">
      <c r="A10">
        <v>9</v>
      </c>
      <c r="B10">
        <v>2007</v>
      </c>
      <c r="C10" s="13">
        <v>2253086</v>
      </c>
      <c r="D10">
        <v>21.45</v>
      </c>
      <c r="E10" s="13">
        <f t="shared" si="0"/>
        <v>48328694.699999996</v>
      </c>
      <c r="F10" s="17">
        <f>E10/POWER(1+DiscRate,2+attendance!A10)</f>
        <v>28256786.859671474</v>
      </c>
      <c r="G10" s="17">
        <f>$E10/POWER(1+discrate2,2+attendance!$A10)</f>
        <v>31393398.524462763</v>
      </c>
      <c r="H10" s="17">
        <f>$E10/POWER(1+DiscRate3,2+attendance!$A10)</f>
        <v>29780080.721252281</v>
      </c>
      <c r="I10" s="17">
        <f>$E10/POWER(1+DiscRate4,2+attendance!$A10)</f>
        <v>26818100.228626467</v>
      </c>
      <c r="J10" s="17">
        <f>$E10/POWER(1+DiscRate5,2+attendance!$A10)</f>
        <v>25458953.486420125</v>
      </c>
      <c r="K10" s="17">
        <f>$E10/POWER(1+DiscRate6,2+attendance!$A10)</f>
        <v>24174604.628556807</v>
      </c>
    </row>
    <row r="11" spans="1:11" x14ac:dyDescent="0.2">
      <c r="A11">
        <v>10</v>
      </c>
      <c r="B11">
        <v>2008</v>
      </c>
      <c r="C11" s="13">
        <v>2253086</v>
      </c>
      <c r="D11">
        <v>22.32</v>
      </c>
      <c r="E11" s="13">
        <f t="shared" si="0"/>
        <v>50288879.520000003</v>
      </c>
      <c r="F11" s="17">
        <f>E11/POWER(1+DiscRate,2+attendance!A11)</f>
        <v>28002729.834959149</v>
      </c>
      <c r="G11" s="17">
        <f>$E11/POWER(1+discrate2,2+attendance!$A11)</f>
        <v>31410285.774879366</v>
      </c>
      <c r="H11" s="17">
        <f>$E11/POWER(1+DiscRate3,2+attendance!$A11)</f>
        <v>29653535.057532314</v>
      </c>
      <c r="I11" s="17">
        <f>$E11/POWER(1+DiscRate4,2+attendance!$A11)</f>
        <v>26451021.204518072</v>
      </c>
      <c r="J11" s="17">
        <f>$E11/POWER(1+DiscRate5,2+attendance!$A11)</f>
        <v>24992032.450054854</v>
      </c>
      <c r="K11" s="17">
        <f>$E11/POWER(1+DiscRate6,2+attendance!$A11)</f>
        <v>23619824.477029804</v>
      </c>
    </row>
    <row r="12" spans="1:11" x14ac:dyDescent="0.2">
      <c r="A12">
        <v>11</v>
      </c>
      <c r="B12">
        <v>2009</v>
      </c>
      <c r="C12" s="13">
        <v>2253086</v>
      </c>
      <c r="D12">
        <v>23.24</v>
      </c>
      <c r="E12" s="13">
        <f t="shared" si="0"/>
        <v>52361718.639999993</v>
      </c>
      <c r="F12" s="17">
        <f>E12/POWER(1+DiscRate,2+attendance!A12)</f>
        <v>27768537.351273697</v>
      </c>
      <c r="G12" s="17">
        <f>$E12/POWER(1+discrate2,2+attendance!$A12)</f>
        <v>31447091.320659131</v>
      </c>
      <c r="H12" s="17">
        <f>$E12/POWER(1+DiscRate3,2+attendance!$A12)</f>
        <v>29546232.903613847</v>
      </c>
      <c r="I12" s="17">
        <f>$E12/POWER(1+DiscRate4,2+attendance!$A12)</f>
        <v>26105494.096765697</v>
      </c>
      <c r="J12" s="17">
        <f>$E12/POWER(1+DiscRate5,2+attendance!$A12)</f>
        <v>24549216.970112037</v>
      </c>
      <c r="K12" s="17">
        <f>$E12/POWER(1+DiscRate6,2+attendance!$A12)</f>
        <v>23092395.747983765</v>
      </c>
    </row>
    <row r="13" spans="1:11" x14ac:dyDescent="0.2">
      <c r="A13">
        <v>12</v>
      </c>
      <c r="B13">
        <v>2010</v>
      </c>
      <c r="C13" s="13">
        <v>2253086</v>
      </c>
      <c r="D13">
        <v>24.19</v>
      </c>
      <c r="E13" s="13">
        <f t="shared" si="0"/>
        <v>54502150.340000004</v>
      </c>
      <c r="F13" s="17">
        <f>E13/POWER(1+DiscRate,2+attendance!A13)</f>
        <v>27527289.506077822</v>
      </c>
      <c r="G13" s="17">
        <f>$E13/POWER(1+discrate2,2+attendance!$A13)</f>
        <v>31473633.781558011</v>
      </c>
      <c r="H13" s="17">
        <f>$E13/POWER(1+DiscRate3,2+attendance!$A13)</f>
        <v>29429682.116233323</v>
      </c>
      <c r="I13" s="17">
        <f>$E13/POWER(1+DiscRate4,2+attendance!$A13)</f>
        <v>25756046.618461482</v>
      </c>
      <c r="J13" s="17">
        <f>$E13/POWER(1+DiscRate5,2+attendance!$A13)</f>
        <v>24106353.65614792</v>
      </c>
      <c r="K13" s="17">
        <f>$E13/POWER(1+DiscRate6,2+attendance!$A13)</f>
        <v>22569354.001265723</v>
      </c>
    </row>
    <row r="14" spans="1:11" x14ac:dyDescent="0.2">
      <c r="A14">
        <v>13</v>
      </c>
      <c r="B14">
        <v>2011</v>
      </c>
      <c r="C14" s="13">
        <v>2253086</v>
      </c>
      <c r="D14">
        <v>25.18</v>
      </c>
      <c r="E14" s="13">
        <f t="shared" si="0"/>
        <v>56732705.479999997</v>
      </c>
      <c r="F14" s="17">
        <f>E14/POWER(1+DiscRate,2+attendance!A14)</f>
        <v>27289401.356839281</v>
      </c>
      <c r="G14" s="17">
        <f>$E14/POWER(1+discrate2,2+attendance!$A14)</f>
        <v>31501657.49593088</v>
      </c>
      <c r="H14" s="17">
        <f>$E14/POWER(1+DiscRate3,2+attendance!$A14)</f>
        <v>29314948.66939579</v>
      </c>
      <c r="I14" s="17">
        <f>$E14/POWER(1+DiscRate4,2+attendance!$A14)</f>
        <v>25412453.69313081</v>
      </c>
      <c r="J14" s="17">
        <f>$E14/POWER(1+DiscRate5,2+attendance!$A14)</f>
        <v>23672575.797803722</v>
      </c>
      <c r="K14" s="17">
        <f>$E14/POWER(1+DiscRate6,2+attendance!$A14)</f>
        <v>22059180.693992242</v>
      </c>
    </row>
    <row r="15" spans="1:11" x14ac:dyDescent="0.2">
      <c r="A15">
        <v>14</v>
      </c>
      <c r="B15">
        <v>2012</v>
      </c>
      <c r="C15" s="13">
        <v>2253086</v>
      </c>
      <c r="D15">
        <v>26.22</v>
      </c>
      <c r="E15" s="13">
        <f t="shared" si="0"/>
        <v>59075914.919999994</v>
      </c>
      <c r="F15" s="17">
        <f>E15/POWER(1+DiscRate,2+attendance!A15)</f>
        <v>27063357.297035664</v>
      </c>
      <c r="G15" s="17">
        <f>$E15/POWER(1+discrate2,2+attendance!$A15)</f>
        <v>31541113.961909156</v>
      </c>
      <c r="H15" s="17">
        <f>$E15/POWER(1+DiscRate3,2+attendance!$A15)</f>
        <v>29211227.643704388</v>
      </c>
      <c r="I15" s="17">
        <f>$E15/POWER(1+DiscRate4,2+attendance!$A15)</f>
        <v>25082516.246396177</v>
      </c>
      <c r="J15" s="17">
        <f>$E15/POWER(1+DiscRate5,2+attendance!$A15)</f>
        <v>23255014.365190018</v>
      </c>
      <c r="K15" s="17">
        <f>$E15/POWER(1+DiscRate6,2+attendance!$A15)</f>
        <v>21568340.541396838</v>
      </c>
    </row>
    <row r="16" spans="1:11" x14ac:dyDescent="0.2">
      <c r="A16">
        <v>15</v>
      </c>
      <c r="B16">
        <v>2013</v>
      </c>
      <c r="C16" s="13">
        <v>2253086</v>
      </c>
      <c r="D16">
        <v>27.29</v>
      </c>
      <c r="E16" s="13">
        <f t="shared" si="0"/>
        <v>61486716.939999998</v>
      </c>
      <c r="F16" s="17">
        <f>E16/POWER(1+DiscRate,2+attendance!A16)</f>
        <v>26826450.932988387</v>
      </c>
      <c r="G16" s="17">
        <f>$E16/POWER(1+discrate2,2+attendance!$A16)</f>
        <v>31565635.452256825</v>
      </c>
      <c r="H16" s="17">
        <f>$E16/POWER(1+DiscRate3,2+attendance!$A16)</f>
        <v>29094062.474559862</v>
      </c>
      <c r="I16" s="17">
        <f>$E16/POWER(1+DiscRate4,2+attendance!$A16)</f>
        <v>24745115.821436252</v>
      </c>
      <c r="J16" s="17">
        <f>$E16/POWER(1+DiscRate5,2+attendance!$A16)</f>
        <v>22833978.887858741</v>
      </c>
      <c r="K16" s="17">
        <f>$E16/POWER(1+DiscRate6,2+attendance!$A16)</f>
        <v>21078416.052496206</v>
      </c>
    </row>
    <row r="17" spans="1:11" x14ac:dyDescent="0.2">
      <c r="A17">
        <v>16</v>
      </c>
      <c r="B17">
        <v>2014</v>
      </c>
      <c r="C17" s="13">
        <v>2253086</v>
      </c>
      <c r="D17">
        <v>28.42</v>
      </c>
      <c r="E17" s="13">
        <f t="shared" si="0"/>
        <v>64032704.120000005</v>
      </c>
      <c r="F17" s="17">
        <f>E17/POWER(1+DiscRate,2+attendance!A17)</f>
        <v>26606911.148878187</v>
      </c>
      <c r="G17" s="17">
        <f>$E17/POWER(1+discrate2,2+attendance!$A17)</f>
        <v>31608343.418029249</v>
      </c>
      <c r="H17" s="17">
        <f>$E17/POWER(1+DiscRate3,2+attendance!$A17)</f>
        <v>28994032.04381055</v>
      </c>
      <c r="I17" s="17">
        <f>$E17/POWER(1+DiscRate4,2+attendance!$A17)</f>
        <v>24426293.388902359</v>
      </c>
      <c r="J17" s="17">
        <f>$E17/POWER(1+DiscRate5,2+attendance!$A17)</f>
        <v>22433460.317655422</v>
      </c>
      <c r="K17" s="17">
        <f>$E17/POWER(1+DiscRate6,2+attendance!$A17)</f>
        <v>20611466.967106637</v>
      </c>
    </row>
    <row r="18" spans="1:11" x14ac:dyDescent="0.2">
      <c r="A18">
        <v>17</v>
      </c>
      <c r="B18">
        <v>2015</v>
      </c>
      <c r="C18" s="13">
        <v>2253086</v>
      </c>
      <c r="D18">
        <v>29.58</v>
      </c>
      <c r="E18" s="13">
        <f t="shared" si="0"/>
        <v>66646283.879999995</v>
      </c>
      <c r="F18" s="17">
        <f>E18/POWER(1+DiscRate,2+attendance!A18)</f>
        <v>26374197.640287414</v>
      </c>
      <c r="G18" s="17">
        <f>$E18/POWER(1+discrate2,2+attendance!$A18)</f>
        <v>31633153.734683901</v>
      </c>
      <c r="H18" s="17">
        <f>$E18/POWER(1+DiscRate3,2+attendance!$A18)</f>
        <v>28877953.993444741</v>
      </c>
      <c r="I18" s="17">
        <f>$E18/POWER(1+DiscRate4,2+attendance!$A18)</f>
        <v>24097900.432034437</v>
      </c>
      <c r="J18" s="17">
        <f>$E18/POWER(1+DiscRate5,2+attendance!$A18)</f>
        <v>22027463.923766389</v>
      </c>
      <c r="K18" s="17">
        <f>$E18/POWER(1+DiscRate6,2+attendance!$A18)</f>
        <v>20143428.481794354</v>
      </c>
    </row>
    <row r="19" spans="1:11" x14ac:dyDescent="0.2">
      <c r="A19">
        <v>18</v>
      </c>
      <c r="B19">
        <v>2016</v>
      </c>
      <c r="C19" s="13">
        <v>2253086</v>
      </c>
      <c r="D19">
        <v>29.58</v>
      </c>
      <c r="E19" s="13">
        <f t="shared" si="0"/>
        <v>66646283.879999995</v>
      </c>
      <c r="F19" s="17">
        <f>E19/POWER(1+DiscRate,2+attendance!A19)</f>
        <v>25118283.466940396</v>
      </c>
      <c r="G19" s="17">
        <f>$E19/POWER(1+discrate2,2+attendance!$A19)</f>
        <v>30416493.975657597</v>
      </c>
      <c r="H19" s="17">
        <f>$E19/POWER(1+DiscRate3,2+attendance!$A19)</f>
        <v>27634405.735353827</v>
      </c>
      <c r="I19" s="17">
        <f>$E19/POWER(1+DiscRate4,2+attendance!$A19)</f>
        <v>22841611.783918895</v>
      </c>
      <c r="J19" s="17">
        <f>$E19/POWER(1+DiscRate5,2+attendance!$A19)</f>
        <v>20780626.34317584</v>
      </c>
      <c r="K19" s="17">
        <f>$E19/POWER(1+DiscRate6,2+attendance!$A19)</f>
        <v>18914017.353797518</v>
      </c>
    </row>
    <row r="20" spans="1:11" x14ac:dyDescent="0.2">
      <c r="A20">
        <v>19</v>
      </c>
      <c r="B20">
        <v>2017</v>
      </c>
      <c r="C20" s="13">
        <v>2253086</v>
      </c>
      <c r="D20">
        <v>29.58</v>
      </c>
      <c r="E20" s="13">
        <f t="shared" si="0"/>
        <v>66646283.879999995</v>
      </c>
      <c r="F20" s="17">
        <f>E20/POWER(1+DiscRate,2+attendance!A20)</f>
        <v>23922174.730419423</v>
      </c>
      <c r="G20" s="17">
        <f>$E20/POWER(1+discrate2,2+attendance!$A20)</f>
        <v>29246628.822747681</v>
      </c>
      <c r="H20" s="17">
        <f>$E20/POWER(1+DiscRate3,2+attendance!$A20)</f>
        <v>26444407.402252462</v>
      </c>
      <c r="I20" s="17">
        <f>$E20/POWER(1+DiscRate4,2+attendance!$A20)</f>
        <v>21650816.856795166</v>
      </c>
      <c r="J20" s="17">
        <f>$E20/POWER(1+DiscRate5,2+attendance!$A20)</f>
        <v>19604364.474694185</v>
      </c>
      <c r="K20" s="17">
        <f>$E20/POWER(1+DiscRate6,2+attendance!$A20)</f>
        <v>17759640.707791097</v>
      </c>
    </row>
    <row r="21" spans="1:11" x14ac:dyDescent="0.2">
      <c r="A21">
        <v>20</v>
      </c>
      <c r="B21">
        <v>2018</v>
      </c>
      <c r="C21" s="13">
        <v>2253086</v>
      </c>
      <c r="D21">
        <v>29.58</v>
      </c>
      <c r="E21" s="13">
        <f t="shared" si="0"/>
        <v>66646283.879999995</v>
      </c>
      <c r="F21" s="17">
        <f>E21/POWER(1+DiscRate,2+attendance!A21)</f>
        <v>22783023.552780405</v>
      </c>
      <c r="G21" s="17">
        <f>$E21/POWER(1+discrate2,2+attendance!$A21)</f>
        <v>28121758.483411234</v>
      </c>
      <c r="H21" s="17">
        <f>$E21/POWER(1+DiscRate3,2+attendance!$A21)</f>
        <v>25305653.016509544</v>
      </c>
      <c r="I21" s="17">
        <f>$E21/POWER(1+DiscRate4,2+attendance!$A21)</f>
        <v>20522101.286061767</v>
      </c>
      <c r="J21" s="17">
        <f>$E21/POWER(1+DiscRate5,2+attendance!$A21)</f>
        <v>18494683.466692626</v>
      </c>
      <c r="K21" s="17">
        <f>$E21/POWER(1+DiscRate6,2+attendance!$A21)</f>
        <v>16675718.974451737</v>
      </c>
    </row>
    <row r="22" spans="1:11" x14ac:dyDescent="0.2">
      <c r="F22" s="17">
        <f t="shared" ref="F22:K22" si="1">SUM(F2:F21)</f>
        <v>561895566.63732302</v>
      </c>
      <c r="G22" s="17">
        <f t="shared" si="1"/>
        <v>631051849.08278608</v>
      </c>
      <c r="H22" s="17">
        <f t="shared" si="1"/>
        <v>595160111.17885637</v>
      </c>
      <c r="I22" s="17">
        <f t="shared" si="1"/>
        <v>531035969.51079196</v>
      </c>
      <c r="J22" s="17">
        <f t="shared" si="1"/>
        <v>502379794.98221445</v>
      </c>
      <c r="K22" s="17">
        <f t="shared" si="1"/>
        <v>475744160.14391017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7" workbookViewId="0">
      <selection activeCell="L20" sqref="L20"/>
    </sheetView>
  </sheetViews>
  <sheetFormatPr defaultRowHeight="12.75" x14ac:dyDescent="0.2"/>
  <cols>
    <col min="2" max="2" width="10.42578125" style="6" bestFit="1" customWidth="1"/>
    <col min="3" max="3" width="10.28515625" bestFit="1" customWidth="1"/>
    <col min="4" max="5" width="12.85546875" customWidth="1"/>
    <col min="7" max="7" width="11.28515625" customWidth="1"/>
    <col min="8" max="12" width="10.7109375" customWidth="1"/>
  </cols>
  <sheetData>
    <row r="1" spans="1:10" x14ac:dyDescent="0.2">
      <c r="A1" t="s">
        <v>48</v>
      </c>
      <c r="B1" s="20">
        <v>0.03</v>
      </c>
    </row>
    <row r="2" spans="1:10" x14ac:dyDescent="0.2">
      <c r="I2" s="21" t="s">
        <v>51</v>
      </c>
    </row>
    <row r="3" spans="1:10" x14ac:dyDescent="0.2">
      <c r="B3" t="s">
        <v>33</v>
      </c>
      <c r="C3" t="s">
        <v>42</v>
      </c>
      <c r="D3" t="s">
        <v>46</v>
      </c>
      <c r="E3" t="s">
        <v>45</v>
      </c>
      <c r="G3" t="s">
        <v>49</v>
      </c>
      <c r="H3" t="s">
        <v>50</v>
      </c>
      <c r="I3" s="21" t="s">
        <v>52</v>
      </c>
      <c r="J3" t="s">
        <v>43</v>
      </c>
    </row>
    <row r="4" spans="1:10" x14ac:dyDescent="0.2">
      <c r="A4">
        <f>$B$11-B4</f>
        <v>7</v>
      </c>
      <c r="B4">
        <v>1989</v>
      </c>
      <c r="C4" s="16">
        <v>6.8</v>
      </c>
      <c r="D4" s="13">
        <v>1298430</v>
      </c>
      <c r="E4" s="13">
        <f>D4</f>
        <v>1298430</v>
      </c>
      <c r="F4" s="16">
        <f>C4*POWER(1+inflation,A4)</f>
        <v>8.3631422848891148</v>
      </c>
      <c r="G4" s="16">
        <v>0</v>
      </c>
      <c r="H4" s="16">
        <v>0</v>
      </c>
      <c r="I4" s="16"/>
    </row>
    <row r="5" spans="1:10" x14ac:dyDescent="0.2">
      <c r="A5">
        <f t="shared" ref="A5:A11" si="0">$B$11-B5</f>
        <v>6</v>
      </c>
      <c r="B5">
        <v>1990</v>
      </c>
      <c r="C5" s="16">
        <v>7.12</v>
      </c>
      <c r="D5" s="13">
        <v>1509759</v>
      </c>
      <c r="E5" s="13">
        <f t="shared" ref="E5:E11" si="1">D5</f>
        <v>1509759</v>
      </c>
      <c r="F5" s="16">
        <f t="shared" ref="F5:F11" si="2">C5*POWER(1+inflation,A5)</f>
        <v>8.501652351286479</v>
      </c>
      <c r="G5" s="18">
        <f>E5/E4-1</f>
        <v>0.16275733000623838</v>
      </c>
      <c r="H5" s="18">
        <f>F5/F4-1</f>
        <v>1.6561964591661926E-2</v>
      </c>
      <c r="I5" s="4">
        <f>G5/H5</f>
        <v>9.8271753393421744</v>
      </c>
    </row>
    <row r="6" spans="1:10" x14ac:dyDescent="0.2">
      <c r="A6">
        <f t="shared" si="0"/>
        <v>5</v>
      </c>
      <c r="B6">
        <v>1991</v>
      </c>
      <c r="C6" s="16">
        <v>6.37</v>
      </c>
      <c r="D6" s="13">
        <v>2147877</v>
      </c>
      <c r="E6" s="13">
        <f>D6-200000/C6</f>
        <v>2116479.8257456827</v>
      </c>
      <c r="F6" s="16">
        <f t="shared" si="2"/>
        <v>7.3845758532909995</v>
      </c>
      <c r="G6" s="18">
        <f t="shared" ref="G6:G11" si="3">E6/E5-1</f>
        <v>0.40186601023453594</v>
      </c>
      <c r="H6" s="18">
        <f t="shared" ref="H6:H11" si="4">F6/F5-1</f>
        <v>-0.13139522199192755</v>
      </c>
      <c r="I6" s="4">
        <f t="shared" ref="I6:I11" si="5">G6/H6</f>
        <v>-3.0584522339725959</v>
      </c>
      <c r="J6" t="s">
        <v>44</v>
      </c>
    </row>
    <row r="7" spans="1:10" x14ac:dyDescent="0.2">
      <c r="A7">
        <f t="shared" si="0"/>
        <v>4</v>
      </c>
      <c r="B7">
        <v>1992</v>
      </c>
      <c r="C7" s="16">
        <v>8.8800000000000008</v>
      </c>
      <c r="D7" s="13">
        <v>1651428</v>
      </c>
      <c r="E7" s="13">
        <f t="shared" si="1"/>
        <v>1651428</v>
      </c>
      <c r="F7" s="16">
        <f t="shared" si="2"/>
        <v>9.9945182328000008</v>
      </c>
      <c r="G7" s="18">
        <f t="shared" si="3"/>
        <v>-0.21972891973200581</v>
      </c>
      <c r="H7" s="18">
        <f t="shared" si="4"/>
        <v>0.35343158921522333</v>
      </c>
      <c r="I7" s="4">
        <f t="shared" si="5"/>
        <v>-0.6217014167293381</v>
      </c>
    </row>
    <row r="8" spans="1:10" x14ac:dyDescent="0.2">
      <c r="A8">
        <f t="shared" si="0"/>
        <v>3</v>
      </c>
      <c r="B8">
        <v>1993</v>
      </c>
      <c r="C8" s="16">
        <v>8.91</v>
      </c>
      <c r="D8" s="13">
        <v>2051853</v>
      </c>
      <c r="E8" s="13">
        <f t="shared" si="1"/>
        <v>2051853</v>
      </c>
      <c r="F8" s="16">
        <f t="shared" si="2"/>
        <v>9.7361975699999999</v>
      </c>
      <c r="G8" s="18">
        <f t="shared" si="3"/>
        <v>0.24247196971348428</v>
      </c>
      <c r="H8" s="18">
        <f t="shared" si="4"/>
        <v>-2.5846234584098737E-2</v>
      </c>
      <c r="I8" s="4">
        <f t="shared" si="5"/>
        <v>-9.3813266657673697</v>
      </c>
    </row>
    <row r="9" spans="1:10" x14ac:dyDescent="0.2">
      <c r="A9">
        <f t="shared" si="0"/>
        <v>2</v>
      </c>
      <c r="B9">
        <v>1994</v>
      </c>
      <c r="C9" s="16">
        <v>11.86</v>
      </c>
      <c r="D9" s="13">
        <v>1104206</v>
      </c>
      <c r="E9" s="13">
        <v>2032743</v>
      </c>
      <c r="F9" s="16">
        <f t="shared" si="2"/>
        <v>12.582273999999998</v>
      </c>
      <c r="G9" s="18">
        <f t="shared" si="3"/>
        <v>-9.3135326945936736E-3</v>
      </c>
      <c r="H9" s="18">
        <f t="shared" si="4"/>
        <v>0.29231909167184233</v>
      </c>
      <c r="I9" s="4">
        <f t="shared" si="5"/>
        <v>-3.1860843030564197E-2</v>
      </c>
      <c r="J9" t="s">
        <v>47</v>
      </c>
    </row>
    <row r="10" spans="1:10" x14ac:dyDescent="0.2">
      <c r="A10">
        <f t="shared" si="0"/>
        <v>1</v>
      </c>
      <c r="B10">
        <v>1995</v>
      </c>
      <c r="C10" s="16">
        <v>10.88</v>
      </c>
      <c r="D10" s="13">
        <v>1643203</v>
      </c>
      <c r="E10" s="13">
        <v>1823280</v>
      </c>
      <c r="F10" s="16">
        <f t="shared" si="2"/>
        <v>11.2064</v>
      </c>
      <c r="G10" s="18">
        <f t="shared" si="3"/>
        <v>-0.10304450685600686</v>
      </c>
      <c r="H10" s="18">
        <f t="shared" si="4"/>
        <v>-0.10935018582491507</v>
      </c>
      <c r="I10" s="4">
        <f t="shared" si="5"/>
        <v>0.94233499539722332</v>
      </c>
      <c r="J10" t="s">
        <v>47</v>
      </c>
    </row>
    <row r="11" spans="1:10" x14ac:dyDescent="0.2">
      <c r="A11">
        <f t="shared" si="0"/>
        <v>0</v>
      </c>
      <c r="B11">
        <v>1996</v>
      </c>
      <c r="C11" s="16">
        <v>12.34</v>
      </c>
      <c r="D11" s="13">
        <v>2723850</v>
      </c>
      <c r="E11" s="13">
        <f t="shared" si="1"/>
        <v>2723850</v>
      </c>
      <c r="F11" s="16">
        <f t="shared" si="2"/>
        <v>12.34</v>
      </c>
      <c r="G11" s="18">
        <f t="shared" si="3"/>
        <v>0.49392852441753332</v>
      </c>
      <c r="H11" s="18">
        <f t="shared" si="4"/>
        <v>0.10115648201027971</v>
      </c>
      <c r="I11" s="4">
        <f t="shared" si="5"/>
        <v>4.8828163514755225</v>
      </c>
    </row>
    <row r="12" spans="1:10" x14ac:dyDescent="0.2">
      <c r="B12" s="16"/>
    </row>
    <row r="13" spans="1:10" x14ac:dyDescent="0.2">
      <c r="B13" s="16" t="s">
        <v>49</v>
      </c>
    </row>
    <row r="14" spans="1:10" x14ac:dyDescent="0.2">
      <c r="B14" s="16" t="s">
        <v>50</v>
      </c>
    </row>
    <row r="15" spans="1:10" x14ac:dyDescent="0.2">
      <c r="B15" s="16"/>
    </row>
    <row r="16" spans="1:10" x14ac:dyDescent="0.2">
      <c r="A16" t="s">
        <v>65</v>
      </c>
      <c r="B16" s="16"/>
    </row>
    <row r="17" spans="1:12" x14ac:dyDescent="0.2">
      <c r="B17" s="16"/>
      <c r="E17" t="s">
        <v>66</v>
      </c>
      <c r="F17" t="s">
        <v>69</v>
      </c>
      <c r="G17" t="s">
        <v>65</v>
      </c>
    </row>
    <row r="18" spans="1:12" x14ac:dyDescent="0.2">
      <c r="A18" t="s">
        <v>33</v>
      </c>
      <c r="B18" t="s">
        <v>32</v>
      </c>
      <c r="C18" t="s">
        <v>34</v>
      </c>
      <c r="D18" t="s">
        <v>68</v>
      </c>
      <c r="E18" t="s">
        <v>67</v>
      </c>
      <c r="F18" t="s">
        <v>70</v>
      </c>
      <c r="G18">
        <v>1</v>
      </c>
      <c r="H18">
        <v>1.1000000000000001</v>
      </c>
      <c r="I18">
        <v>1.2</v>
      </c>
      <c r="J18">
        <v>1.3</v>
      </c>
      <c r="K18">
        <v>1.4</v>
      </c>
      <c r="L18">
        <v>1.5</v>
      </c>
    </row>
    <row r="19" spans="1:12" x14ac:dyDescent="0.2">
      <c r="A19">
        <v>1999</v>
      </c>
      <c r="B19" s="13">
        <v>2703704</v>
      </c>
      <c r="C19">
        <v>15.64</v>
      </c>
      <c r="D19" s="7">
        <f>C19/1.1</f>
        <v>14.218181818181817</v>
      </c>
      <c r="E19" s="7">
        <f>C19*1.4</f>
        <v>21.896000000000001</v>
      </c>
      <c r="F19" s="18">
        <f>E19/D19-1</f>
        <v>0.54000000000000026</v>
      </c>
      <c r="G19" s="13">
        <f t="shared" ref="G19:G35" si="6">(1-G$18*$F19)*$B19</f>
        <v>1243703.8399999994</v>
      </c>
      <c r="H19" s="13">
        <f t="shared" ref="H19:L34" si="7">(1-H$18*$F19)*$B19</f>
        <v>1097703.8239999991</v>
      </c>
      <c r="I19" s="13">
        <f t="shared" si="7"/>
        <v>951703.80799999938</v>
      </c>
      <c r="J19" s="13">
        <f t="shared" si="7"/>
        <v>805703.79199999897</v>
      </c>
      <c r="K19" s="13">
        <f t="shared" si="7"/>
        <v>659703.77599999914</v>
      </c>
      <c r="L19" s="13">
        <f t="shared" si="7"/>
        <v>513703.75999999896</v>
      </c>
    </row>
    <row r="20" spans="1:12" x14ac:dyDescent="0.2">
      <c r="A20">
        <v>2000</v>
      </c>
      <c r="B20" s="13">
        <v>2478395</v>
      </c>
      <c r="C20">
        <v>16.23</v>
      </c>
      <c r="D20" s="7">
        <f t="shared" ref="D20:D38" si="8">C20/1.1</f>
        <v>14.754545454545454</v>
      </c>
      <c r="E20" s="7">
        <f t="shared" ref="E20:E38" si="9">C20*1.4</f>
        <v>22.721999999999998</v>
      </c>
      <c r="F20" s="18">
        <f t="shared" ref="F20:F38" si="10">E20/D20-1</f>
        <v>0.53999999999999981</v>
      </c>
      <c r="G20" s="13">
        <f t="shared" si="6"/>
        <v>1140061.7000000004</v>
      </c>
      <c r="H20" s="13">
        <f t="shared" si="7"/>
        <v>1006228.3700000003</v>
      </c>
      <c r="I20" s="13">
        <f t="shared" si="7"/>
        <v>872395.0400000005</v>
      </c>
      <c r="J20" s="13">
        <f t="shared" si="7"/>
        <v>738561.71000000066</v>
      </c>
      <c r="K20" s="13">
        <f t="shared" si="7"/>
        <v>604728.38000000082</v>
      </c>
      <c r="L20" s="13">
        <f t="shared" si="7"/>
        <v>470895.05000000069</v>
      </c>
    </row>
    <row r="21" spans="1:12" x14ac:dyDescent="0.2">
      <c r="A21">
        <v>2001</v>
      </c>
      <c r="B21" s="13">
        <v>2253086</v>
      </c>
      <c r="C21">
        <v>16.87</v>
      </c>
      <c r="D21" s="7">
        <f t="shared" si="8"/>
        <v>15.336363636363636</v>
      </c>
      <c r="E21" s="7">
        <f t="shared" si="9"/>
        <v>23.617999999999999</v>
      </c>
      <c r="F21" s="18">
        <f t="shared" si="10"/>
        <v>0.54</v>
      </c>
      <c r="G21" s="13">
        <f t="shared" si="6"/>
        <v>1036419.5599999999</v>
      </c>
      <c r="H21" s="13">
        <f t="shared" si="7"/>
        <v>914752.91599999985</v>
      </c>
      <c r="I21" s="13">
        <f t="shared" si="7"/>
        <v>793086.272</v>
      </c>
      <c r="J21" s="13">
        <f t="shared" si="7"/>
        <v>671419.62799999979</v>
      </c>
      <c r="K21" s="13">
        <f t="shared" si="7"/>
        <v>549752.98399999994</v>
      </c>
      <c r="L21" s="13">
        <f t="shared" si="7"/>
        <v>428086.33999999985</v>
      </c>
    </row>
    <row r="22" spans="1:12" x14ac:dyDescent="0.2">
      <c r="A22">
        <v>2002</v>
      </c>
      <c r="B22" s="13">
        <v>2253086</v>
      </c>
      <c r="C22">
        <v>17.54</v>
      </c>
      <c r="D22" s="7">
        <f t="shared" si="8"/>
        <v>15.945454545454544</v>
      </c>
      <c r="E22" s="7">
        <f t="shared" si="9"/>
        <v>24.555999999999997</v>
      </c>
      <c r="F22" s="18">
        <f t="shared" si="10"/>
        <v>0.54</v>
      </c>
      <c r="G22" s="13">
        <f t="shared" si="6"/>
        <v>1036419.5599999999</v>
      </c>
      <c r="H22" s="13">
        <f t="shared" si="7"/>
        <v>914752.91599999985</v>
      </c>
      <c r="I22" s="13">
        <f t="shared" si="7"/>
        <v>793086.272</v>
      </c>
      <c r="J22" s="13">
        <f t="shared" si="7"/>
        <v>671419.62799999979</v>
      </c>
      <c r="K22" s="13">
        <f t="shared" si="7"/>
        <v>549752.98399999994</v>
      </c>
      <c r="L22" s="13">
        <f t="shared" si="7"/>
        <v>428086.33999999985</v>
      </c>
    </row>
    <row r="23" spans="1:12" x14ac:dyDescent="0.2">
      <c r="A23">
        <v>2003</v>
      </c>
      <c r="B23" s="13">
        <v>2253086</v>
      </c>
      <c r="C23">
        <v>18.260000000000002</v>
      </c>
      <c r="D23" s="7">
        <f t="shared" si="8"/>
        <v>16.600000000000001</v>
      </c>
      <c r="E23" s="7">
        <f t="shared" si="9"/>
        <v>25.564</v>
      </c>
      <c r="F23" s="18">
        <f t="shared" si="10"/>
        <v>0.53999999999999981</v>
      </c>
      <c r="G23" s="13">
        <f t="shared" si="6"/>
        <v>1036419.5600000004</v>
      </c>
      <c r="H23" s="13">
        <f t="shared" si="7"/>
        <v>914752.91600000032</v>
      </c>
      <c r="I23" s="13">
        <f t="shared" si="7"/>
        <v>793086.27200000046</v>
      </c>
      <c r="J23" s="13">
        <f t="shared" si="7"/>
        <v>671419.62800000061</v>
      </c>
      <c r="K23" s="13">
        <f t="shared" si="7"/>
        <v>549752.98400000075</v>
      </c>
      <c r="L23" s="13">
        <f t="shared" si="7"/>
        <v>428086.34000000061</v>
      </c>
    </row>
    <row r="24" spans="1:12" x14ac:dyDescent="0.2">
      <c r="A24">
        <v>2004</v>
      </c>
      <c r="B24" s="13">
        <v>2253086</v>
      </c>
      <c r="C24">
        <v>19.010000000000002</v>
      </c>
      <c r="D24" s="7">
        <f t="shared" si="8"/>
        <v>17.281818181818181</v>
      </c>
      <c r="E24" s="7">
        <f t="shared" si="9"/>
        <v>26.614000000000001</v>
      </c>
      <c r="F24" s="18">
        <f t="shared" si="10"/>
        <v>0.54</v>
      </c>
      <c r="G24" s="13">
        <f t="shared" si="6"/>
        <v>1036419.5599999999</v>
      </c>
      <c r="H24" s="13">
        <f t="shared" si="7"/>
        <v>914752.91599999985</v>
      </c>
      <c r="I24" s="13">
        <f t="shared" si="7"/>
        <v>793086.272</v>
      </c>
      <c r="J24" s="13">
        <f t="shared" si="7"/>
        <v>671419.62799999979</v>
      </c>
      <c r="K24" s="13">
        <f t="shared" si="7"/>
        <v>549752.98399999994</v>
      </c>
      <c r="L24" s="13">
        <f t="shared" si="7"/>
        <v>428086.33999999985</v>
      </c>
    </row>
    <row r="25" spans="1:12" x14ac:dyDescent="0.2">
      <c r="A25">
        <v>2005</v>
      </c>
      <c r="B25" s="13">
        <v>2253086</v>
      </c>
      <c r="C25">
        <v>19.79</v>
      </c>
      <c r="D25" s="7">
        <f t="shared" si="8"/>
        <v>17.990909090909089</v>
      </c>
      <c r="E25" s="7">
        <f t="shared" si="9"/>
        <v>27.705999999999996</v>
      </c>
      <c r="F25" s="18">
        <f t="shared" si="10"/>
        <v>0.54</v>
      </c>
      <c r="G25" s="13">
        <f t="shared" si="6"/>
        <v>1036419.5599999999</v>
      </c>
      <c r="H25" s="13">
        <f t="shared" si="7"/>
        <v>914752.91599999985</v>
      </c>
      <c r="I25" s="13">
        <f t="shared" si="7"/>
        <v>793086.272</v>
      </c>
      <c r="J25" s="13">
        <f t="shared" si="7"/>
        <v>671419.62799999979</v>
      </c>
      <c r="K25" s="13">
        <f t="shared" si="7"/>
        <v>549752.98399999994</v>
      </c>
      <c r="L25" s="13">
        <f t="shared" si="7"/>
        <v>428086.33999999985</v>
      </c>
    </row>
    <row r="26" spans="1:12" x14ac:dyDescent="0.2">
      <c r="A26">
        <v>2006</v>
      </c>
      <c r="B26" s="13">
        <v>2253086</v>
      </c>
      <c r="C26">
        <v>20.6</v>
      </c>
      <c r="D26" s="7">
        <f t="shared" si="8"/>
        <v>18.727272727272727</v>
      </c>
      <c r="E26" s="7">
        <f t="shared" si="9"/>
        <v>28.84</v>
      </c>
      <c r="F26" s="18">
        <f t="shared" si="10"/>
        <v>0.54</v>
      </c>
      <c r="G26" s="13">
        <f t="shared" si="6"/>
        <v>1036419.5599999999</v>
      </c>
      <c r="H26" s="13">
        <f t="shared" si="7"/>
        <v>914752.91599999985</v>
      </c>
      <c r="I26" s="13">
        <f t="shared" si="7"/>
        <v>793086.272</v>
      </c>
      <c r="J26" s="13">
        <f t="shared" si="7"/>
        <v>671419.62799999979</v>
      </c>
      <c r="K26" s="13">
        <f t="shared" si="7"/>
        <v>549752.98399999994</v>
      </c>
      <c r="L26" s="13">
        <f t="shared" si="7"/>
        <v>428086.33999999985</v>
      </c>
    </row>
    <row r="27" spans="1:12" x14ac:dyDescent="0.2">
      <c r="A27">
        <v>2007</v>
      </c>
      <c r="B27" s="13">
        <v>2253086</v>
      </c>
      <c r="C27">
        <v>21.45</v>
      </c>
      <c r="D27" s="7">
        <f t="shared" si="8"/>
        <v>19.499999999999996</v>
      </c>
      <c r="E27" s="7">
        <f t="shared" si="9"/>
        <v>30.029999999999998</v>
      </c>
      <c r="F27" s="18">
        <f t="shared" si="10"/>
        <v>0.54000000000000026</v>
      </c>
      <c r="G27" s="13">
        <f t="shared" si="6"/>
        <v>1036419.5599999995</v>
      </c>
      <c r="H27" s="13">
        <f t="shared" si="7"/>
        <v>914752.91599999927</v>
      </c>
      <c r="I27" s="13">
        <f t="shared" si="7"/>
        <v>793086.27199999942</v>
      </c>
      <c r="J27" s="13">
        <f t="shared" si="7"/>
        <v>671419.62799999909</v>
      </c>
      <c r="K27" s="13">
        <f t="shared" si="7"/>
        <v>549752.98399999924</v>
      </c>
      <c r="L27" s="13">
        <f t="shared" si="7"/>
        <v>428086.33999999915</v>
      </c>
    </row>
    <row r="28" spans="1:12" x14ac:dyDescent="0.2">
      <c r="A28">
        <v>2008</v>
      </c>
      <c r="B28" s="13">
        <v>2253086</v>
      </c>
      <c r="C28">
        <v>22.32</v>
      </c>
      <c r="D28" s="7">
        <f t="shared" si="8"/>
        <v>20.290909090909089</v>
      </c>
      <c r="E28" s="7">
        <f t="shared" si="9"/>
        <v>31.247999999999998</v>
      </c>
      <c r="F28" s="18">
        <f t="shared" si="10"/>
        <v>0.54</v>
      </c>
      <c r="G28" s="13">
        <f t="shared" si="6"/>
        <v>1036419.5599999999</v>
      </c>
      <c r="H28" s="13">
        <f t="shared" si="7"/>
        <v>914752.91599999985</v>
      </c>
      <c r="I28" s="13">
        <f t="shared" si="7"/>
        <v>793086.272</v>
      </c>
      <c r="J28" s="13">
        <f t="shared" si="7"/>
        <v>671419.62799999979</v>
      </c>
      <c r="K28" s="13">
        <f t="shared" si="7"/>
        <v>549752.98399999994</v>
      </c>
      <c r="L28" s="13">
        <f t="shared" si="7"/>
        <v>428086.33999999985</v>
      </c>
    </row>
    <row r="29" spans="1:12" x14ac:dyDescent="0.2">
      <c r="A29">
        <v>2009</v>
      </c>
      <c r="B29" s="13">
        <v>2253086</v>
      </c>
      <c r="C29">
        <v>23.24</v>
      </c>
      <c r="D29" s="7">
        <f t="shared" si="8"/>
        <v>21.127272727272725</v>
      </c>
      <c r="E29" s="7">
        <f t="shared" si="9"/>
        <v>32.535999999999994</v>
      </c>
      <c r="F29" s="18">
        <f t="shared" si="10"/>
        <v>0.53999999999999981</v>
      </c>
      <c r="G29" s="13">
        <f t="shared" si="6"/>
        <v>1036419.5600000004</v>
      </c>
      <c r="H29" s="13">
        <f t="shared" si="7"/>
        <v>914752.91600000032</v>
      </c>
      <c r="I29" s="13">
        <f t="shared" si="7"/>
        <v>793086.27200000046</v>
      </c>
      <c r="J29" s="13">
        <f t="shared" si="7"/>
        <v>671419.62800000061</v>
      </c>
      <c r="K29" s="13">
        <f t="shared" si="7"/>
        <v>549752.98400000075</v>
      </c>
      <c r="L29" s="13">
        <f t="shared" si="7"/>
        <v>428086.34000000061</v>
      </c>
    </row>
    <row r="30" spans="1:12" x14ac:dyDescent="0.2">
      <c r="A30">
        <v>2010</v>
      </c>
      <c r="B30" s="13">
        <v>2253086</v>
      </c>
      <c r="C30">
        <v>24.19</v>
      </c>
      <c r="D30" s="7">
        <f t="shared" si="8"/>
        <v>21.990909090909092</v>
      </c>
      <c r="E30" s="7">
        <f t="shared" si="9"/>
        <v>33.866</v>
      </c>
      <c r="F30" s="18">
        <f t="shared" si="10"/>
        <v>0.53999999999999981</v>
      </c>
      <c r="G30" s="13">
        <f t="shared" si="6"/>
        <v>1036419.5600000004</v>
      </c>
      <c r="H30" s="13">
        <f t="shared" si="7"/>
        <v>914752.91600000032</v>
      </c>
      <c r="I30" s="13">
        <f t="shared" si="7"/>
        <v>793086.27200000046</v>
      </c>
      <c r="J30" s="13">
        <f t="shared" si="7"/>
        <v>671419.62800000061</v>
      </c>
      <c r="K30" s="13">
        <f t="shared" si="7"/>
        <v>549752.98400000075</v>
      </c>
      <c r="L30" s="13">
        <f t="shared" si="7"/>
        <v>428086.34000000061</v>
      </c>
    </row>
    <row r="31" spans="1:12" x14ac:dyDescent="0.2">
      <c r="A31">
        <v>2011</v>
      </c>
      <c r="B31" s="13">
        <v>2253086</v>
      </c>
      <c r="C31">
        <v>25.18</v>
      </c>
      <c r="D31" s="7">
        <f t="shared" si="8"/>
        <v>22.890909090909087</v>
      </c>
      <c r="E31" s="7">
        <f t="shared" si="9"/>
        <v>35.251999999999995</v>
      </c>
      <c r="F31" s="18">
        <f t="shared" si="10"/>
        <v>0.54</v>
      </c>
      <c r="G31" s="13">
        <f t="shared" si="6"/>
        <v>1036419.5599999999</v>
      </c>
      <c r="H31" s="13">
        <f t="shared" si="7"/>
        <v>914752.91599999985</v>
      </c>
      <c r="I31" s="13">
        <f t="shared" si="7"/>
        <v>793086.272</v>
      </c>
      <c r="J31" s="13">
        <f t="shared" si="7"/>
        <v>671419.62799999979</v>
      </c>
      <c r="K31" s="13">
        <f t="shared" si="7"/>
        <v>549752.98399999994</v>
      </c>
      <c r="L31" s="13">
        <f t="shared" si="7"/>
        <v>428086.33999999985</v>
      </c>
    </row>
    <row r="32" spans="1:12" x14ac:dyDescent="0.2">
      <c r="A32">
        <v>2012</v>
      </c>
      <c r="B32" s="13">
        <v>2253086</v>
      </c>
      <c r="C32">
        <v>26.22</v>
      </c>
      <c r="D32" s="7">
        <f t="shared" si="8"/>
        <v>23.836363636363632</v>
      </c>
      <c r="E32" s="7">
        <f t="shared" si="9"/>
        <v>36.707999999999998</v>
      </c>
      <c r="F32" s="18">
        <f t="shared" si="10"/>
        <v>0.54000000000000026</v>
      </c>
      <c r="G32" s="13">
        <f t="shared" si="6"/>
        <v>1036419.5599999995</v>
      </c>
      <c r="H32" s="13">
        <f t="shared" si="7"/>
        <v>914752.91599999927</v>
      </c>
      <c r="I32" s="13">
        <f t="shared" si="7"/>
        <v>793086.27199999942</v>
      </c>
      <c r="J32" s="13">
        <f t="shared" si="7"/>
        <v>671419.62799999909</v>
      </c>
      <c r="K32" s="13">
        <f t="shared" si="7"/>
        <v>549752.98399999924</v>
      </c>
      <c r="L32" s="13">
        <f t="shared" si="7"/>
        <v>428086.33999999915</v>
      </c>
    </row>
    <row r="33" spans="1:12" x14ac:dyDescent="0.2">
      <c r="A33">
        <v>2013</v>
      </c>
      <c r="B33" s="13">
        <v>2253086</v>
      </c>
      <c r="C33">
        <v>27.29</v>
      </c>
      <c r="D33" s="7">
        <f t="shared" si="8"/>
        <v>24.809090909090905</v>
      </c>
      <c r="E33" s="7">
        <f t="shared" si="9"/>
        <v>38.205999999999996</v>
      </c>
      <c r="F33" s="18">
        <f t="shared" si="10"/>
        <v>0.54</v>
      </c>
      <c r="G33" s="13">
        <f t="shared" si="6"/>
        <v>1036419.5599999999</v>
      </c>
      <c r="H33" s="13">
        <f t="shared" si="7"/>
        <v>914752.91599999985</v>
      </c>
      <c r="I33" s="13">
        <f t="shared" si="7"/>
        <v>793086.272</v>
      </c>
      <c r="J33" s="13">
        <f t="shared" si="7"/>
        <v>671419.62799999979</v>
      </c>
      <c r="K33" s="13">
        <f t="shared" si="7"/>
        <v>549752.98399999994</v>
      </c>
      <c r="L33" s="13">
        <f t="shared" si="7"/>
        <v>428086.33999999985</v>
      </c>
    </row>
    <row r="34" spans="1:12" x14ac:dyDescent="0.2">
      <c r="A34">
        <v>2014</v>
      </c>
      <c r="B34" s="13">
        <v>2253086</v>
      </c>
      <c r="C34">
        <v>28.42</v>
      </c>
      <c r="D34" s="7">
        <f t="shared" si="8"/>
        <v>25.836363636363636</v>
      </c>
      <c r="E34" s="7">
        <f t="shared" si="9"/>
        <v>39.787999999999997</v>
      </c>
      <c r="F34" s="18">
        <f t="shared" si="10"/>
        <v>0.53999999999999981</v>
      </c>
      <c r="G34" s="13">
        <f t="shared" si="6"/>
        <v>1036419.5600000004</v>
      </c>
      <c r="H34" s="13">
        <f t="shared" si="7"/>
        <v>914752.91600000032</v>
      </c>
      <c r="I34" s="13">
        <f t="shared" si="7"/>
        <v>793086.27200000046</v>
      </c>
      <c r="J34" s="13">
        <f t="shared" si="7"/>
        <v>671419.62800000061</v>
      </c>
      <c r="K34" s="13">
        <f t="shared" si="7"/>
        <v>549752.98400000075</v>
      </c>
      <c r="L34" s="13">
        <f t="shared" si="7"/>
        <v>428086.34000000061</v>
      </c>
    </row>
    <row r="35" spans="1:12" x14ac:dyDescent="0.2">
      <c r="A35">
        <v>2015</v>
      </c>
      <c r="B35" s="13">
        <v>2253086</v>
      </c>
      <c r="C35">
        <v>29.58</v>
      </c>
      <c r="D35" s="7">
        <f t="shared" si="8"/>
        <v>26.890909090909087</v>
      </c>
      <c r="E35" s="7">
        <f t="shared" si="9"/>
        <v>41.411999999999992</v>
      </c>
      <c r="F35" s="18">
        <f t="shared" si="10"/>
        <v>0.53999999999999981</v>
      </c>
      <c r="G35" s="13">
        <f t="shared" si="6"/>
        <v>1036419.5600000004</v>
      </c>
      <c r="H35" s="13">
        <f>(1-H$18*$F35)*$B35</f>
        <v>914752.91600000032</v>
      </c>
      <c r="I35" s="13">
        <f>(1-I$18*$F35)*$B35</f>
        <v>793086.27200000046</v>
      </c>
      <c r="J35" s="13">
        <f>(1-J$18*$F35)*$B35</f>
        <v>671419.62800000061</v>
      </c>
      <c r="K35" s="13">
        <f>(1-K$18*$F35)*$B35</f>
        <v>549752.98400000075</v>
      </c>
      <c r="L35" s="13">
        <f>(1-L$18*$F35)*$B35</f>
        <v>428086.34000000061</v>
      </c>
    </row>
    <row r="36" spans="1:12" x14ac:dyDescent="0.2">
      <c r="A36">
        <v>2016</v>
      </c>
      <c r="B36" s="13">
        <v>2253086</v>
      </c>
      <c r="C36">
        <v>29.58</v>
      </c>
      <c r="D36" s="7">
        <f t="shared" si="8"/>
        <v>26.890909090909087</v>
      </c>
      <c r="E36" s="7">
        <f t="shared" si="9"/>
        <v>41.411999999999992</v>
      </c>
      <c r="F36" s="18">
        <f t="shared" si="10"/>
        <v>0.53999999999999981</v>
      </c>
      <c r="G36" s="13">
        <f t="shared" ref="G36:L38" si="11">(1-G$18*$F36)*$B36</f>
        <v>1036419.5600000004</v>
      </c>
      <c r="H36" s="13">
        <f t="shared" si="11"/>
        <v>914752.91600000032</v>
      </c>
      <c r="I36" s="13">
        <f t="shared" si="11"/>
        <v>793086.27200000046</v>
      </c>
      <c r="J36" s="13">
        <f t="shared" si="11"/>
        <v>671419.62800000061</v>
      </c>
      <c r="K36" s="13">
        <f t="shared" si="11"/>
        <v>549752.98400000075</v>
      </c>
      <c r="L36" s="13">
        <f t="shared" si="11"/>
        <v>428086.34000000061</v>
      </c>
    </row>
    <row r="37" spans="1:12" x14ac:dyDescent="0.2">
      <c r="A37">
        <v>2017</v>
      </c>
      <c r="B37" s="13">
        <v>2253086</v>
      </c>
      <c r="C37">
        <v>29.58</v>
      </c>
      <c r="D37" s="7">
        <f t="shared" si="8"/>
        <v>26.890909090909087</v>
      </c>
      <c r="E37" s="7">
        <f t="shared" si="9"/>
        <v>41.411999999999992</v>
      </c>
      <c r="F37" s="18">
        <f t="shared" si="10"/>
        <v>0.53999999999999981</v>
      </c>
      <c r="G37" s="13">
        <f t="shared" si="11"/>
        <v>1036419.5600000004</v>
      </c>
      <c r="H37" s="13">
        <f t="shared" si="11"/>
        <v>914752.91600000032</v>
      </c>
      <c r="I37" s="13">
        <f t="shared" si="11"/>
        <v>793086.27200000046</v>
      </c>
      <c r="J37" s="13">
        <f t="shared" si="11"/>
        <v>671419.62800000061</v>
      </c>
      <c r="K37" s="13">
        <f t="shared" si="11"/>
        <v>549752.98400000075</v>
      </c>
      <c r="L37" s="13">
        <f t="shared" si="11"/>
        <v>428086.34000000061</v>
      </c>
    </row>
    <row r="38" spans="1:12" x14ac:dyDescent="0.2">
      <c r="A38">
        <v>2018</v>
      </c>
      <c r="B38" s="13">
        <v>2253086</v>
      </c>
      <c r="C38">
        <v>29.58</v>
      </c>
      <c r="D38" s="7">
        <f t="shared" si="8"/>
        <v>26.890909090909087</v>
      </c>
      <c r="E38" s="7">
        <f t="shared" si="9"/>
        <v>41.411999999999992</v>
      </c>
      <c r="F38" s="18">
        <f t="shared" si="10"/>
        <v>0.53999999999999981</v>
      </c>
      <c r="G38" s="13">
        <f t="shared" si="11"/>
        <v>1036419.5600000004</v>
      </c>
      <c r="H38" s="13">
        <f t="shared" si="11"/>
        <v>914752.91600000032</v>
      </c>
      <c r="I38" s="13">
        <f t="shared" si="11"/>
        <v>793086.27200000046</v>
      </c>
      <c r="J38" s="13">
        <f t="shared" si="11"/>
        <v>671419.62800000061</v>
      </c>
      <c r="K38" s="13">
        <f t="shared" si="11"/>
        <v>549752.98400000075</v>
      </c>
      <c r="L38" s="13">
        <f t="shared" si="11"/>
        <v>428086.34000000061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5" baseType="lpstr">
      <vt:lpstr>in and out</vt:lpstr>
      <vt:lpstr>facts</vt:lpstr>
      <vt:lpstr>facts premium</vt:lpstr>
      <vt:lpstr>attendance</vt:lpstr>
      <vt:lpstr>elasticity</vt:lpstr>
      <vt:lpstr>Chart1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Jan Havlíček</cp:lastModifiedBy>
  <dcterms:created xsi:type="dcterms:W3CDTF">2000-11-08T00:18:13Z</dcterms:created>
  <dcterms:modified xsi:type="dcterms:W3CDTF">2023-09-15T16:45:37Z</dcterms:modified>
</cp:coreProperties>
</file>