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0D577E-D79D-461C-B42D-88049C547A9F}" xr6:coauthVersionLast="47" xr6:coauthVersionMax="47" xr10:uidLastSave="{00000000-0000-0000-0000-000000000000}"/>
  <bookViews>
    <workbookView xWindow="-120" yWindow="-120" windowWidth="38640" windowHeight="15720" tabRatio="601" firstSheet="11" activeTab="16"/>
  </bookViews>
  <sheets>
    <sheet name="Budget" sheetId="40" r:id="rId1"/>
    <sheet name="Factors" sheetId="1" r:id="rId2"/>
    <sheet name="Plans" sheetId="42" r:id="rId3"/>
    <sheet name="Sales" sheetId="12" r:id="rId4"/>
    <sheet name="Gas" sheetId="16" r:id="rId5"/>
    <sheet name="Materials" sheetId="2" r:id="rId6"/>
    <sheet name="SiteServices" sheetId="15" r:id="rId7"/>
    <sheet name="R&amp;M" sheetId="6" r:id="rId8"/>
    <sheet name="Interest" sheetId="14" r:id="rId9"/>
    <sheet name="Swap" sheetId="11" r:id="rId10"/>
    <sheet name="loans" sheetId="4" r:id="rId11"/>
    <sheet name="employees" sheetId="13" r:id="rId12"/>
    <sheet name="Depreciation" sheetId="7" r:id="rId13"/>
    <sheet name="Oheads" sheetId="5" r:id="rId14"/>
    <sheet name="Capital budget" sheetId="39" r:id="rId15"/>
    <sheet name="Donation" sheetId="41" r:id="rId16"/>
    <sheet name="P&amp;LPLN" sheetId="35" r:id="rId17"/>
    <sheet name="Balance" sheetId="21" r:id="rId18"/>
    <sheet name="CashFlow" sheetId="38" r:id="rId19"/>
    <sheet name="P&amp;L$" sheetId="8" r:id="rId20"/>
    <sheet name="O&amp;M Budget" sheetId="37" r:id="rId21"/>
  </sheets>
  <definedNames>
    <definedName name="_xlnm.Print_Area" localSheetId="17">Balance!$A$1:$O$103</definedName>
    <definedName name="_xlnm.Print_Area" localSheetId="0">Budget!$A$1:$I$44</definedName>
    <definedName name="_xlnm.Print_Area" localSheetId="14">'Capital budget'!$A$1:$M$32</definedName>
    <definedName name="_xlnm.Print_Area" localSheetId="18">CashFlow!$A$1:$M$41</definedName>
    <definedName name="_xlnm.Print_Area" localSheetId="12">Depreciation!$A$1:$N$35</definedName>
    <definedName name="_xlnm.Print_Area" localSheetId="15">Donation!$A$1:$N$17</definedName>
    <definedName name="_xlnm.Print_Area" localSheetId="11">employees!$A$1:$P$91</definedName>
    <definedName name="_xlnm.Print_Area" localSheetId="1">Factors!$A$1:$N$40</definedName>
    <definedName name="_xlnm.Print_Area" localSheetId="4">Gas!$A$1:$N$59</definedName>
    <definedName name="_xlnm.Print_Area" localSheetId="8">Interest!$A$1:$N$89</definedName>
    <definedName name="_xlnm.Print_Area" localSheetId="10">loans!$A$1:$M$59</definedName>
    <definedName name="_xlnm.Print_Area" localSheetId="5">Materials!$A$1:$O$17</definedName>
    <definedName name="_xlnm.Print_Area" localSheetId="20">'O&amp;M Budget'!$A$1:$P$110</definedName>
    <definedName name="_xlnm.Print_Area" localSheetId="13">Oheads!$A$1:$N$91</definedName>
    <definedName name="_xlnm.Print_Area" localSheetId="19">'P&amp;L$'!$A$1:$O$203</definedName>
    <definedName name="_xlnm.Print_Area" localSheetId="16">'P&amp;LPLN'!$B$1:$O$209</definedName>
    <definedName name="_xlnm.Print_Area" localSheetId="2">Plans!$A$1:$N$62</definedName>
    <definedName name="_xlnm.Print_Area" localSheetId="7">'R&amp;M'!$A$1:$N$31</definedName>
    <definedName name="_xlnm.Print_Area" localSheetId="3">Sales!$A$1:$N$76</definedName>
    <definedName name="_xlnm.Print_Area" localSheetId="6">SiteServices!$A$1:$O$50</definedName>
    <definedName name="_xlnm.Print_Area" localSheetId="9">Swap!$A$1:$N$43</definedName>
  </definedNames>
  <calcPr calcId="0" iterate="1" iterateCount="1000" iterateDelta="1E-4"/>
</workbook>
</file>

<file path=xl/calcChain.xml><?xml version="1.0" encoding="utf-8"?>
<calcChain xmlns="http://schemas.openxmlformats.org/spreadsheetml/2006/main">
  <c r="D8" i="21" l="1"/>
  <c r="E8" i="21"/>
  <c r="F8" i="21"/>
  <c r="G8" i="21"/>
  <c r="H8" i="21"/>
  <c r="I8" i="21"/>
  <c r="J8" i="21"/>
  <c r="K8" i="21"/>
  <c r="L8" i="21"/>
  <c r="M8" i="21"/>
  <c r="N8" i="21"/>
  <c r="O8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D54" i="21"/>
  <c r="E54" i="21"/>
  <c r="F54" i="21"/>
  <c r="G54" i="21"/>
  <c r="H54" i="21"/>
  <c r="I54" i="21"/>
  <c r="J54" i="21"/>
  <c r="K54" i="21"/>
  <c r="L54" i="21"/>
  <c r="M54" i="21"/>
  <c r="N54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D95" i="21"/>
  <c r="E95" i="21"/>
  <c r="F95" i="21"/>
  <c r="G95" i="21"/>
  <c r="H95" i="21"/>
  <c r="I95" i="21"/>
  <c r="J95" i="21"/>
  <c r="K95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G7" i="39"/>
  <c r="H7" i="39"/>
  <c r="G8" i="39"/>
  <c r="H8" i="39"/>
  <c r="G9" i="39"/>
  <c r="H9" i="39"/>
  <c r="G10" i="39"/>
  <c r="H10" i="39"/>
  <c r="G11" i="39"/>
  <c r="H11" i="39"/>
  <c r="G12" i="39"/>
  <c r="H12" i="39"/>
  <c r="G13" i="39"/>
  <c r="H13" i="39"/>
  <c r="G14" i="39"/>
  <c r="H14" i="39"/>
  <c r="G15" i="39"/>
  <c r="H15" i="39"/>
  <c r="G16" i="39"/>
  <c r="G17" i="39"/>
  <c r="G18" i="39"/>
  <c r="G19" i="39"/>
  <c r="H19" i="39"/>
  <c r="G20" i="39"/>
  <c r="H20" i="39"/>
  <c r="G21" i="39"/>
  <c r="H21" i="39"/>
  <c r="G24" i="39"/>
  <c r="G25" i="39"/>
  <c r="B30" i="39"/>
  <c r="D30" i="39"/>
  <c r="G30" i="39"/>
  <c r="B7" i="38"/>
  <c r="C7" i="38"/>
  <c r="D7" i="38"/>
  <c r="E7" i="38"/>
  <c r="F7" i="38"/>
  <c r="G7" i="38"/>
  <c r="H7" i="38"/>
  <c r="I7" i="38"/>
  <c r="J7" i="38"/>
  <c r="K7" i="38"/>
  <c r="L7" i="38"/>
  <c r="M7" i="38"/>
  <c r="B8" i="38"/>
  <c r="C8" i="38"/>
  <c r="D8" i="38"/>
  <c r="E8" i="38"/>
  <c r="F8" i="38"/>
  <c r="G8" i="38"/>
  <c r="H8" i="38"/>
  <c r="I8" i="38"/>
  <c r="J8" i="38"/>
  <c r="K8" i="38"/>
  <c r="L8" i="38"/>
  <c r="M8" i="38"/>
  <c r="B9" i="38"/>
  <c r="C9" i="38"/>
  <c r="D9" i="38"/>
  <c r="E9" i="38"/>
  <c r="F9" i="38"/>
  <c r="G9" i="38"/>
  <c r="H9" i="38"/>
  <c r="I9" i="38"/>
  <c r="J9" i="38"/>
  <c r="K9" i="38"/>
  <c r="L9" i="38"/>
  <c r="M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A1" i="7"/>
  <c r="B10" i="7"/>
  <c r="B15" i="7"/>
  <c r="C15" i="7"/>
  <c r="D15" i="7"/>
  <c r="E15" i="7"/>
  <c r="F15" i="7"/>
  <c r="G15" i="7"/>
  <c r="H15" i="7"/>
  <c r="I15" i="7"/>
  <c r="J15" i="7"/>
  <c r="K15" i="7"/>
  <c r="L15" i="7"/>
  <c r="M15" i="7"/>
  <c r="B18" i="7"/>
  <c r="C18" i="7"/>
  <c r="D18" i="7"/>
  <c r="E18" i="7"/>
  <c r="F18" i="7"/>
  <c r="G18" i="7"/>
  <c r="H18" i="7"/>
  <c r="I18" i="7"/>
  <c r="J18" i="7"/>
  <c r="K18" i="7"/>
  <c r="L18" i="7"/>
  <c r="M18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4" i="7"/>
  <c r="C24" i="7"/>
  <c r="D24" i="7"/>
  <c r="E24" i="7"/>
  <c r="F24" i="7"/>
  <c r="G24" i="7"/>
  <c r="H24" i="7"/>
  <c r="I24" i="7"/>
  <c r="J24" i="7"/>
  <c r="K24" i="7"/>
  <c r="L24" i="7"/>
  <c r="M24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G40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G56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G71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G104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G118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G138" i="7"/>
  <c r="H138" i="7"/>
  <c r="G139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G151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G184" i="7"/>
  <c r="H184" i="7"/>
  <c r="H185" i="7"/>
  <c r="G186" i="7"/>
  <c r="H186" i="7"/>
  <c r="H187" i="7"/>
  <c r="H188" i="7"/>
  <c r="G189" i="7"/>
  <c r="H189" i="7"/>
  <c r="H190" i="7"/>
  <c r="G191" i="7"/>
  <c r="H191" i="7"/>
  <c r="G192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G204" i="7"/>
  <c r="H204" i="7"/>
  <c r="G205" i="7"/>
  <c r="H205" i="7"/>
  <c r="G206" i="7"/>
  <c r="H206" i="7"/>
  <c r="G207" i="7"/>
  <c r="H207" i="7"/>
  <c r="G208" i="7"/>
  <c r="H208" i="7"/>
  <c r="H210" i="7"/>
  <c r="D6" i="41"/>
  <c r="E6" i="41"/>
  <c r="F6" i="41"/>
  <c r="G6" i="41"/>
  <c r="H6" i="41"/>
  <c r="I6" i="41"/>
  <c r="J6" i="41"/>
  <c r="K6" i="41"/>
  <c r="L6" i="41"/>
  <c r="M6" i="41"/>
  <c r="N6" i="41"/>
  <c r="R6" i="41"/>
  <c r="S6" i="41"/>
  <c r="T6" i="41"/>
  <c r="U6" i="41"/>
  <c r="V6" i="41"/>
  <c r="W6" i="41"/>
  <c r="X6" i="41"/>
  <c r="Y6" i="41"/>
  <c r="Z6" i="41"/>
  <c r="AA6" i="41"/>
  <c r="AB6" i="41"/>
  <c r="AF6" i="41"/>
  <c r="AG6" i="41"/>
  <c r="AH6" i="41"/>
  <c r="AI6" i="41"/>
  <c r="AJ6" i="41"/>
  <c r="AK6" i="41"/>
  <c r="AL6" i="41"/>
  <c r="AM6" i="41"/>
  <c r="AN6" i="41"/>
  <c r="AO6" i="41"/>
  <c r="AP6" i="41"/>
  <c r="B1" i="13"/>
  <c r="E5" i="13"/>
  <c r="H5" i="13"/>
  <c r="I5" i="13"/>
  <c r="E6" i="13"/>
  <c r="H6" i="13"/>
  <c r="I6" i="13"/>
  <c r="E7" i="13"/>
  <c r="H7" i="13"/>
  <c r="I7" i="13"/>
  <c r="E8" i="13"/>
  <c r="H8" i="13"/>
  <c r="I8" i="13"/>
  <c r="E9" i="13"/>
  <c r="H9" i="13"/>
  <c r="I9" i="13"/>
  <c r="E10" i="13"/>
  <c r="H10" i="13"/>
  <c r="I10" i="13"/>
  <c r="E11" i="13"/>
  <c r="H11" i="13"/>
  <c r="I11" i="13"/>
  <c r="E12" i="13"/>
  <c r="H12" i="13"/>
  <c r="I12" i="13"/>
  <c r="E13" i="13"/>
  <c r="H13" i="13"/>
  <c r="I13" i="13"/>
  <c r="E14" i="13"/>
  <c r="H14" i="13"/>
  <c r="I14" i="13"/>
  <c r="E15" i="13"/>
  <c r="H15" i="13"/>
  <c r="I15" i="13"/>
  <c r="E16" i="13"/>
  <c r="H16" i="13"/>
  <c r="I16" i="13"/>
  <c r="E17" i="13"/>
  <c r="H17" i="13"/>
  <c r="I17" i="13"/>
  <c r="E18" i="13"/>
  <c r="H18" i="13"/>
  <c r="I18" i="13"/>
  <c r="E19" i="13"/>
  <c r="H19" i="13"/>
  <c r="I19" i="13"/>
  <c r="E20" i="13"/>
  <c r="H20" i="13"/>
  <c r="I20" i="13"/>
  <c r="E21" i="13"/>
  <c r="H21" i="13"/>
  <c r="I21" i="13"/>
  <c r="E22" i="13"/>
  <c r="H22" i="13"/>
  <c r="I22" i="13"/>
  <c r="E23" i="13"/>
  <c r="H23" i="13"/>
  <c r="I23" i="13"/>
  <c r="E24" i="13"/>
  <c r="H24" i="13"/>
  <c r="I24" i="13"/>
  <c r="E25" i="13"/>
  <c r="H25" i="13"/>
  <c r="I25" i="13"/>
  <c r="E26" i="13"/>
  <c r="H26" i="13"/>
  <c r="I26" i="13"/>
  <c r="E27" i="13"/>
  <c r="H27" i="13"/>
  <c r="I27" i="13"/>
  <c r="E28" i="13"/>
  <c r="H28" i="13"/>
  <c r="I28" i="13"/>
  <c r="E29" i="13"/>
  <c r="H29" i="13"/>
  <c r="I29" i="13"/>
  <c r="E30" i="13"/>
  <c r="H30" i="13"/>
  <c r="I30" i="13"/>
  <c r="E31" i="13"/>
  <c r="H31" i="13"/>
  <c r="I31" i="13"/>
  <c r="E32" i="13"/>
  <c r="H32" i="13"/>
  <c r="I32" i="13"/>
  <c r="E33" i="13"/>
  <c r="H33" i="13"/>
  <c r="I33" i="13"/>
  <c r="E34" i="13"/>
  <c r="H34" i="13"/>
  <c r="I34" i="13"/>
  <c r="E35" i="13"/>
  <c r="H35" i="13"/>
  <c r="I35" i="13"/>
  <c r="E36" i="13"/>
  <c r="H36" i="13"/>
  <c r="I36" i="13"/>
  <c r="E37" i="13"/>
  <c r="H37" i="13"/>
  <c r="I37" i="13"/>
  <c r="E38" i="13"/>
  <c r="H38" i="13"/>
  <c r="I38" i="13"/>
  <c r="E39" i="13"/>
  <c r="H39" i="13"/>
  <c r="I39" i="13"/>
  <c r="E40" i="13"/>
  <c r="H40" i="13"/>
  <c r="I40" i="13"/>
  <c r="E41" i="13"/>
  <c r="H41" i="13"/>
  <c r="I41" i="13"/>
  <c r="E42" i="13"/>
  <c r="H42" i="13"/>
  <c r="I42" i="13"/>
  <c r="E43" i="13"/>
  <c r="H43" i="13"/>
  <c r="I43" i="13"/>
  <c r="E44" i="13"/>
  <c r="H44" i="13"/>
  <c r="I44" i="13"/>
  <c r="E45" i="13"/>
  <c r="H45" i="13"/>
  <c r="I45" i="13"/>
  <c r="E46" i="13"/>
  <c r="H46" i="13"/>
  <c r="I46" i="13"/>
  <c r="E47" i="13"/>
  <c r="H47" i="13"/>
  <c r="I47" i="13"/>
  <c r="E48" i="13"/>
  <c r="H48" i="13"/>
  <c r="I48" i="13"/>
  <c r="E49" i="13"/>
  <c r="H49" i="13"/>
  <c r="I49" i="13"/>
  <c r="E50" i="13"/>
  <c r="H50" i="13"/>
  <c r="I50" i="13"/>
  <c r="D52" i="13"/>
  <c r="E52" i="13"/>
  <c r="F52" i="13"/>
  <c r="G52" i="13"/>
  <c r="H52" i="13"/>
  <c r="I52" i="13"/>
  <c r="H56" i="13"/>
  <c r="I56" i="13"/>
  <c r="H57" i="13"/>
  <c r="I57" i="13"/>
  <c r="H58" i="13"/>
  <c r="I58" i="13"/>
  <c r="D60" i="13"/>
  <c r="E60" i="13"/>
  <c r="F60" i="13"/>
  <c r="G60" i="13"/>
  <c r="H60" i="13"/>
  <c r="I60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E72" i="13"/>
  <c r="E73" i="13"/>
  <c r="F73" i="13"/>
  <c r="G73" i="13"/>
  <c r="H73" i="13"/>
  <c r="I73" i="13"/>
  <c r="J73" i="13"/>
  <c r="K73" i="13"/>
  <c r="L73" i="13"/>
  <c r="M73" i="13"/>
  <c r="N73" i="13"/>
  <c r="O73" i="13"/>
  <c r="U73" i="13"/>
  <c r="V73" i="13"/>
  <c r="W73" i="13"/>
  <c r="X73" i="13"/>
  <c r="Y73" i="13"/>
  <c r="Z73" i="13"/>
  <c r="AA73" i="13"/>
  <c r="AB73" i="13"/>
  <c r="AC73" i="13"/>
  <c r="AD73" i="13"/>
  <c r="AE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U75" i="13"/>
  <c r="V75" i="13"/>
  <c r="W75" i="13"/>
  <c r="X75" i="13"/>
  <c r="Y75" i="13"/>
  <c r="Z75" i="13"/>
  <c r="AA75" i="13"/>
  <c r="AB75" i="13"/>
  <c r="AC75" i="13"/>
  <c r="AD75" i="13"/>
  <c r="AE75" i="13"/>
  <c r="D78" i="13"/>
  <c r="P78" i="13"/>
  <c r="D79" i="13"/>
  <c r="P79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P84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U86" i="13"/>
  <c r="V86" i="13"/>
  <c r="W86" i="13"/>
  <c r="X86" i="13"/>
  <c r="Y86" i="13"/>
  <c r="Z86" i="13"/>
  <c r="AA86" i="13"/>
  <c r="AB86" i="13"/>
  <c r="AC86" i="13"/>
  <c r="AD86" i="13"/>
  <c r="AE86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U87" i="13"/>
  <c r="V87" i="13"/>
  <c r="W87" i="13"/>
  <c r="X87" i="13"/>
  <c r="Y87" i="13"/>
  <c r="Z87" i="13"/>
  <c r="AA87" i="13"/>
  <c r="AB87" i="13"/>
  <c r="AC87" i="13"/>
  <c r="AD87" i="13"/>
  <c r="AE87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U88" i="13"/>
  <c r="V88" i="13"/>
  <c r="W88" i="13"/>
  <c r="X88" i="13"/>
  <c r="Y88" i="13"/>
  <c r="Z88" i="13"/>
  <c r="AA88" i="13"/>
  <c r="AB88" i="13"/>
  <c r="AC88" i="13"/>
  <c r="AD88" i="13"/>
  <c r="AE88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U89" i="13"/>
  <c r="V89" i="13"/>
  <c r="W89" i="13"/>
  <c r="X89" i="13"/>
  <c r="Y89" i="13"/>
  <c r="Z89" i="13"/>
  <c r="AA89" i="13"/>
  <c r="AB89" i="13"/>
  <c r="AC89" i="13"/>
  <c r="AD89" i="13"/>
  <c r="AE89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U90" i="13"/>
  <c r="V90" i="13"/>
  <c r="W90" i="13"/>
  <c r="X90" i="13"/>
  <c r="Y90" i="13"/>
  <c r="Z90" i="13"/>
  <c r="AA90" i="13"/>
  <c r="AB90" i="13"/>
  <c r="AC90" i="13"/>
  <c r="AD90" i="13"/>
  <c r="AE90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R7" i="1"/>
  <c r="AG7" i="1"/>
  <c r="C9" i="1"/>
  <c r="R9" i="1"/>
  <c r="AG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C17" i="1"/>
  <c r="R17" i="1"/>
  <c r="AG17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U19" i="1"/>
  <c r="V19" i="1"/>
  <c r="W19" i="1"/>
  <c r="X19" i="1"/>
  <c r="Y19" i="1"/>
  <c r="Z19" i="1"/>
  <c r="AA19" i="1"/>
  <c r="AB19" i="1"/>
  <c r="AC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U25" i="1"/>
  <c r="V25" i="1"/>
  <c r="W25" i="1"/>
  <c r="X25" i="1"/>
  <c r="Y25" i="1"/>
  <c r="Z25" i="1"/>
  <c r="AA25" i="1"/>
  <c r="AB25" i="1"/>
  <c r="AC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B10" i="16"/>
  <c r="C10" i="16"/>
  <c r="D10" i="16"/>
  <c r="E10" i="16"/>
  <c r="F10" i="16"/>
  <c r="G10" i="16"/>
  <c r="H10" i="16"/>
  <c r="I10" i="16"/>
  <c r="J10" i="16"/>
  <c r="K10" i="16"/>
  <c r="L10" i="16"/>
  <c r="M10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N18" i="16"/>
  <c r="AC18" i="16"/>
  <c r="AR18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N22" i="16"/>
  <c r="AC22" i="16"/>
  <c r="AR22" i="16"/>
  <c r="C25" i="16"/>
  <c r="D25" i="16"/>
  <c r="E25" i="16"/>
  <c r="F25" i="16"/>
  <c r="G25" i="16"/>
  <c r="I25" i="16"/>
  <c r="J25" i="16"/>
  <c r="K25" i="16"/>
  <c r="L25" i="16"/>
  <c r="M25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C43" i="16"/>
  <c r="D43" i="16"/>
  <c r="E43" i="16"/>
  <c r="F43" i="16"/>
  <c r="G43" i="16"/>
  <c r="H43" i="16"/>
  <c r="I43" i="16"/>
  <c r="J43" i="16"/>
  <c r="K43" i="16"/>
  <c r="L43" i="16"/>
  <c r="M43" i="16"/>
  <c r="C44" i="16"/>
  <c r="D44" i="16"/>
  <c r="E44" i="16"/>
  <c r="F44" i="16"/>
  <c r="G44" i="16"/>
  <c r="H44" i="16"/>
  <c r="I44" i="16"/>
  <c r="J44" i="16"/>
  <c r="K44" i="16"/>
  <c r="L44" i="16"/>
  <c r="M44" i="16"/>
  <c r="C45" i="16"/>
  <c r="D45" i="16"/>
  <c r="E45" i="16"/>
  <c r="F45" i="16"/>
  <c r="G45" i="16"/>
  <c r="H45" i="16"/>
  <c r="I45" i="16"/>
  <c r="J45" i="16"/>
  <c r="K45" i="16"/>
  <c r="L45" i="16"/>
  <c r="M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C49" i="16"/>
  <c r="D49" i="16"/>
  <c r="E49" i="16"/>
  <c r="F49" i="16"/>
  <c r="G49" i="16"/>
  <c r="H49" i="16"/>
  <c r="I49" i="16"/>
  <c r="J49" i="16"/>
  <c r="K49" i="16"/>
  <c r="L49" i="16"/>
  <c r="M49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C8" i="14"/>
  <c r="D8" i="14"/>
  <c r="E8" i="14"/>
  <c r="F8" i="14"/>
  <c r="G8" i="14"/>
  <c r="H8" i="14"/>
  <c r="I8" i="14"/>
  <c r="J8" i="14"/>
  <c r="K8" i="14"/>
  <c r="L8" i="14"/>
  <c r="M8" i="14"/>
  <c r="N8" i="14"/>
  <c r="Q8" i="14"/>
  <c r="R8" i="14"/>
  <c r="S8" i="14"/>
  <c r="T8" i="14"/>
  <c r="U8" i="14"/>
  <c r="V8" i="14"/>
  <c r="W8" i="14"/>
  <c r="X8" i="14"/>
  <c r="Y8" i="14"/>
  <c r="Z8" i="14"/>
  <c r="AA8" i="14"/>
  <c r="AB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D9" i="14"/>
  <c r="E9" i="14"/>
  <c r="F9" i="14"/>
  <c r="G9" i="14"/>
  <c r="H9" i="14"/>
  <c r="I9" i="14"/>
  <c r="J9" i="14"/>
  <c r="K9" i="14"/>
  <c r="L9" i="14"/>
  <c r="M9" i="14"/>
  <c r="N9" i="14"/>
  <c r="R9" i="14"/>
  <c r="S9" i="14"/>
  <c r="T9" i="14"/>
  <c r="U9" i="14"/>
  <c r="V9" i="14"/>
  <c r="W9" i="14"/>
  <c r="X9" i="14"/>
  <c r="Y9" i="14"/>
  <c r="Z9" i="14"/>
  <c r="AA9" i="14"/>
  <c r="AB9" i="14"/>
  <c r="AF9" i="14"/>
  <c r="AG9" i="14"/>
  <c r="AH9" i="14"/>
  <c r="AI9" i="14"/>
  <c r="AJ9" i="14"/>
  <c r="AK9" i="14"/>
  <c r="AL9" i="14"/>
  <c r="AM9" i="14"/>
  <c r="AN9" i="14"/>
  <c r="AO9" i="14"/>
  <c r="AP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D15" i="14"/>
  <c r="E15" i="14"/>
  <c r="F15" i="14"/>
  <c r="G15" i="14"/>
  <c r="H15" i="14"/>
  <c r="I15" i="14"/>
  <c r="J15" i="14"/>
  <c r="K15" i="14"/>
  <c r="L15" i="14"/>
  <c r="M15" i="14"/>
  <c r="N15" i="14"/>
  <c r="R15" i="14"/>
  <c r="S15" i="14"/>
  <c r="T15" i="14"/>
  <c r="U15" i="14"/>
  <c r="V15" i="14"/>
  <c r="W15" i="14"/>
  <c r="X15" i="14"/>
  <c r="Y15" i="14"/>
  <c r="Z15" i="14"/>
  <c r="AA15" i="14"/>
  <c r="AB15" i="14"/>
  <c r="AF15" i="14"/>
  <c r="AG15" i="14"/>
  <c r="AH15" i="14"/>
  <c r="AI15" i="14"/>
  <c r="AJ15" i="14"/>
  <c r="AK15" i="14"/>
  <c r="AL15" i="14"/>
  <c r="AM15" i="14"/>
  <c r="AN15" i="14"/>
  <c r="AO15" i="14"/>
  <c r="AP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E38" i="14"/>
  <c r="K38" i="14"/>
  <c r="S38" i="14"/>
  <c r="Y38" i="14"/>
  <c r="AG38" i="14"/>
  <c r="AM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R70" i="14"/>
  <c r="S70" i="14"/>
  <c r="T70" i="14"/>
  <c r="U70" i="14"/>
  <c r="V70" i="14"/>
  <c r="W70" i="14"/>
  <c r="X70" i="14"/>
  <c r="Y70" i="14"/>
  <c r="Z70" i="14"/>
  <c r="AA70" i="14"/>
  <c r="AB70" i="14"/>
  <c r="AF70" i="14"/>
  <c r="AG70" i="14"/>
  <c r="AH70" i="14"/>
  <c r="AI70" i="14"/>
  <c r="AJ70" i="14"/>
  <c r="AK70" i="14"/>
  <c r="AL70" i="14"/>
  <c r="AM70" i="14"/>
  <c r="AN70" i="14"/>
  <c r="AO70" i="14"/>
  <c r="AP70" i="14"/>
  <c r="D79" i="14"/>
  <c r="E79" i="14"/>
  <c r="F79" i="14"/>
  <c r="G79" i="14"/>
  <c r="H79" i="14"/>
  <c r="I79" i="14"/>
  <c r="J79" i="14"/>
  <c r="K79" i="14"/>
  <c r="L79" i="14"/>
  <c r="M79" i="14"/>
  <c r="N79" i="14"/>
  <c r="R79" i="14"/>
  <c r="S79" i="14"/>
  <c r="T79" i="14"/>
  <c r="U79" i="14"/>
  <c r="V79" i="14"/>
  <c r="W79" i="14"/>
  <c r="X79" i="14"/>
  <c r="Y79" i="14"/>
  <c r="Z79" i="14"/>
  <c r="AA79" i="14"/>
  <c r="AB79" i="14"/>
  <c r="AF79" i="14"/>
  <c r="AG79" i="14"/>
  <c r="AH79" i="14"/>
  <c r="AI79" i="14"/>
  <c r="AJ79" i="14"/>
  <c r="AK79" i="14"/>
  <c r="AL79" i="14"/>
  <c r="AM79" i="14"/>
  <c r="AN79" i="14"/>
  <c r="AO79" i="14"/>
  <c r="AP79" i="14"/>
  <c r="A1" i="4"/>
  <c r="C11" i="4"/>
  <c r="D11" i="4"/>
  <c r="E11" i="4"/>
  <c r="F11" i="4"/>
  <c r="G11" i="4"/>
  <c r="H11" i="4"/>
  <c r="I11" i="4"/>
  <c r="J11" i="4"/>
  <c r="K11" i="4"/>
  <c r="L11" i="4"/>
  <c r="M11" i="4"/>
  <c r="P11" i="4"/>
  <c r="Q11" i="4"/>
  <c r="R11" i="4"/>
  <c r="S11" i="4"/>
  <c r="T11" i="4"/>
  <c r="U11" i="4"/>
  <c r="V11" i="4"/>
  <c r="W11" i="4"/>
  <c r="X11" i="4"/>
  <c r="Y11" i="4"/>
  <c r="Z11" i="4"/>
  <c r="AA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G12" i="4"/>
  <c r="M12" i="4"/>
  <c r="U12" i="4"/>
  <c r="AA12" i="4"/>
  <c r="AI12" i="4"/>
  <c r="AO12" i="4"/>
  <c r="B13" i="4"/>
  <c r="C13" i="4"/>
  <c r="D13" i="4"/>
  <c r="E13" i="4"/>
  <c r="F13" i="4"/>
  <c r="G13" i="4"/>
  <c r="H13" i="4"/>
  <c r="I13" i="4"/>
  <c r="J13" i="4"/>
  <c r="K13" i="4"/>
  <c r="L13" i="4"/>
  <c r="M13" i="4"/>
  <c r="P13" i="4"/>
  <c r="Q13" i="4"/>
  <c r="R13" i="4"/>
  <c r="S13" i="4"/>
  <c r="T13" i="4"/>
  <c r="U13" i="4"/>
  <c r="V13" i="4"/>
  <c r="W13" i="4"/>
  <c r="X13" i="4"/>
  <c r="Y13" i="4"/>
  <c r="Z13" i="4"/>
  <c r="AA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C18" i="4"/>
  <c r="D18" i="4"/>
  <c r="E18" i="4"/>
  <c r="F18" i="4"/>
  <c r="G18" i="4"/>
  <c r="H18" i="4"/>
  <c r="I18" i="4"/>
  <c r="J18" i="4"/>
  <c r="K18" i="4"/>
  <c r="L18" i="4"/>
  <c r="M18" i="4"/>
  <c r="P18" i="4"/>
  <c r="Q18" i="4"/>
  <c r="R18" i="4"/>
  <c r="S18" i="4"/>
  <c r="T18" i="4"/>
  <c r="U18" i="4"/>
  <c r="V18" i="4"/>
  <c r="W18" i="4"/>
  <c r="X18" i="4"/>
  <c r="Y18" i="4"/>
  <c r="Z18" i="4"/>
  <c r="AA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G19" i="4"/>
  <c r="M19" i="4"/>
  <c r="U19" i="4"/>
  <c r="AA19" i="4"/>
  <c r="AI19" i="4"/>
  <c r="AO19" i="4"/>
  <c r="B20" i="4"/>
  <c r="C20" i="4"/>
  <c r="D20" i="4"/>
  <c r="E20" i="4"/>
  <c r="F20" i="4"/>
  <c r="G20" i="4"/>
  <c r="H20" i="4"/>
  <c r="I20" i="4"/>
  <c r="J20" i="4"/>
  <c r="K20" i="4"/>
  <c r="L20" i="4"/>
  <c r="M20" i="4"/>
  <c r="P20" i="4"/>
  <c r="Q20" i="4"/>
  <c r="R20" i="4"/>
  <c r="S20" i="4"/>
  <c r="T20" i="4"/>
  <c r="U20" i="4"/>
  <c r="V20" i="4"/>
  <c r="W20" i="4"/>
  <c r="X20" i="4"/>
  <c r="Y20" i="4"/>
  <c r="Z20" i="4"/>
  <c r="AA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C24" i="4"/>
  <c r="D24" i="4"/>
  <c r="E24" i="4"/>
  <c r="F24" i="4"/>
  <c r="G24" i="4"/>
  <c r="H24" i="4"/>
  <c r="I24" i="4"/>
  <c r="J24" i="4"/>
  <c r="K24" i="4"/>
  <c r="L24" i="4"/>
  <c r="M24" i="4"/>
  <c r="P24" i="4"/>
  <c r="Q24" i="4"/>
  <c r="R24" i="4"/>
  <c r="S24" i="4"/>
  <c r="T24" i="4"/>
  <c r="U24" i="4"/>
  <c r="V24" i="4"/>
  <c r="W24" i="4"/>
  <c r="X24" i="4"/>
  <c r="Y24" i="4"/>
  <c r="Z24" i="4"/>
  <c r="AA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B26" i="4"/>
  <c r="C26" i="4"/>
  <c r="D26" i="4"/>
  <c r="E26" i="4"/>
  <c r="F26" i="4"/>
  <c r="G26" i="4"/>
  <c r="H26" i="4"/>
  <c r="I26" i="4"/>
  <c r="J26" i="4"/>
  <c r="K26" i="4"/>
  <c r="L26" i="4"/>
  <c r="M26" i="4"/>
  <c r="P26" i="4"/>
  <c r="Q26" i="4"/>
  <c r="R26" i="4"/>
  <c r="S26" i="4"/>
  <c r="T26" i="4"/>
  <c r="U26" i="4"/>
  <c r="V26" i="4"/>
  <c r="W26" i="4"/>
  <c r="X26" i="4"/>
  <c r="Y26" i="4"/>
  <c r="Z26" i="4"/>
  <c r="AA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B35" i="4"/>
  <c r="C35" i="4"/>
  <c r="D35" i="4"/>
  <c r="E35" i="4"/>
  <c r="F35" i="4"/>
  <c r="G35" i="4"/>
  <c r="H35" i="4"/>
  <c r="I35" i="4"/>
  <c r="J35" i="4"/>
  <c r="K35" i="4"/>
  <c r="L35" i="4"/>
  <c r="M35" i="4"/>
  <c r="P35" i="4"/>
  <c r="Q35" i="4"/>
  <c r="R35" i="4"/>
  <c r="S35" i="4"/>
  <c r="T35" i="4"/>
  <c r="U35" i="4"/>
  <c r="V35" i="4"/>
  <c r="W35" i="4"/>
  <c r="X35" i="4"/>
  <c r="Y35" i="4"/>
  <c r="Z35" i="4"/>
  <c r="AA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B36" i="4"/>
  <c r="C36" i="4"/>
  <c r="D36" i="4"/>
  <c r="E36" i="4"/>
  <c r="F36" i="4"/>
  <c r="G36" i="4"/>
  <c r="H36" i="4"/>
  <c r="I36" i="4"/>
  <c r="J36" i="4"/>
  <c r="K36" i="4"/>
  <c r="L36" i="4"/>
  <c r="M36" i="4"/>
  <c r="P36" i="4"/>
  <c r="Q36" i="4"/>
  <c r="R36" i="4"/>
  <c r="S36" i="4"/>
  <c r="T36" i="4"/>
  <c r="U36" i="4"/>
  <c r="V36" i="4"/>
  <c r="W36" i="4"/>
  <c r="X36" i="4"/>
  <c r="Y36" i="4"/>
  <c r="Z36" i="4"/>
  <c r="AA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B37" i="4"/>
  <c r="C37" i="4"/>
  <c r="D37" i="4"/>
  <c r="E37" i="4"/>
  <c r="F37" i="4"/>
  <c r="G37" i="4"/>
  <c r="H37" i="4"/>
  <c r="I37" i="4"/>
  <c r="J37" i="4"/>
  <c r="K37" i="4"/>
  <c r="L37" i="4"/>
  <c r="M37" i="4"/>
  <c r="P37" i="4"/>
  <c r="Q37" i="4"/>
  <c r="R37" i="4"/>
  <c r="S37" i="4"/>
  <c r="T37" i="4"/>
  <c r="U37" i="4"/>
  <c r="V37" i="4"/>
  <c r="W37" i="4"/>
  <c r="X37" i="4"/>
  <c r="Y37" i="4"/>
  <c r="Z37" i="4"/>
  <c r="AA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B38" i="4"/>
  <c r="C38" i="4"/>
  <c r="D38" i="4"/>
  <c r="E38" i="4"/>
  <c r="F38" i="4"/>
  <c r="G38" i="4"/>
  <c r="H38" i="4"/>
  <c r="I38" i="4"/>
  <c r="J38" i="4"/>
  <c r="K38" i="4"/>
  <c r="L38" i="4"/>
  <c r="M38" i="4"/>
  <c r="P38" i="4"/>
  <c r="Q38" i="4"/>
  <c r="R38" i="4"/>
  <c r="S38" i="4"/>
  <c r="T38" i="4"/>
  <c r="U38" i="4"/>
  <c r="V38" i="4"/>
  <c r="W38" i="4"/>
  <c r="X38" i="4"/>
  <c r="Y38" i="4"/>
  <c r="Z38" i="4"/>
  <c r="AA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B43" i="4"/>
  <c r="C43" i="4"/>
  <c r="D43" i="4"/>
  <c r="E43" i="4"/>
  <c r="F43" i="4"/>
  <c r="G43" i="4"/>
  <c r="H43" i="4"/>
  <c r="I43" i="4"/>
  <c r="J43" i="4"/>
  <c r="K43" i="4"/>
  <c r="L43" i="4"/>
  <c r="M43" i="4"/>
  <c r="P43" i="4"/>
  <c r="Q43" i="4"/>
  <c r="R43" i="4"/>
  <c r="S43" i="4"/>
  <c r="T43" i="4"/>
  <c r="U43" i="4"/>
  <c r="V43" i="4"/>
  <c r="W43" i="4"/>
  <c r="X43" i="4"/>
  <c r="Y43" i="4"/>
  <c r="Z43" i="4"/>
  <c r="AA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B44" i="4"/>
  <c r="C44" i="4"/>
  <c r="D44" i="4"/>
  <c r="E44" i="4"/>
  <c r="F44" i="4"/>
  <c r="G44" i="4"/>
  <c r="H44" i="4"/>
  <c r="I44" i="4"/>
  <c r="J44" i="4"/>
  <c r="K44" i="4"/>
  <c r="L44" i="4"/>
  <c r="M44" i="4"/>
  <c r="P44" i="4"/>
  <c r="Q44" i="4"/>
  <c r="R44" i="4"/>
  <c r="S44" i="4"/>
  <c r="U44" i="4"/>
  <c r="V44" i="4"/>
  <c r="W44" i="4"/>
  <c r="X44" i="4"/>
  <c r="Y44" i="4"/>
  <c r="AA44" i="4"/>
  <c r="AD44" i="4"/>
  <c r="AE44" i="4"/>
  <c r="AF44" i="4"/>
  <c r="AG44" i="4"/>
  <c r="AI44" i="4"/>
  <c r="AJ44" i="4"/>
  <c r="AK44" i="4"/>
  <c r="AL44" i="4"/>
  <c r="AM44" i="4"/>
  <c r="A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Q45" i="4"/>
  <c r="R45" i="4"/>
  <c r="S45" i="4"/>
  <c r="T45" i="4"/>
  <c r="U45" i="4"/>
  <c r="V45" i="4"/>
  <c r="W45" i="4"/>
  <c r="X45" i="4"/>
  <c r="Y45" i="4"/>
  <c r="Z45" i="4"/>
  <c r="AA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B46" i="4"/>
  <c r="C46" i="4"/>
  <c r="D46" i="4"/>
  <c r="E46" i="4"/>
  <c r="F46" i="4"/>
  <c r="G46" i="4"/>
  <c r="H46" i="4"/>
  <c r="I46" i="4"/>
  <c r="J46" i="4"/>
  <c r="K46" i="4"/>
  <c r="L46" i="4"/>
  <c r="M46" i="4"/>
  <c r="P46" i="4"/>
  <c r="Q46" i="4"/>
  <c r="R46" i="4"/>
  <c r="S46" i="4"/>
  <c r="T46" i="4"/>
  <c r="U46" i="4"/>
  <c r="V46" i="4"/>
  <c r="W46" i="4"/>
  <c r="X46" i="4"/>
  <c r="Y46" i="4"/>
  <c r="Z46" i="4"/>
  <c r="AA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B50" i="4"/>
  <c r="C50" i="4"/>
  <c r="D50" i="4"/>
  <c r="E50" i="4"/>
  <c r="F50" i="4"/>
  <c r="G50" i="4"/>
  <c r="H50" i="4"/>
  <c r="I50" i="4"/>
  <c r="J50" i="4"/>
  <c r="K50" i="4"/>
  <c r="L50" i="4"/>
  <c r="M50" i="4"/>
  <c r="P50" i="4"/>
  <c r="Q50" i="4"/>
  <c r="R50" i="4"/>
  <c r="S50" i="4"/>
  <c r="T50" i="4"/>
  <c r="U50" i="4"/>
  <c r="V50" i="4"/>
  <c r="W50" i="4"/>
  <c r="X50" i="4"/>
  <c r="Y50" i="4"/>
  <c r="Z50" i="4"/>
  <c r="AA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B51" i="4"/>
  <c r="C51" i="4"/>
  <c r="D51" i="4"/>
  <c r="E51" i="4"/>
  <c r="F51" i="4"/>
  <c r="G51" i="4"/>
  <c r="H51" i="4"/>
  <c r="I51" i="4"/>
  <c r="J51" i="4"/>
  <c r="K51" i="4"/>
  <c r="L51" i="4"/>
  <c r="M51" i="4"/>
  <c r="P51" i="4"/>
  <c r="Q51" i="4"/>
  <c r="R51" i="4"/>
  <c r="S51" i="4"/>
  <c r="T51" i="4"/>
  <c r="U51" i="4"/>
  <c r="V51" i="4"/>
  <c r="W51" i="4"/>
  <c r="X51" i="4"/>
  <c r="Y51" i="4"/>
  <c r="Z51" i="4"/>
  <c r="AA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P52" i="4"/>
  <c r="Q52" i="4"/>
  <c r="R52" i="4"/>
  <c r="S52" i="4"/>
  <c r="T52" i="4"/>
  <c r="U52" i="4"/>
  <c r="V52" i="4"/>
  <c r="W52" i="4"/>
  <c r="X52" i="4"/>
  <c r="Y52" i="4"/>
  <c r="Z52" i="4"/>
  <c r="AA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B53" i="4"/>
  <c r="C53" i="4"/>
  <c r="D53" i="4"/>
  <c r="E53" i="4"/>
  <c r="F53" i="4"/>
  <c r="G53" i="4"/>
  <c r="H53" i="4"/>
  <c r="I53" i="4"/>
  <c r="J53" i="4"/>
  <c r="K53" i="4"/>
  <c r="L53" i="4"/>
  <c r="M53" i="4"/>
  <c r="P53" i="4"/>
  <c r="Q53" i="4"/>
  <c r="R53" i="4"/>
  <c r="S53" i="4"/>
  <c r="T53" i="4"/>
  <c r="U53" i="4"/>
  <c r="V53" i="4"/>
  <c r="W53" i="4"/>
  <c r="X53" i="4"/>
  <c r="Y53" i="4"/>
  <c r="Z53" i="4"/>
  <c r="AA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N55" i="4"/>
  <c r="B56" i="4"/>
  <c r="C56" i="4"/>
  <c r="D56" i="4"/>
  <c r="E56" i="4"/>
  <c r="F56" i="4"/>
  <c r="G56" i="4"/>
  <c r="H56" i="4"/>
  <c r="I56" i="4"/>
  <c r="J56" i="4"/>
  <c r="K56" i="4"/>
  <c r="L56" i="4"/>
  <c r="M56" i="4"/>
  <c r="P56" i="4"/>
  <c r="Q56" i="4"/>
  <c r="R56" i="4"/>
  <c r="S56" i="4"/>
  <c r="T56" i="4"/>
  <c r="U56" i="4"/>
  <c r="V56" i="4"/>
  <c r="W56" i="4"/>
  <c r="X56" i="4"/>
  <c r="Y56" i="4"/>
  <c r="Z56" i="4"/>
  <c r="AA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D7" i="2"/>
  <c r="E7" i="2"/>
  <c r="F7" i="2"/>
  <c r="G7" i="2"/>
  <c r="H7" i="2"/>
  <c r="I7" i="2"/>
  <c r="J7" i="2"/>
  <c r="K7" i="2"/>
  <c r="L7" i="2"/>
  <c r="M7" i="2"/>
  <c r="N7" i="2"/>
  <c r="O7" i="2"/>
  <c r="AD7" i="2"/>
  <c r="AS7" i="2"/>
  <c r="E8" i="2"/>
  <c r="G8" i="2"/>
  <c r="I8" i="2"/>
  <c r="J8" i="2"/>
  <c r="K8" i="2"/>
  <c r="M8" i="2"/>
  <c r="O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D9" i="2"/>
  <c r="E9" i="2"/>
  <c r="F9" i="2"/>
  <c r="G9" i="2"/>
  <c r="H9" i="2"/>
  <c r="I9" i="2"/>
  <c r="J9" i="2"/>
  <c r="K9" i="2"/>
  <c r="L9" i="2"/>
  <c r="M9" i="2"/>
  <c r="N9" i="2"/>
  <c r="O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D10" i="2"/>
  <c r="E10" i="2"/>
  <c r="F10" i="2"/>
  <c r="G10" i="2"/>
  <c r="H10" i="2"/>
  <c r="I10" i="2"/>
  <c r="J10" i="2"/>
  <c r="K10" i="2"/>
  <c r="L10" i="2"/>
  <c r="M10" i="2"/>
  <c r="N10" i="2"/>
  <c r="O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D11" i="2"/>
  <c r="E11" i="2"/>
  <c r="F11" i="2"/>
  <c r="G11" i="2"/>
  <c r="H11" i="2"/>
  <c r="I11" i="2"/>
  <c r="J11" i="2"/>
  <c r="K11" i="2"/>
  <c r="L11" i="2"/>
  <c r="M11" i="2"/>
  <c r="N11" i="2"/>
  <c r="O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D12" i="2"/>
  <c r="E12" i="2"/>
  <c r="F12" i="2"/>
  <c r="G12" i="2"/>
  <c r="H12" i="2"/>
  <c r="I12" i="2"/>
  <c r="J12" i="2"/>
  <c r="K12" i="2"/>
  <c r="L12" i="2"/>
  <c r="M12" i="2"/>
  <c r="N12" i="2"/>
  <c r="O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D13" i="2"/>
  <c r="E13" i="2"/>
  <c r="F13" i="2"/>
  <c r="G13" i="2"/>
  <c r="H13" i="2"/>
  <c r="I13" i="2"/>
  <c r="J13" i="2"/>
  <c r="K13" i="2"/>
  <c r="L13" i="2"/>
  <c r="M13" i="2"/>
  <c r="N13" i="2"/>
  <c r="O13" i="2"/>
  <c r="S13" i="2"/>
  <c r="T13" i="2"/>
  <c r="U13" i="2"/>
  <c r="V13" i="2"/>
  <c r="W13" i="2"/>
  <c r="X13" i="2"/>
  <c r="Y13" i="2"/>
  <c r="Z13" i="2"/>
  <c r="AA13" i="2"/>
  <c r="AB13" i="2"/>
  <c r="AC13" i="2"/>
  <c r="AD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D17" i="2"/>
  <c r="E17" i="2"/>
  <c r="F17" i="2"/>
  <c r="G17" i="2"/>
  <c r="H17" i="2"/>
  <c r="I17" i="2"/>
  <c r="J17" i="2"/>
  <c r="K17" i="2"/>
  <c r="L17" i="2"/>
  <c r="M17" i="2"/>
  <c r="N17" i="2"/>
  <c r="O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D43" i="37"/>
  <c r="E43" i="37"/>
  <c r="F43" i="37"/>
  <c r="G43" i="37"/>
  <c r="H43" i="37"/>
  <c r="I43" i="37"/>
  <c r="J43" i="37"/>
  <c r="K43" i="37"/>
  <c r="L43" i="37"/>
  <c r="M43" i="37"/>
  <c r="N43" i="37"/>
  <c r="O43" i="37"/>
  <c r="P43" i="37"/>
  <c r="D44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D46" i="37"/>
  <c r="E46" i="37"/>
  <c r="F46" i="37"/>
  <c r="G46" i="37"/>
  <c r="H46" i="37"/>
  <c r="I46" i="37"/>
  <c r="J46" i="37"/>
  <c r="K46" i="37"/>
  <c r="L46" i="37"/>
  <c r="M46" i="37"/>
  <c r="N46" i="37"/>
  <c r="O46" i="37"/>
  <c r="P46" i="37"/>
  <c r="D47" i="37"/>
  <c r="E47" i="37"/>
  <c r="F47" i="37"/>
  <c r="G47" i="37"/>
  <c r="H47" i="37"/>
  <c r="I47" i="37"/>
  <c r="J47" i="37"/>
  <c r="K47" i="37"/>
  <c r="L47" i="37"/>
  <c r="M47" i="37"/>
  <c r="N47" i="37"/>
  <c r="O47" i="37"/>
  <c r="P47" i="37"/>
  <c r="D48" i="37"/>
  <c r="E48" i="37"/>
  <c r="F48" i="37"/>
  <c r="G48" i="37"/>
  <c r="H48" i="37"/>
  <c r="I48" i="37"/>
  <c r="J48" i="37"/>
  <c r="K48" i="37"/>
  <c r="L48" i="37"/>
  <c r="M48" i="37"/>
  <c r="N48" i="37"/>
  <c r="O48" i="37"/>
  <c r="P48" i="37"/>
  <c r="A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D60" i="37"/>
  <c r="E60" i="37"/>
  <c r="F60" i="37"/>
  <c r="G60" i="37"/>
  <c r="H60" i="37"/>
  <c r="I60" i="37"/>
  <c r="J60" i="37"/>
  <c r="K60" i="37"/>
  <c r="L60" i="37"/>
  <c r="M60" i="37"/>
  <c r="N60" i="37"/>
  <c r="O60" i="37"/>
  <c r="P60" i="37"/>
  <c r="D61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D62" i="37"/>
  <c r="E62" i="37"/>
  <c r="F62" i="37"/>
  <c r="G62" i="37"/>
  <c r="H62" i="37"/>
  <c r="I62" i="37"/>
  <c r="J62" i="37"/>
  <c r="K62" i="37"/>
  <c r="L62" i="37"/>
  <c r="M62" i="37"/>
  <c r="N62" i="37"/>
  <c r="O62" i="37"/>
  <c r="P62" i="37"/>
  <c r="D63" i="37"/>
  <c r="E63" i="37"/>
  <c r="F63" i="37"/>
  <c r="G63" i="37"/>
  <c r="H63" i="37"/>
  <c r="I63" i="37"/>
  <c r="J63" i="37"/>
  <c r="K63" i="37"/>
  <c r="L63" i="37"/>
  <c r="M63" i="37"/>
  <c r="N63" i="37"/>
  <c r="O63" i="37"/>
  <c r="P63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P64" i="37"/>
  <c r="D65" i="37"/>
  <c r="E65" i="37"/>
  <c r="F65" i="37"/>
  <c r="G65" i="37"/>
  <c r="H65" i="37"/>
  <c r="I65" i="37"/>
  <c r="J65" i="37"/>
  <c r="K65" i="37"/>
  <c r="L65" i="37"/>
  <c r="M65" i="37"/>
  <c r="N65" i="37"/>
  <c r="O65" i="37"/>
  <c r="P65" i="37"/>
  <c r="D66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D67" i="37"/>
  <c r="E67" i="37"/>
  <c r="F67" i="37"/>
  <c r="G67" i="37"/>
  <c r="H67" i="37"/>
  <c r="I67" i="37"/>
  <c r="J67" i="37"/>
  <c r="K67" i="37"/>
  <c r="L67" i="37"/>
  <c r="M67" i="37"/>
  <c r="N67" i="37"/>
  <c r="O67" i="37"/>
  <c r="P67" i="37"/>
  <c r="D68" i="37"/>
  <c r="E68" i="37"/>
  <c r="F68" i="37"/>
  <c r="G68" i="37"/>
  <c r="H68" i="37"/>
  <c r="I68" i="37"/>
  <c r="J68" i="37"/>
  <c r="K68" i="37"/>
  <c r="L68" i="37"/>
  <c r="M68" i="37"/>
  <c r="N68" i="37"/>
  <c r="O68" i="37"/>
  <c r="P68" i="37"/>
  <c r="D69" i="37"/>
  <c r="E69" i="37"/>
  <c r="F69" i="37"/>
  <c r="G69" i="37"/>
  <c r="H69" i="37"/>
  <c r="I69" i="37"/>
  <c r="J69" i="37"/>
  <c r="K69" i="37"/>
  <c r="L69" i="37"/>
  <c r="M69" i="37"/>
  <c r="N69" i="37"/>
  <c r="O69" i="37"/>
  <c r="P69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D77" i="37"/>
  <c r="E77" i="37"/>
  <c r="F77" i="37"/>
  <c r="G77" i="37"/>
  <c r="H77" i="37"/>
  <c r="I77" i="37"/>
  <c r="J77" i="37"/>
  <c r="K77" i="37"/>
  <c r="L77" i="37"/>
  <c r="M77" i="37"/>
  <c r="N77" i="37"/>
  <c r="O77" i="37"/>
  <c r="P77" i="37"/>
  <c r="D78" i="37"/>
  <c r="E78" i="37"/>
  <c r="F78" i="37"/>
  <c r="G78" i="37"/>
  <c r="H78" i="37"/>
  <c r="I78" i="37"/>
  <c r="J78" i="37"/>
  <c r="K78" i="37"/>
  <c r="L78" i="37"/>
  <c r="M78" i="37"/>
  <c r="N78" i="37"/>
  <c r="O78" i="37"/>
  <c r="P78" i="37"/>
  <c r="D79" i="37"/>
  <c r="E79" i="37"/>
  <c r="F79" i="37"/>
  <c r="G79" i="37"/>
  <c r="H79" i="37"/>
  <c r="I79" i="37"/>
  <c r="J79" i="37"/>
  <c r="K79" i="37"/>
  <c r="L79" i="37"/>
  <c r="M79" i="37"/>
  <c r="N79" i="37"/>
  <c r="O79" i="37"/>
  <c r="P79" i="37"/>
  <c r="D80" i="37"/>
  <c r="E80" i="37"/>
  <c r="F80" i="37"/>
  <c r="G80" i="37"/>
  <c r="H80" i="37"/>
  <c r="I80" i="37"/>
  <c r="J80" i="37"/>
  <c r="K80" i="37"/>
  <c r="L80" i="37"/>
  <c r="M80" i="37"/>
  <c r="N80" i="37"/>
  <c r="O80" i="37"/>
  <c r="P80" i="37"/>
  <c r="D81" i="37"/>
  <c r="E81" i="37"/>
  <c r="F81" i="37"/>
  <c r="G81" i="37"/>
  <c r="H81" i="37"/>
  <c r="I81" i="37"/>
  <c r="J81" i="37"/>
  <c r="K81" i="37"/>
  <c r="L81" i="37"/>
  <c r="M81" i="37"/>
  <c r="N81" i="37"/>
  <c r="O81" i="37"/>
  <c r="P81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D90" i="37"/>
  <c r="E90" i="37"/>
  <c r="F90" i="37"/>
  <c r="G90" i="37"/>
  <c r="H90" i="37"/>
  <c r="I90" i="37"/>
  <c r="J90" i="37"/>
  <c r="K90" i="37"/>
  <c r="L90" i="37"/>
  <c r="M90" i="37"/>
  <c r="N90" i="37"/>
  <c r="O90" i="37"/>
  <c r="P90" i="37"/>
  <c r="D91" i="37"/>
  <c r="E91" i="37"/>
  <c r="F91" i="37"/>
  <c r="G91" i="37"/>
  <c r="H91" i="37"/>
  <c r="I91" i="37"/>
  <c r="J91" i="37"/>
  <c r="K91" i="37"/>
  <c r="L91" i="37"/>
  <c r="M91" i="37"/>
  <c r="N91" i="37"/>
  <c r="O91" i="37"/>
  <c r="P91" i="37"/>
  <c r="D94" i="37"/>
  <c r="E94" i="37"/>
  <c r="F94" i="37"/>
  <c r="G94" i="37"/>
  <c r="H94" i="37"/>
  <c r="I94" i="37"/>
  <c r="J94" i="37"/>
  <c r="K94" i="37"/>
  <c r="L94" i="37"/>
  <c r="M94" i="37"/>
  <c r="N94" i="37"/>
  <c r="O94" i="37"/>
  <c r="P94" i="37"/>
  <c r="D95" i="37"/>
  <c r="E95" i="37"/>
  <c r="F95" i="37"/>
  <c r="G95" i="37"/>
  <c r="H95" i="37"/>
  <c r="I95" i="37"/>
  <c r="J95" i="37"/>
  <c r="K95" i="37"/>
  <c r="L95" i="37"/>
  <c r="M95" i="37"/>
  <c r="N95" i="37"/>
  <c r="O95" i="37"/>
  <c r="P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D99" i="37"/>
  <c r="E99" i="37"/>
  <c r="F99" i="37"/>
  <c r="G99" i="37"/>
  <c r="H99" i="37"/>
  <c r="I99" i="37"/>
  <c r="J99" i="37"/>
  <c r="K99" i="37"/>
  <c r="L99" i="37"/>
  <c r="M99" i="37"/>
  <c r="N99" i="37"/>
  <c r="O99" i="37"/>
  <c r="P99" i="37"/>
  <c r="D100" i="37"/>
  <c r="E100" i="37"/>
  <c r="F100" i="37"/>
  <c r="G100" i="37"/>
  <c r="H100" i="37"/>
  <c r="I100" i="37"/>
  <c r="J100" i="37"/>
  <c r="K100" i="37"/>
  <c r="L100" i="37"/>
  <c r="M100" i="37"/>
  <c r="N100" i="37"/>
  <c r="O100" i="37"/>
  <c r="P100" i="37"/>
  <c r="D101" i="37"/>
  <c r="E101" i="37"/>
  <c r="F101" i="37"/>
  <c r="G101" i="37"/>
  <c r="H101" i="37"/>
  <c r="I101" i="37"/>
  <c r="J101" i="37"/>
  <c r="K101" i="37"/>
  <c r="L101" i="37"/>
  <c r="M101" i="37"/>
  <c r="N101" i="37"/>
  <c r="O101" i="37"/>
  <c r="P101" i="37"/>
  <c r="D104" i="37"/>
  <c r="E104" i="37"/>
  <c r="F104" i="37"/>
  <c r="G104" i="37"/>
  <c r="H104" i="37"/>
  <c r="I104" i="37"/>
  <c r="J104" i="37"/>
  <c r="K104" i="37"/>
  <c r="L104" i="37"/>
  <c r="M104" i="37"/>
  <c r="N104" i="37"/>
  <c r="O104" i="37"/>
  <c r="P104" i="37"/>
  <c r="C107" i="37"/>
  <c r="D107" i="37"/>
  <c r="E107" i="37"/>
  <c r="F107" i="37"/>
  <c r="G107" i="37"/>
  <c r="H107" i="37"/>
  <c r="I107" i="37"/>
  <c r="J107" i="37"/>
  <c r="K107" i="37"/>
  <c r="L107" i="37"/>
  <c r="M107" i="37"/>
  <c r="N107" i="37"/>
  <c r="O107" i="37"/>
  <c r="P107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C8" i="5"/>
  <c r="D8" i="5"/>
  <c r="E8" i="5"/>
  <c r="F8" i="5"/>
  <c r="G8" i="5"/>
  <c r="H8" i="5"/>
  <c r="I8" i="5"/>
  <c r="J8" i="5"/>
  <c r="K8" i="5"/>
  <c r="L8" i="5"/>
  <c r="M8" i="5"/>
  <c r="N8" i="5"/>
  <c r="Q8" i="5"/>
  <c r="R8" i="5"/>
  <c r="S8" i="5"/>
  <c r="T8" i="5"/>
  <c r="U8" i="5"/>
  <c r="V8" i="5"/>
  <c r="W8" i="5"/>
  <c r="X8" i="5"/>
  <c r="Y8" i="5"/>
  <c r="Z8" i="5"/>
  <c r="AA8" i="5"/>
  <c r="AB8" i="5"/>
  <c r="AE8" i="5"/>
  <c r="AF8" i="5"/>
  <c r="AG8" i="5"/>
  <c r="AH8" i="5"/>
  <c r="AI8" i="5"/>
  <c r="AJ8" i="5"/>
  <c r="AK8" i="5"/>
  <c r="AL8" i="5"/>
  <c r="AM8" i="5"/>
  <c r="AN8" i="5"/>
  <c r="AO8" i="5"/>
  <c r="AP8" i="5"/>
  <c r="C9" i="5"/>
  <c r="D9" i="5"/>
  <c r="E9" i="5"/>
  <c r="F9" i="5"/>
  <c r="G9" i="5"/>
  <c r="H9" i="5"/>
  <c r="I9" i="5"/>
  <c r="J9" i="5"/>
  <c r="K9" i="5"/>
  <c r="L9" i="5"/>
  <c r="M9" i="5"/>
  <c r="N9" i="5"/>
  <c r="Q9" i="5"/>
  <c r="R9" i="5"/>
  <c r="S9" i="5"/>
  <c r="T9" i="5"/>
  <c r="U9" i="5"/>
  <c r="V9" i="5"/>
  <c r="W9" i="5"/>
  <c r="X9" i="5"/>
  <c r="Y9" i="5"/>
  <c r="Z9" i="5"/>
  <c r="AA9" i="5"/>
  <c r="AB9" i="5"/>
  <c r="AE9" i="5"/>
  <c r="AF9" i="5"/>
  <c r="AG9" i="5"/>
  <c r="AH9" i="5"/>
  <c r="AI9" i="5"/>
  <c r="AJ9" i="5"/>
  <c r="AK9" i="5"/>
  <c r="AL9" i="5"/>
  <c r="AM9" i="5"/>
  <c r="AN9" i="5"/>
  <c r="AO9" i="5"/>
  <c r="AP9" i="5"/>
  <c r="D10" i="5"/>
  <c r="E10" i="5"/>
  <c r="F10" i="5"/>
  <c r="G10" i="5"/>
  <c r="H10" i="5"/>
  <c r="I10" i="5"/>
  <c r="J10" i="5"/>
  <c r="K10" i="5"/>
  <c r="L10" i="5"/>
  <c r="M10" i="5"/>
  <c r="N10" i="5"/>
  <c r="R10" i="5"/>
  <c r="S10" i="5"/>
  <c r="T10" i="5"/>
  <c r="U10" i="5"/>
  <c r="V10" i="5"/>
  <c r="W10" i="5"/>
  <c r="X10" i="5"/>
  <c r="Y10" i="5"/>
  <c r="Z10" i="5"/>
  <c r="AA10" i="5"/>
  <c r="AB10" i="5"/>
  <c r="AF10" i="5"/>
  <c r="AG10" i="5"/>
  <c r="AH10" i="5"/>
  <c r="AI10" i="5"/>
  <c r="AJ10" i="5"/>
  <c r="AK10" i="5"/>
  <c r="AL10" i="5"/>
  <c r="AM10" i="5"/>
  <c r="AN10" i="5"/>
  <c r="AO10" i="5"/>
  <c r="AP10" i="5"/>
  <c r="D11" i="5"/>
  <c r="E11" i="5"/>
  <c r="F11" i="5"/>
  <c r="G11" i="5"/>
  <c r="H11" i="5"/>
  <c r="I11" i="5"/>
  <c r="J11" i="5"/>
  <c r="K11" i="5"/>
  <c r="L11" i="5"/>
  <c r="M11" i="5"/>
  <c r="N11" i="5"/>
  <c r="R11" i="5"/>
  <c r="S11" i="5"/>
  <c r="T11" i="5"/>
  <c r="U11" i="5"/>
  <c r="V11" i="5"/>
  <c r="W11" i="5"/>
  <c r="X11" i="5"/>
  <c r="Y11" i="5"/>
  <c r="Z11" i="5"/>
  <c r="AA11" i="5"/>
  <c r="AB11" i="5"/>
  <c r="AF11" i="5"/>
  <c r="AG11" i="5"/>
  <c r="AH11" i="5"/>
  <c r="AI11" i="5"/>
  <c r="AJ11" i="5"/>
  <c r="AK11" i="5"/>
  <c r="AL11" i="5"/>
  <c r="AM11" i="5"/>
  <c r="AN11" i="5"/>
  <c r="AO11" i="5"/>
  <c r="AP11" i="5"/>
  <c r="D12" i="5"/>
  <c r="E12" i="5"/>
  <c r="F12" i="5"/>
  <c r="G12" i="5"/>
  <c r="H12" i="5"/>
  <c r="I12" i="5"/>
  <c r="J12" i="5"/>
  <c r="K12" i="5"/>
  <c r="L12" i="5"/>
  <c r="M12" i="5"/>
  <c r="N12" i="5"/>
  <c r="R12" i="5"/>
  <c r="S12" i="5"/>
  <c r="T12" i="5"/>
  <c r="U12" i="5"/>
  <c r="V12" i="5"/>
  <c r="W12" i="5"/>
  <c r="X12" i="5"/>
  <c r="Y12" i="5"/>
  <c r="Z12" i="5"/>
  <c r="AA12" i="5"/>
  <c r="AB12" i="5"/>
  <c r="AF12" i="5"/>
  <c r="AG12" i="5"/>
  <c r="AH12" i="5"/>
  <c r="AI12" i="5"/>
  <c r="AJ12" i="5"/>
  <c r="AK12" i="5"/>
  <c r="AL12" i="5"/>
  <c r="AM12" i="5"/>
  <c r="AN12" i="5"/>
  <c r="AO12" i="5"/>
  <c r="AP12" i="5"/>
  <c r="D13" i="5"/>
  <c r="E13" i="5"/>
  <c r="F13" i="5"/>
  <c r="G13" i="5"/>
  <c r="H13" i="5"/>
  <c r="I13" i="5"/>
  <c r="J13" i="5"/>
  <c r="K13" i="5"/>
  <c r="L13" i="5"/>
  <c r="M13" i="5"/>
  <c r="N13" i="5"/>
  <c r="R13" i="5"/>
  <c r="S13" i="5"/>
  <c r="T13" i="5"/>
  <c r="U13" i="5"/>
  <c r="V13" i="5"/>
  <c r="W13" i="5"/>
  <c r="X13" i="5"/>
  <c r="Y13" i="5"/>
  <c r="Z13" i="5"/>
  <c r="AA13" i="5"/>
  <c r="AB13" i="5"/>
  <c r="AF13" i="5"/>
  <c r="AG13" i="5"/>
  <c r="AH13" i="5"/>
  <c r="AI13" i="5"/>
  <c r="AJ13" i="5"/>
  <c r="AK13" i="5"/>
  <c r="AL13" i="5"/>
  <c r="AM13" i="5"/>
  <c r="AN13" i="5"/>
  <c r="AO13" i="5"/>
  <c r="AP13" i="5"/>
  <c r="D14" i="5"/>
  <c r="E14" i="5"/>
  <c r="F14" i="5"/>
  <c r="G14" i="5"/>
  <c r="H14" i="5"/>
  <c r="I14" i="5"/>
  <c r="J14" i="5"/>
  <c r="K14" i="5"/>
  <c r="L14" i="5"/>
  <c r="M14" i="5"/>
  <c r="N14" i="5"/>
  <c r="R14" i="5"/>
  <c r="S14" i="5"/>
  <c r="T14" i="5"/>
  <c r="U14" i="5"/>
  <c r="V14" i="5"/>
  <c r="W14" i="5"/>
  <c r="X14" i="5"/>
  <c r="Y14" i="5"/>
  <c r="Z14" i="5"/>
  <c r="AA14" i="5"/>
  <c r="AB14" i="5"/>
  <c r="AF14" i="5"/>
  <c r="AG14" i="5"/>
  <c r="AH14" i="5"/>
  <c r="AI14" i="5"/>
  <c r="AJ14" i="5"/>
  <c r="AK14" i="5"/>
  <c r="AL14" i="5"/>
  <c r="AM14" i="5"/>
  <c r="AN14" i="5"/>
  <c r="AO14" i="5"/>
  <c r="AP14" i="5"/>
  <c r="B18" i="5"/>
  <c r="D18" i="5"/>
  <c r="E18" i="5"/>
  <c r="F18" i="5"/>
  <c r="G18" i="5"/>
  <c r="H18" i="5"/>
  <c r="I18" i="5"/>
  <c r="J18" i="5"/>
  <c r="K18" i="5"/>
  <c r="L18" i="5"/>
  <c r="M18" i="5"/>
  <c r="N18" i="5"/>
  <c r="R18" i="5"/>
  <c r="S18" i="5"/>
  <c r="T18" i="5"/>
  <c r="U18" i="5"/>
  <c r="V18" i="5"/>
  <c r="W18" i="5"/>
  <c r="X18" i="5"/>
  <c r="Y18" i="5"/>
  <c r="Z18" i="5"/>
  <c r="AA18" i="5"/>
  <c r="AB18" i="5"/>
  <c r="AF18" i="5"/>
  <c r="AG18" i="5"/>
  <c r="AH18" i="5"/>
  <c r="AI18" i="5"/>
  <c r="AJ18" i="5"/>
  <c r="AK18" i="5"/>
  <c r="AL18" i="5"/>
  <c r="AM18" i="5"/>
  <c r="AN18" i="5"/>
  <c r="AO18" i="5"/>
  <c r="AP18" i="5"/>
  <c r="B19" i="5"/>
  <c r="D19" i="5"/>
  <c r="E19" i="5"/>
  <c r="F19" i="5"/>
  <c r="G19" i="5"/>
  <c r="H19" i="5"/>
  <c r="I19" i="5"/>
  <c r="J19" i="5"/>
  <c r="K19" i="5"/>
  <c r="L19" i="5"/>
  <c r="M19" i="5"/>
  <c r="N19" i="5"/>
  <c r="R19" i="5"/>
  <c r="S19" i="5"/>
  <c r="T19" i="5"/>
  <c r="U19" i="5"/>
  <c r="V19" i="5"/>
  <c r="W19" i="5"/>
  <c r="X19" i="5"/>
  <c r="Y19" i="5"/>
  <c r="Z19" i="5"/>
  <c r="AA19" i="5"/>
  <c r="AB19" i="5"/>
  <c r="AF19" i="5"/>
  <c r="AG19" i="5"/>
  <c r="AH19" i="5"/>
  <c r="AI19" i="5"/>
  <c r="AJ19" i="5"/>
  <c r="AK19" i="5"/>
  <c r="AL19" i="5"/>
  <c r="AM19" i="5"/>
  <c r="AN19" i="5"/>
  <c r="AO19" i="5"/>
  <c r="AP19" i="5"/>
  <c r="C21" i="5"/>
  <c r="D21" i="5"/>
  <c r="E21" i="5"/>
  <c r="F21" i="5"/>
  <c r="G21" i="5"/>
  <c r="H21" i="5"/>
  <c r="I21" i="5"/>
  <c r="J21" i="5"/>
  <c r="K21" i="5"/>
  <c r="L21" i="5"/>
  <c r="M21" i="5"/>
  <c r="N21" i="5"/>
  <c r="Q21" i="5"/>
  <c r="R21" i="5"/>
  <c r="S21" i="5"/>
  <c r="T21" i="5"/>
  <c r="U21" i="5"/>
  <c r="V21" i="5"/>
  <c r="W21" i="5"/>
  <c r="X21" i="5"/>
  <c r="Y21" i="5"/>
  <c r="Z21" i="5"/>
  <c r="AA21" i="5"/>
  <c r="AB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C23" i="5"/>
  <c r="D23" i="5"/>
  <c r="E23" i="5"/>
  <c r="F23" i="5"/>
  <c r="G23" i="5"/>
  <c r="H23" i="5"/>
  <c r="I23" i="5"/>
  <c r="J23" i="5"/>
  <c r="K23" i="5"/>
  <c r="L23" i="5"/>
  <c r="M23" i="5"/>
  <c r="N23" i="5"/>
  <c r="Q23" i="5"/>
  <c r="R23" i="5"/>
  <c r="S23" i="5"/>
  <c r="T23" i="5"/>
  <c r="U23" i="5"/>
  <c r="V23" i="5"/>
  <c r="W23" i="5"/>
  <c r="X23" i="5"/>
  <c r="Y23" i="5"/>
  <c r="Z23" i="5"/>
  <c r="AA23" i="5"/>
  <c r="AB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Q26" i="5"/>
  <c r="R26" i="5"/>
  <c r="S26" i="5"/>
  <c r="T26" i="5"/>
  <c r="U26" i="5"/>
  <c r="V26" i="5"/>
  <c r="W26" i="5"/>
  <c r="X26" i="5"/>
  <c r="Y26" i="5"/>
  <c r="Z26" i="5"/>
  <c r="AA26" i="5"/>
  <c r="AB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Q27" i="5"/>
  <c r="R27" i="5"/>
  <c r="S27" i="5"/>
  <c r="T27" i="5"/>
  <c r="U27" i="5"/>
  <c r="V27" i="5"/>
  <c r="W27" i="5"/>
  <c r="X27" i="5"/>
  <c r="Y27" i="5"/>
  <c r="Z27" i="5"/>
  <c r="AA27" i="5"/>
  <c r="AB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Q28" i="5"/>
  <c r="R28" i="5"/>
  <c r="S28" i="5"/>
  <c r="T28" i="5"/>
  <c r="U28" i="5"/>
  <c r="V28" i="5"/>
  <c r="W28" i="5"/>
  <c r="X28" i="5"/>
  <c r="Y28" i="5"/>
  <c r="Z28" i="5"/>
  <c r="AA28" i="5"/>
  <c r="AB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B29" i="5"/>
  <c r="D29" i="5"/>
  <c r="E29" i="5"/>
  <c r="F29" i="5"/>
  <c r="G29" i="5"/>
  <c r="H29" i="5"/>
  <c r="I29" i="5"/>
  <c r="J29" i="5"/>
  <c r="K29" i="5"/>
  <c r="L29" i="5"/>
  <c r="M29" i="5"/>
  <c r="N29" i="5"/>
  <c r="Q29" i="5"/>
  <c r="R29" i="5"/>
  <c r="S29" i="5"/>
  <c r="T29" i="5"/>
  <c r="U29" i="5"/>
  <c r="V29" i="5"/>
  <c r="W29" i="5"/>
  <c r="X29" i="5"/>
  <c r="Y29" i="5"/>
  <c r="Z29" i="5"/>
  <c r="AA29" i="5"/>
  <c r="AB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Q30" i="5"/>
  <c r="R30" i="5"/>
  <c r="S30" i="5"/>
  <c r="T30" i="5"/>
  <c r="U30" i="5"/>
  <c r="V30" i="5"/>
  <c r="W30" i="5"/>
  <c r="X30" i="5"/>
  <c r="Y30" i="5"/>
  <c r="Z30" i="5"/>
  <c r="AA30" i="5"/>
  <c r="AB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Q31" i="5"/>
  <c r="R31" i="5"/>
  <c r="S31" i="5"/>
  <c r="T31" i="5"/>
  <c r="U31" i="5"/>
  <c r="V31" i="5"/>
  <c r="W31" i="5"/>
  <c r="X31" i="5"/>
  <c r="Y31" i="5"/>
  <c r="Z31" i="5"/>
  <c r="AA31" i="5"/>
  <c r="AB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B32" i="5"/>
  <c r="D32" i="5"/>
  <c r="E32" i="5"/>
  <c r="F32" i="5"/>
  <c r="G32" i="5"/>
  <c r="H32" i="5"/>
  <c r="I32" i="5"/>
  <c r="J32" i="5"/>
  <c r="K32" i="5"/>
  <c r="L32" i="5"/>
  <c r="M32" i="5"/>
  <c r="N32" i="5"/>
  <c r="Q32" i="5"/>
  <c r="R32" i="5"/>
  <c r="S32" i="5"/>
  <c r="T32" i="5"/>
  <c r="U32" i="5"/>
  <c r="V32" i="5"/>
  <c r="W32" i="5"/>
  <c r="X32" i="5"/>
  <c r="Y32" i="5"/>
  <c r="Z32" i="5"/>
  <c r="AA32" i="5"/>
  <c r="AB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D33" i="5"/>
  <c r="E33" i="5"/>
  <c r="F33" i="5"/>
  <c r="G33" i="5"/>
  <c r="H33" i="5"/>
  <c r="I33" i="5"/>
  <c r="J33" i="5"/>
  <c r="K33" i="5"/>
  <c r="L33" i="5"/>
  <c r="M33" i="5"/>
  <c r="N33" i="5"/>
  <c r="Q33" i="5"/>
  <c r="R33" i="5"/>
  <c r="S33" i="5"/>
  <c r="T33" i="5"/>
  <c r="U33" i="5"/>
  <c r="V33" i="5"/>
  <c r="W33" i="5"/>
  <c r="X33" i="5"/>
  <c r="Y33" i="5"/>
  <c r="Z33" i="5"/>
  <c r="AA33" i="5"/>
  <c r="AB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D34" i="5"/>
  <c r="E34" i="5"/>
  <c r="F34" i="5"/>
  <c r="G34" i="5"/>
  <c r="H34" i="5"/>
  <c r="I34" i="5"/>
  <c r="J34" i="5"/>
  <c r="K34" i="5"/>
  <c r="L34" i="5"/>
  <c r="M34" i="5"/>
  <c r="N34" i="5"/>
  <c r="Q34" i="5"/>
  <c r="R34" i="5"/>
  <c r="S34" i="5"/>
  <c r="T34" i="5"/>
  <c r="U34" i="5"/>
  <c r="V34" i="5"/>
  <c r="W34" i="5"/>
  <c r="X34" i="5"/>
  <c r="Y34" i="5"/>
  <c r="Z34" i="5"/>
  <c r="AA34" i="5"/>
  <c r="AB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Q35" i="5"/>
  <c r="R35" i="5"/>
  <c r="S35" i="5"/>
  <c r="T35" i="5"/>
  <c r="U35" i="5"/>
  <c r="V35" i="5"/>
  <c r="W35" i="5"/>
  <c r="X35" i="5"/>
  <c r="Y35" i="5"/>
  <c r="Z35" i="5"/>
  <c r="AA35" i="5"/>
  <c r="AB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Q36" i="5"/>
  <c r="R36" i="5"/>
  <c r="S36" i="5"/>
  <c r="T36" i="5"/>
  <c r="U36" i="5"/>
  <c r="V36" i="5"/>
  <c r="W36" i="5"/>
  <c r="X36" i="5"/>
  <c r="Y36" i="5"/>
  <c r="Z36" i="5"/>
  <c r="AA36" i="5"/>
  <c r="AB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Q37" i="5"/>
  <c r="R37" i="5"/>
  <c r="S37" i="5"/>
  <c r="T37" i="5"/>
  <c r="U37" i="5"/>
  <c r="V37" i="5"/>
  <c r="W37" i="5"/>
  <c r="X37" i="5"/>
  <c r="Y37" i="5"/>
  <c r="Z37" i="5"/>
  <c r="AA37" i="5"/>
  <c r="AB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C38" i="5"/>
  <c r="D38" i="5"/>
  <c r="E38" i="5"/>
  <c r="F38" i="5"/>
  <c r="G38" i="5"/>
  <c r="H38" i="5"/>
  <c r="I38" i="5"/>
  <c r="J38" i="5"/>
  <c r="K38" i="5"/>
  <c r="L38" i="5"/>
  <c r="M38" i="5"/>
  <c r="N38" i="5"/>
  <c r="Q38" i="5"/>
  <c r="R38" i="5"/>
  <c r="S38" i="5"/>
  <c r="T38" i="5"/>
  <c r="U38" i="5"/>
  <c r="V38" i="5"/>
  <c r="W38" i="5"/>
  <c r="X38" i="5"/>
  <c r="Y38" i="5"/>
  <c r="Z38" i="5"/>
  <c r="AA38" i="5"/>
  <c r="AB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Q39" i="5"/>
  <c r="R39" i="5"/>
  <c r="S39" i="5"/>
  <c r="T39" i="5"/>
  <c r="U39" i="5"/>
  <c r="V39" i="5"/>
  <c r="W39" i="5"/>
  <c r="X39" i="5"/>
  <c r="Y39" i="5"/>
  <c r="Z39" i="5"/>
  <c r="AA39" i="5"/>
  <c r="AB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Q40" i="5"/>
  <c r="R40" i="5"/>
  <c r="S40" i="5"/>
  <c r="T40" i="5"/>
  <c r="U40" i="5"/>
  <c r="V40" i="5"/>
  <c r="W40" i="5"/>
  <c r="X40" i="5"/>
  <c r="Y40" i="5"/>
  <c r="Z40" i="5"/>
  <c r="AA40" i="5"/>
  <c r="AB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Q41" i="5"/>
  <c r="R41" i="5"/>
  <c r="S41" i="5"/>
  <c r="T41" i="5"/>
  <c r="U41" i="5"/>
  <c r="V41" i="5"/>
  <c r="W41" i="5"/>
  <c r="X41" i="5"/>
  <c r="Y41" i="5"/>
  <c r="Z41" i="5"/>
  <c r="AA41" i="5"/>
  <c r="AB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B42" i="5"/>
  <c r="D42" i="5"/>
  <c r="E42" i="5"/>
  <c r="F42" i="5"/>
  <c r="G42" i="5"/>
  <c r="H42" i="5"/>
  <c r="I42" i="5"/>
  <c r="J42" i="5"/>
  <c r="K42" i="5"/>
  <c r="L42" i="5"/>
  <c r="M42" i="5"/>
  <c r="N42" i="5"/>
  <c r="Q42" i="5"/>
  <c r="R42" i="5"/>
  <c r="S42" i="5"/>
  <c r="T42" i="5"/>
  <c r="U42" i="5"/>
  <c r="V42" i="5"/>
  <c r="W42" i="5"/>
  <c r="X42" i="5"/>
  <c r="Y42" i="5"/>
  <c r="Z42" i="5"/>
  <c r="AA42" i="5"/>
  <c r="AB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C43" i="5"/>
  <c r="D43" i="5"/>
  <c r="E43" i="5"/>
  <c r="F43" i="5"/>
  <c r="G43" i="5"/>
  <c r="H43" i="5"/>
  <c r="I43" i="5"/>
  <c r="J43" i="5"/>
  <c r="K43" i="5"/>
  <c r="L43" i="5"/>
  <c r="M43" i="5"/>
  <c r="N43" i="5"/>
  <c r="Q43" i="5"/>
  <c r="R43" i="5"/>
  <c r="S43" i="5"/>
  <c r="T43" i="5"/>
  <c r="U43" i="5"/>
  <c r="V43" i="5"/>
  <c r="W43" i="5"/>
  <c r="X43" i="5"/>
  <c r="Y43" i="5"/>
  <c r="Z43" i="5"/>
  <c r="AA43" i="5"/>
  <c r="AB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B45" i="5"/>
  <c r="B46" i="5"/>
  <c r="D46" i="5"/>
  <c r="E46" i="5"/>
  <c r="F46" i="5"/>
  <c r="G46" i="5"/>
  <c r="H46" i="5"/>
  <c r="I46" i="5"/>
  <c r="J46" i="5"/>
  <c r="K46" i="5"/>
  <c r="L46" i="5"/>
  <c r="M46" i="5"/>
  <c r="N46" i="5"/>
  <c r="Q46" i="5"/>
  <c r="R46" i="5"/>
  <c r="S46" i="5"/>
  <c r="T46" i="5"/>
  <c r="U46" i="5"/>
  <c r="V46" i="5"/>
  <c r="W46" i="5"/>
  <c r="X46" i="5"/>
  <c r="Y46" i="5"/>
  <c r="Z46" i="5"/>
  <c r="AA46" i="5"/>
  <c r="AB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B47" i="5"/>
  <c r="D47" i="5"/>
  <c r="E47" i="5"/>
  <c r="F47" i="5"/>
  <c r="G47" i="5"/>
  <c r="H47" i="5"/>
  <c r="I47" i="5"/>
  <c r="J47" i="5"/>
  <c r="K47" i="5"/>
  <c r="L47" i="5"/>
  <c r="M47" i="5"/>
  <c r="N47" i="5"/>
  <c r="Q47" i="5"/>
  <c r="R47" i="5"/>
  <c r="S47" i="5"/>
  <c r="T47" i="5"/>
  <c r="U47" i="5"/>
  <c r="V47" i="5"/>
  <c r="W47" i="5"/>
  <c r="X47" i="5"/>
  <c r="Y47" i="5"/>
  <c r="Z47" i="5"/>
  <c r="AA47" i="5"/>
  <c r="AB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D48" i="5"/>
  <c r="E48" i="5"/>
  <c r="F48" i="5"/>
  <c r="G48" i="5"/>
  <c r="H48" i="5"/>
  <c r="I48" i="5"/>
  <c r="J48" i="5"/>
  <c r="K48" i="5"/>
  <c r="L48" i="5"/>
  <c r="M48" i="5"/>
  <c r="N48" i="5"/>
  <c r="Q48" i="5"/>
  <c r="R48" i="5"/>
  <c r="S48" i="5"/>
  <c r="T48" i="5"/>
  <c r="U48" i="5"/>
  <c r="V48" i="5"/>
  <c r="W48" i="5"/>
  <c r="X48" i="5"/>
  <c r="Y48" i="5"/>
  <c r="Z48" i="5"/>
  <c r="AA48" i="5"/>
  <c r="AB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D49" i="5"/>
  <c r="E49" i="5"/>
  <c r="F49" i="5"/>
  <c r="G49" i="5"/>
  <c r="H49" i="5"/>
  <c r="I49" i="5"/>
  <c r="J49" i="5"/>
  <c r="K49" i="5"/>
  <c r="L49" i="5"/>
  <c r="M49" i="5"/>
  <c r="N49" i="5"/>
  <c r="Q49" i="5"/>
  <c r="R49" i="5"/>
  <c r="S49" i="5"/>
  <c r="T49" i="5"/>
  <c r="U49" i="5"/>
  <c r="V49" i="5"/>
  <c r="W49" i="5"/>
  <c r="X49" i="5"/>
  <c r="Y49" i="5"/>
  <c r="Z49" i="5"/>
  <c r="AA49" i="5"/>
  <c r="AB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B50" i="5"/>
  <c r="D50" i="5"/>
  <c r="E50" i="5"/>
  <c r="F50" i="5"/>
  <c r="G50" i="5"/>
  <c r="H50" i="5"/>
  <c r="I50" i="5"/>
  <c r="J50" i="5"/>
  <c r="K50" i="5"/>
  <c r="L50" i="5"/>
  <c r="M50" i="5"/>
  <c r="N50" i="5"/>
  <c r="Q50" i="5"/>
  <c r="R50" i="5"/>
  <c r="S50" i="5"/>
  <c r="T50" i="5"/>
  <c r="U50" i="5"/>
  <c r="V50" i="5"/>
  <c r="W50" i="5"/>
  <c r="X50" i="5"/>
  <c r="Y50" i="5"/>
  <c r="Z50" i="5"/>
  <c r="AA50" i="5"/>
  <c r="AB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B51" i="5"/>
  <c r="D51" i="5"/>
  <c r="E51" i="5"/>
  <c r="F51" i="5"/>
  <c r="G51" i="5"/>
  <c r="H51" i="5"/>
  <c r="I51" i="5"/>
  <c r="J51" i="5"/>
  <c r="K51" i="5"/>
  <c r="L51" i="5"/>
  <c r="M51" i="5"/>
  <c r="N51" i="5"/>
  <c r="Q51" i="5"/>
  <c r="R51" i="5"/>
  <c r="S51" i="5"/>
  <c r="T51" i="5"/>
  <c r="U51" i="5"/>
  <c r="V51" i="5"/>
  <c r="W51" i="5"/>
  <c r="X51" i="5"/>
  <c r="Y51" i="5"/>
  <c r="Z51" i="5"/>
  <c r="AA51" i="5"/>
  <c r="AB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B52" i="5"/>
  <c r="D52" i="5"/>
  <c r="E52" i="5"/>
  <c r="F52" i="5"/>
  <c r="G52" i="5"/>
  <c r="H52" i="5"/>
  <c r="I52" i="5"/>
  <c r="J52" i="5"/>
  <c r="K52" i="5"/>
  <c r="L52" i="5"/>
  <c r="M52" i="5"/>
  <c r="N52" i="5"/>
  <c r="Q52" i="5"/>
  <c r="R52" i="5"/>
  <c r="S52" i="5"/>
  <c r="T52" i="5"/>
  <c r="U52" i="5"/>
  <c r="V52" i="5"/>
  <c r="W52" i="5"/>
  <c r="X52" i="5"/>
  <c r="Y52" i="5"/>
  <c r="Z52" i="5"/>
  <c r="AA52" i="5"/>
  <c r="AB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B53" i="5"/>
  <c r="D53" i="5"/>
  <c r="E53" i="5"/>
  <c r="F53" i="5"/>
  <c r="G53" i="5"/>
  <c r="H53" i="5"/>
  <c r="I53" i="5"/>
  <c r="J53" i="5"/>
  <c r="K53" i="5"/>
  <c r="L53" i="5"/>
  <c r="M53" i="5"/>
  <c r="N53" i="5"/>
  <c r="Q53" i="5"/>
  <c r="R53" i="5"/>
  <c r="S53" i="5"/>
  <c r="T53" i="5"/>
  <c r="U53" i="5"/>
  <c r="V53" i="5"/>
  <c r="W53" i="5"/>
  <c r="X53" i="5"/>
  <c r="Y53" i="5"/>
  <c r="Z53" i="5"/>
  <c r="AA53" i="5"/>
  <c r="AB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B54" i="5"/>
  <c r="D54" i="5"/>
  <c r="E54" i="5"/>
  <c r="F54" i="5"/>
  <c r="G54" i="5"/>
  <c r="H54" i="5"/>
  <c r="I54" i="5"/>
  <c r="J54" i="5"/>
  <c r="K54" i="5"/>
  <c r="L54" i="5"/>
  <c r="M54" i="5"/>
  <c r="N54" i="5"/>
  <c r="Q54" i="5"/>
  <c r="R54" i="5"/>
  <c r="S54" i="5"/>
  <c r="T54" i="5"/>
  <c r="U54" i="5"/>
  <c r="V54" i="5"/>
  <c r="W54" i="5"/>
  <c r="X54" i="5"/>
  <c r="Y54" i="5"/>
  <c r="Z54" i="5"/>
  <c r="AA54" i="5"/>
  <c r="AB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B55" i="5"/>
  <c r="D55" i="5"/>
  <c r="E55" i="5"/>
  <c r="F55" i="5"/>
  <c r="G55" i="5"/>
  <c r="H55" i="5"/>
  <c r="I55" i="5"/>
  <c r="J55" i="5"/>
  <c r="K55" i="5"/>
  <c r="L55" i="5"/>
  <c r="M55" i="5"/>
  <c r="N55" i="5"/>
  <c r="Q55" i="5"/>
  <c r="R55" i="5"/>
  <c r="S55" i="5"/>
  <c r="T55" i="5"/>
  <c r="U55" i="5"/>
  <c r="V55" i="5"/>
  <c r="W55" i="5"/>
  <c r="X55" i="5"/>
  <c r="Y55" i="5"/>
  <c r="Z55" i="5"/>
  <c r="AA55" i="5"/>
  <c r="AB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B56" i="5"/>
  <c r="D56" i="5"/>
  <c r="E56" i="5"/>
  <c r="F56" i="5"/>
  <c r="G56" i="5"/>
  <c r="H56" i="5"/>
  <c r="I56" i="5"/>
  <c r="J56" i="5"/>
  <c r="K56" i="5"/>
  <c r="L56" i="5"/>
  <c r="M56" i="5"/>
  <c r="N56" i="5"/>
  <c r="Q56" i="5"/>
  <c r="R56" i="5"/>
  <c r="S56" i="5"/>
  <c r="T56" i="5"/>
  <c r="U56" i="5"/>
  <c r="V56" i="5"/>
  <c r="W56" i="5"/>
  <c r="X56" i="5"/>
  <c r="Y56" i="5"/>
  <c r="Z56" i="5"/>
  <c r="AA56" i="5"/>
  <c r="AB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B57" i="5"/>
  <c r="D57" i="5"/>
  <c r="E57" i="5"/>
  <c r="F57" i="5"/>
  <c r="G57" i="5"/>
  <c r="H57" i="5"/>
  <c r="I57" i="5"/>
  <c r="J57" i="5"/>
  <c r="K57" i="5"/>
  <c r="L57" i="5"/>
  <c r="M57" i="5"/>
  <c r="N57" i="5"/>
  <c r="Q57" i="5"/>
  <c r="R57" i="5"/>
  <c r="S57" i="5"/>
  <c r="T57" i="5"/>
  <c r="U57" i="5"/>
  <c r="V57" i="5"/>
  <c r="W57" i="5"/>
  <c r="X57" i="5"/>
  <c r="Y57" i="5"/>
  <c r="Z57" i="5"/>
  <c r="AA57" i="5"/>
  <c r="AB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D58" i="5"/>
  <c r="E58" i="5"/>
  <c r="F58" i="5"/>
  <c r="G58" i="5"/>
  <c r="H58" i="5"/>
  <c r="I58" i="5"/>
  <c r="J58" i="5"/>
  <c r="K58" i="5"/>
  <c r="L58" i="5"/>
  <c r="M58" i="5"/>
  <c r="N58" i="5"/>
  <c r="Q58" i="5"/>
  <c r="R58" i="5"/>
  <c r="S58" i="5"/>
  <c r="T58" i="5"/>
  <c r="U58" i="5"/>
  <c r="V58" i="5"/>
  <c r="W58" i="5"/>
  <c r="X58" i="5"/>
  <c r="Y58" i="5"/>
  <c r="Z58" i="5"/>
  <c r="AA58" i="5"/>
  <c r="AB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B59" i="5"/>
  <c r="D59" i="5"/>
  <c r="E59" i="5"/>
  <c r="F59" i="5"/>
  <c r="G59" i="5"/>
  <c r="H59" i="5"/>
  <c r="I59" i="5"/>
  <c r="J59" i="5"/>
  <c r="K59" i="5"/>
  <c r="L59" i="5"/>
  <c r="M59" i="5"/>
  <c r="N59" i="5"/>
  <c r="Q59" i="5"/>
  <c r="R59" i="5"/>
  <c r="S59" i="5"/>
  <c r="T59" i="5"/>
  <c r="U59" i="5"/>
  <c r="V59" i="5"/>
  <c r="W59" i="5"/>
  <c r="X59" i="5"/>
  <c r="Y59" i="5"/>
  <c r="Z59" i="5"/>
  <c r="AA59" i="5"/>
  <c r="AB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C60" i="5"/>
  <c r="D60" i="5"/>
  <c r="E60" i="5"/>
  <c r="F60" i="5"/>
  <c r="G60" i="5"/>
  <c r="H60" i="5"/>
  <c r="I60" i="5"/>
  <c r="J60" i="5"/>
  <c r="K60" i="5"/>
  <c r="L60" i="5"/>
  <c r="M60" i="5"/>
  <c r="N60" i="5"/>
  <c r="Q60" i="5"/>
  <c r="R60" i="5"/>
  <c r="S60" i="5"/>
  <c r="T60" i="5"/>
  <c r="U60" i="5"/>
  <c r="V60" i="5"/>
  <c r="W60" i="5"/>
  <c r="X60" i="5"/>
  <c r="Y60" i="5"/>
  <c r="Z60" i="5"/>
  <c r="AA60" i="5"/>
  <c r="AB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C64" i="5"/>
  <c r="D64" i="5"/>
  <c r="E64" i="5"/>
  <c r="F64" i="5"/>
  <c r="G64" i="5"/>
  <c r="H64" i="5"/>
  <c r="I64" i="5"/>
  <c r="J64" i="5"/>
  <c r="K64" i="5"/>
  <c r="L64" i="5"/>
  <c r="M64" i="5"/>
  <c r="N64" i="5"/>
  <c r="Q64" i="5"/>
  <c r="R64" i="5"/>
  <c r="S64" i="5"/>
  <c r="T64" i="5"/>
  <c r="U64" i="5"/>
  <c r="V64" i="5"/>
  <c r="W64" i="5"/>
  <c r="X64" i="5"/>
  <c r="Y64" i="5"/>
  <c r="Z64" i="5"/>
  <c r="AA64" i="5"/>
  <c r="AB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D65" i="5"/>
  <c r="E65" i="5"/>
  <c r="F65" i="5"/>
  <c r="G65" i="5"/>
  <c r="H65" i="5"/>
  <c r="I65" i="5"/>
  <c r="J65" i="5"/>
  <c r="K65" i="5"/>
  <c r="L65" i="5"/>
  <c r="M65" i="5"/>
  <c r="N65" i="5"/>
  <c r="R65" i="5"/>
  <c r="S65" i="5"/>
  <c r="T65" i="5"/>
  <c r="U65" i="5"/>
  <c r="V65" i="5"/>
  <c r="W65" i="5"/>
  <c r="X65" i="5"/>
  <c r="Y65" i="5"/>
  <c r="Z65" i="5"/>
  <c r="AA65" i="5"/>
  <c r="AB65" i="5"/>
  <c r="AF65" i="5"/>
  <c r="AG65" i="5"/>
  <c r="AH65" i="5"/>
  <c r="AI65" i="5"/>
  <c r="AJ65" i="5"/>
  <c r="AK65" i="5"/>
  <c r="AL65" i="5"/>
  <c r="AM65" i="5"/>
  <c r="AN65" i="5"/>
  <c r="AO65" i="5"/>
  <c r="AP65" i="5"/>
  <c r="C68" i="5"/>
  <c r="D68" i="5"/>
  <c r="E68" i="5"/>
  <c r="F68" i="5"/>
  <c r="G68" i="5"/>
  <c r="H68" i="5"/>
  <c r="I68" i="5"/>
  <c r="J68" i="5"/>
  <c r="K68" i="5"/>
  <c r="L68" i="5"/>
  <c r="M68" i="5"/>
  <c r="N68" i="5"/>
  <c r="Q68" i="5"/>
  <c r="R68" i="5"/>
  <c r="S68" i="5"/>
  <c r="T68" i="5"/>
  <c r="U68" i="5"/>
  <c r="V68" i="5"/>
  <c r="W68" i="5"/>
  <c r="X68" i="5"/>
  <c r="Y68" i="5"/>
  <c r="Z68" i="5"/>
  <c r="AA68" i="5"/>
  <c r="AB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D71" i="5"/>
  <c r="E71" i="5"/>
  <c r="F71" i="5"/>
  <c r="G71" i="5"/>
  <c r="H71" i="5"/>
  <c r="I71" i="5"/>
  <c r="J71" i="5"/>
  <c r="K71" i="5"/>
  <c r="L71" i="5"/>
  <c r="M71" i="5"/>
  <c r="N71" i="5"/>
  <c r="Q71" i="5"/>
  <c r="R71" i="5"/>
  <c r="S71" i="5"/>
  <c r="T71" i="5"/>
  <c r="U71" i="5"/>
  <c r="V71" i="5"/>
  <c r="W71" i="5"/>
  <c r="X71" i="5"/>
  <c r="Y71" i="5"/>
  <c r="Z71" i="5"/>
  <c r="AA71" i="5"/>
  <c r="AB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D72" i="5"/>
  <c r="E72" i="5"/>
  <c r="F72" i="5"/>
  <c r="G72" i="5"/>
  <c r="H72" i="5"/>
  <c r="I72" i="5"/>
  <c r="J72" i="5"/>
  <c r="K72" i="5"/>
  <c r="L72" i="5"/>
  <c r="M72" i="5"/>
  <c r="N72" i="5"/>
  <c r="R72" i="5"/>
  <c r="S72" i="5"/>
  <c r="T72" i="5"/>
  <c r="U72" i="5"/>
  <c r="V72" i="5"/>
  <c r="W72" i="5"/>
  <c r="X72" i="5"/>
  <c r="Y72" i="5"/>
  <c r="Z72" i="5"/>
  <c r="AA72" i="5"/>
  <c r="AB72" i="5"/>
  <c r="AF72" i="5"/>
  <c r="AG72" i="5"/>
  <c r="AH72" i="5"/>
  <c r="AI72" i="5"/>
  <c r="AJ72" i="5"/>
  <c r="AK72" i="5"/>
  <c r="AL72" i="5"/>
  <c r="AM72" i="5"/>
  <c r="AN72" i="5"/>
  <c r="AO72" i="5"/>
  <c r="AP72" i="5"/>
  <c r="D73" i="5"/>
  <c r="E73" i="5"/>
  <c r="F73" i="5"/>
  <c r="G73" i="5"/>
  <c r="H73" i="5"/>
  <c r="I73" i="5"/>
  <c r="J73" i="5"/>
  <c r="K73" i="5"/>
  <c r="L73" i="5"/>
  <c r="M73" i="5"/>
  <c r="N73" i="5"/>
  <c r="R73" i="5"/>
  <c r="S73" i="5"/>
  <c r="T73" i="5"/>
  <c r="U73" i="5"/>
  <c r="V73" i="5"/>
  <c r="W73" i="5"/>
  <c r="X73" i="5"/>
  <c r="Y73" i="5"/>
  <c r="Z73" i="5"/>
  <c r="AA73" i="5"/>
  <c r="AB73" i="5"/>
  <c r="AF73" i="5"/>
  <c r="AG73" i="5"/>
  <c r="AH73" i="5"/>
  <c r="AI73" i="5"/>
  <c r="AJ73" i="5"/>
  <c r="AK73" i="5"/>
  <c r="AL73" i="5"/>
  <c r="AM73" i="5"/>
  <c r="AN73" i="5"/>
  <c r="AO73" i="5"/>
  <c r="AP73" i="5"/>
  <c r="C75" i="5"/>
  <c r="D75" i="5"/>
  <c r="E75" i="5"/>
  <c r="F75" i="5"/>
  <c r="G75" i="5"/>
  <c r="H75" i="5"/>
  <c r="I75" i="5"/>
  <c r="J75" i="5"/>
  <c r="K75" i="5"/>
  <c r="L75" i="5"/>
  <c r="M75" i="5"/>
  <c r="N75" i="5"/>
  <c r="D78" i="5"/>
  <c r="E78" i="5"/>
  <c r="F78" i="5"/>
  <c r="G78" i="5"/>
  <c r="H78" i="5"/>
  <c r="I78" i="5"/>
  <c r="J78" i="5"/>
  <c r="K78" i="5"/>
  <c r="L78" i="5"/>
  <c r="M78" i="5"/>
  <c r="N78" i="5"/>
  <c r="R78" i="5"/>
  <c r="S78" i="5"/>
  <c r="T78" i="5"/>
  <c r="U78" i="5"/>
  <c r="V78" i="5"/>
  <c r="W78" i="5"/>
  <c r="X78" i="5"/>
  <c r="Y78" i="5"/>
  <c r="Z78" i="5"/>
  <c r="AA78" i="5"/>
  <c r="AB78" i="5"/>
  <c r="AF78" i="5"/>
  <c r="AG78" i="5"/>
  <c r="AH78" i="5"/>
  <c r="AI78" i="5"/>
  <c r="AJ78" i="5"/>
  <c r="AK78" i="5"/>
  <c r="AL78" i="5"/>
  <c r="AM78" i="5"/>
  <c r="AN78" i="5"/>
  <c r="AO78" i="5"/>
  <c r="AP78" i="5"/>
  <c r="D79" i="5"/>
  <c r="E79" i="5"/>
  <c r="F79" i="5"/>
  <c r="G79" i="5"/>
  <c r="H79" i="5"/>
  <c r="I79" i="5"/>
  <c r="J79" i="5"/>
  <c r="K79" i="5"/>
  <c r="L79" i="5"/>
  <c r="M79" i="5"/>
  <c r="N79" i="5"/>
  <c r="R79" i="5"/>
  <c r="S79" i="5"/>
  <c r="T79" i="5"/>
  <c r="U79" i="5"/>
  <c r="V79" i="5"/>
  <c r="W79" i="5"/>
  <c r="X79" i="5"/>
  <c r="Y79" i="5"/>
  <c r="Z79" i="5"/>
  <c r="AA79" i="5"/>
  <c r="AB79" i="5"/>
  <c r="AF79" i="5"/>
  <c r="AG79" i="5"/>
  <c r="AH79" i="5"/>
  <c r="AI79" i="5"/>
  <c r="AJ79" i="5"/>
  <c r="AK79" i="5"/>
  <c r="AL79" i="5"/>
  <c r="AM79" i="5"/>
  <c r="AN79" i="5"/>
  <c r="AO79" i="5"/>
  <c r="AP79" i="5"/>
  <c r="C80" i="5"/>
  <c r="D80" i="5"/>
  <c r="E80" i="5"/>
  <c r="F80" i="5"/>
  <c r="G80" i="5"/>
  <c r="H80" i="5"/>
  <c r="I80" i="5"/>
  <c r="J80" i="5"/>
  <c r="K80" i="5"/>
  <c r="L80" i="5"/>
  <c r="M80" i="5"/>
  <c r="N80" i="5"/>
  <c r="D83" i="5"/>
  <c r="E83" i="5"/>
  <c r="F83" i="5"/>
  <c r="G83" i="5"/>
  <c r="H83" i="5"/>
  <c r="I83" i="5"/>
  <c r="J83" i="5"/>
  <c r="K83" i="5"/>
  <c r="L83" i="5"/>
  <c r="M83" i="5"/>
  <c r="N83" i="5"/>
  <c r="R83" i="5"/>
  <c r="S83" i="5"/>
  <c r="T83" i="5"/>
  <c r="U83" i="5"/>
  <c r="V83" i="5"/>
  <c r="W83" i="5"/>
  <c r="X83" i="5"/>
  <c r="Y83" i="5"/>
  <c r="Z83" i="5"/>
  <c r="AA83" i="5"/>
  <c r="AB83" i="5"/>
  <c r="AF83" i="5"/>
  <c r="AG83" i="5"/>
  <c r="AH83" i="5"/>
  <c r="AI83" i="5"/>
  <c r="AJ83" i="5"/>
  <c r="AK83" i="5"/>
  <c r="AL83" i="5"/>
  <c r="AM83" i="5"/>
  <c r="AN83" i="5"/>
  <c r="AO83" i="5"/>
  <c r="AP83" i="5"/>
  <c r="D84" i="5"/>
  <c r="E84" i="5"/>
  <c r="F84" i="5"/>
  <c r="G84" i="5"/>
  <c r="H84" i="5"/>
  <c r="I84" i="5"/>
  <c r="J84" i="5"/>
  <c r="K84" i="5"/>
  <c r="L84" i="5"/>
  <c r="M84" i="5"/>
  <c r="N84" i="5"/>
  <c r="R84" i="5"/>
  <c r="S84" i="5"/>
  <c r="T84" i="5"/>
  <c r="U84" i="5"/>
  <c r="V84" i="5"/>
  <c r="W84" i="5"/>
  <c r="X84" i="5"/>
  <c r="Y84" i="5"/>
  <c r="Z84" i="5"/>
  <c r="AA84" i="5"/>
  <c r="AB84" i="5"/>
  <c r="AF84" i="5"/>
  <c r="AG84" i="5"/>
  <c r="AH84" i="5"/>
  <c r="AI84" i="5"/>
  <c r="AJ84" i="5"/>
  <c r="AK84" i="5"/>
  <c r="AL84" i="5"/>
  <c r="AM84" i="5"/>
  <c r="AN84" i="5"/>
  <c r="AO84" i="5"/>
  <c r="AP84" i="5"/>
  <c r="C85" i="5"/>
  <c r="D85" i="5"/>
  <c r="E85" i="5"/>
  <c r="F85" i="5"/>
  <c r="G85" i="5"/>
  <c r="H85" i="5"/>
  <c r="I85" i="5"/>
  <c r="J85" i="5"/>
  <c r="K85" i="5"/>
  <c r="L85" i="5"/>
  <c r="M85" i="5"/>
  <c r="N85" i="5"/>
  <c r="D88" i="5"/>
  <c r="E88" i="5"/>
  <c r="F88" i="5"/>
  <c r="G88" i="5"/>
  <c r="H88" i="5"/>
  <c r="I88" i="5"/>
  <c r="J88" i="5"/>
  <c r="K88" i="5"/>
  <c r="L88" i="5"/>
  <c r="M88" i="5"/>
  <c r="N88" i="5"/>
  <c r="R88" i="5"/>
  <c r="S88" i="5"/>
  <c r="T88" i="5"/>
  <c r="U88" i="5"/>
  <c r="V88" i="5"/>
  <c r="W88" i="5"/>
  <c r="X88" i="5"/>
  <c r="Y88" i="5"/>
  <c r="Z88" i="5"/>
  <c r="AA88" i="5"/>
  <c r="AB88" i="5"/>
  <c r="AF88" i="5"/>
  <c r="AG88" i="5"/>
  <c r="AH88" i="5"/>
  <c r="AI88" i="5"/>
  <c r="AJ88" i="5"/>
  <c r="AK88" i="5"/>
  <c r="AL88" i="5"/>
  <c r="AM88" i="5"/>
  <c r="AN88" i="5"/>
  <c r="AO88" i="5"/>
  <c r="AP88" i="5"/>
  <c r="C7" i="8"/>
  <c r="D7" i="8"/>
  <c r="E7" i="8"/>
  <c r="F7" i="8"/>
  <c r="G7" i="8"/>
  <c r="H7" i="8"/>
  <c r="I7" i="8"/>
  <c r="J7" i="8"/>
  <c r="K7" i="8"/>
  <c r="L7" i="8"/>
  <c r="M7" i="8"/>
  <c r="N7" i="8"/>
  <c r="O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C8" i="8"/>
  <c r="D8" i="8"/>
  <c r="E8" i="8"/>
  <c r="F8" i="8"/>
  <c r="G8" i="8"/>
  <c r="H8" i="8"/>
  <c r="I8" i="8"/>
  <c r="J8" i="8"/>
  <c r="K8" i="8"/>
  <c r="L8" i="8"/>
  <c r="M8" i="8"/>
  <c r="N8" i="8"/>
  <c r="O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C9" i="8"/>
  <c r="D9" i="8"/>
  <c r="E9" i="8"/>
  <c r="F9" i="8"/>
  <c r="G9" i="8"/>
  <c r="H9" i="8"/>
  <c r="I9" i="8"/>
  <c r="J9" i="8"/>
  <c r="K9" i="8"/>
  <c r="L9" i="8"/>
  <c r="M9" i="8"/>
  <c r="N9" i="8"/>
  <c r="O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B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B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O55" i="8"/>
  <c r="AD55" i="8"/>
  <c r="AS55" i="8"/>
  <c r="O56" i="8"/>
  <c r="AD56" i="8"/>
  <c r="AS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O117" i="8"/>
  <c r="AD117" i="8"/>
  <c r="AS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O119" i="8"/>
  <c r="AD119" i="8"/>
  <c r="AS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O133" i="8"/>
  <c r="AD133" i="8"/>
  <c r="AS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B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B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B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O170" i="8"/>
  <c r="AD170" i="8"/>
  <c r="AS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O172" i="8"/>
  <c r="AD172" i="8"/>
  <c r="AS172" i="8"/>
  <c r="O173" i="8"/>
  <c r="AD173" i="8"/>
  <c r="AS173" i="8"/>
  <c r="O174" i="8"/>
  <c r="AD174" i="8"/>
  <c r="AS174" i="8"/>
  <c r="O175" i="8"/>
  <c r="AD175" i="8"/>
  <c r="AS175" i="8"/>
  <c r="O176" i="8"/>
  <c r="AD176" i="8"/>
  <c r="AS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O181" i="8"/>
  <c r="AD181" i="8"/>
  <c r="AS181" i="8"/>
  <c r="O182" i="8"/>
  <c r="AD182" i="8"/>
  <c r="AS182" i="8"/>
  <c r="O183" i="8"/>
  <c r="AD183" i="8"/>
  <c r="AS183" i="8"/>
  <c r="O184" i="8"/>
  <c r="AD184" i="8"/>
  <c r="AS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O188" i="8"/>
  <c r="AD188" i="8"/>
  <c r="AS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O191" i="8"/>
  <c r="AD191" i="8"/>
  <c r="AS191" i="8"/>
  <c r="O192" i="8"/>
  <c r="AD192" i="8"/>
  <c r="AS192" i="8"/>
  <c r="O193" i="8"/>
  <c r="AD193" i="8"/>
  <c r="AS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B4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AG6" i="35"/>
  <c r="AH6" i="35"/>
  <c r="AI6" i="35"/>
  <c r="AJ6" i="35"/>
  <c r="AK6" i="35"/>
  <c r="AL6" i="35"/>
  <c r="AM6" i="35"/>
  <c r="AN6" i="35"/>
  <c r="AO6" i="35"/>
  <c r="AP6" i="35"/>
  <c r="AQ6" i="35"/>
  <c r="AR6" i="35"/>
  <c r="AS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G7" i="35"/>
  <c r="AH7" i="35"/>
  <c r="AI7" i="35"/>
  <c r="AJ7" i="35"/>
  <c r="AK7" i="35"/>
  <c r="AL7" i="35"/>
  <c r="AM7" i="35"/>
  <c r="AN7" i="35"/>
  <c r="AO7" i="35"/>
  <c r="AP7" i="35"/>
  <c r="AQ7" i="35"/>
  <c r="AR7" i="35"/>
  <c r="AS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AG12" i="35"/>
  <c r="AH12" i="35"/>
  <c r="AI12" i="35"/>
  <c r="AJ12" i="35"/>
  <c r="AK12" i="35"/>
  <c r="AL12" i="35"/>
  <c r="AM12" i="35"/>
  <c r="AN12" i="35"/>
  <c r="AO12" i="35"/>
  <c r="AP12" i="35"/>
  <c r="AQ12" i="35"/>
  <c r="AR12" i="35"/>
  <c r="AS12" i="35"/>
  <c r="B15" i="35"/>
  <c r="B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AG19" i="35"/>
  <c r="AH19" i="35"/>
  <c r="AI19" i="35"/>
  <c r="AJ19" i="35"/>
  <c r="AK19" i="35"/>
  <c r="AL19" i="35"/>
  <c r="AM19" i="35"/>
  <c r="AN19" i="35"/>
  <c r="AO19" i="35"/>
  <c r="AP19" i="35"/>
  <c r="AQ19" i="35"/>
  <c r="AR19" i="35"/>
  <c r="AS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G20" i="35"/>
  <c r="AH20" i="35"/>
  <c r="AI20" i="35"/>
  <c r="AJ20" i="35"/>
  <c r="AK20" i="35"/>
  <c r="AL20" i="35"/>
  <c r="AM20" i="35"/>
  <c r="AN20" i="35"/>
  <c r="AO20" i="35"/>
  <c r="AP20" i="35"/>
  <c r="AQ20" i="35"/>
  <c r="AR20" i="35"/>
  <c r="AS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G21" i="35"/>
  <c r="AH21" i="35"/>
  <c r="AI21" i="35"/>
  <c r="AJ21" i="35"/>
  <c r="AK21" i="35"/>
  <c r="AL21" i="35"/>
  <c r="AM21" i="35"/>
  <c r="AN21" i="35"/>
  <c r="AO21" i="35"/>
  <c r="AP21" i="35"/>
  <c r="AQ21" i="35"/>
  <c r="AR21" i="35"/>
  <c r="AS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G22" i="35"/>
  <c r="AH22" i="35"/>
  <c r="AI22" i="35"/>
  <c r="AJ22" i="35"/>
  <c r="AK22" i="35"/>
  <c r="AL22" i="35"/>
  <c r="AM22" i="35"/>
  <c r="AN22" i="35"/>
  <c r="AO22" i="35"/>
  <c r="AP22" i="35"/>
  <c r="AQ22" i="35"/>
  <c r="AR22" i="35"/>
  <c r="AS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G23" i="35"/>
  <c r="AH23" i="35"/>
  <c r="AI23" i="35"/>
  <c r="AJ23" i="35"/>
  <c r="AK23" i="35"/>
  <c r="AL23" i="35"/>
  <c r="AM23" i="35"/>
  <c r="AN23" i="35"/>
  <c r="AO23" i="35"/>
  <c r="AP23" i="35"/>
  <c r="AQ23" i="35"/>
  <c r="AR23" i="35"/>
  <c r="AS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G24" i="35"/>
  <c r="AH24" i="35"/>
  <c r="AI24" i="35"/>
  <c r="AJ24" i="35"/>
  <c r="AK24" i="35"/>
  <c r="AL24" i="35"/>
  <c r="AM24" i="35"/>
  <c r="AN24" i="35"/>
  <c r="AO24" i="35"/>
  <c r="AP24" i="35"/>
  <c r="AQ24" i="35"/>
  <c r="AR24" i="35"/>
  <c r="AS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G25" i="35"/>
  <c r="AH25" i="35"/>
  <c r="AI25" i="35"/>
  <c r="AJ25" i="35"/>
  <c r="AK25" i="35"/>
  <c r="AL25" i="35"/>
  <c r="AM25" i="35"/>
  <c r="AN25" i="35"/>
  <c r="AO25" i="35"/>
  <c r="AP25" i="35"/>
  <c r="AQ25" i="35"/>
  <c r="AR25" i="35"/>
  <c r="AS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AG26" i="35"/>
  <c r="AH26" i="35"/>
  <c r="AI26" i="35"/>
  <c r="AJ26" i="35"/>
  <c r="AK26" i="35"/>
  <c r="AL26" i="35"/>
  <c r="AM26" i="35"/>
  <c r="AN26" i="35"/>
  <c r="AO26" i="35"/>
  <c r="AP26" i="35"/>
  <c r="AQ26" i="35"/>
  <c r="AR26" i="35"/>
  <c r="AS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AD27" i="35"/>
  <c r="AG27" i="35"/>
  <c r="AH27" i="35"/>
  <c r="AI27" i="35"/>
  <c r="AJ27" i="35"/>
  <c r="AK27" i="35"/>
  <c r="AL27" i="35"/>
  <c r="AM27" i="35"/>
  <c r="AN27" i="35"/>
  <c r="AO27" i="35"/>
  <c r="AP27" i="35"/>
  <c r="AQ27" i="35"/>
  <c r="AR27" i="35"/>
  <c r="AS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AD28" i="35"/>
  <c r="AG28" i="35"/>
  <c r="AH28" i="35"/>
  <c r="AI28" i="35"/>
  <c r="AJ28" i="35"/>
  <c r="AK28" i="35"/>
  <c r="AL28" i="35"/>
  <c r="AM28" i="35"/>
  <c r="AN28" i="35"/>
  <c r="AO28" i="35"/>
  <c r="AP28" i="35"/>
  <c r="AQ28" i="35"/>
  <c r="AR28" i="35"/>
  <c r="AS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AD29" i="35"/>
  <c r="AG29" i="35"/>
  <c r="AH29" i="35"/>
  <c r="AI29" i="35"/>
  <c r="AJ29" i="35"/>
  <c r="AK29" i="35"/>
  <c r="AL29" i="35"/>
  <c r="AM29" i="35"/>
  <c r="AN29" i="35"/>
  <c r="AO29" i="35"/>
  <c r="AP29" i="35"/>
  <c r="AQ29" i="35"/>
  <c r="AR29" i="35"/>
  <c r="AS29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AD30" i="35"/>
  <c r="AG30" i="35"/>
  <c r="AH30" i="35"/>
  <c r="AI30" i="35"/>
  <c r="AJ30" i="35"/>
  <c r="AK30" i="35"/>
  <c r="AL30" i="35"/>
  <c r="AM30" i="35"/>
  <c r="AN30" i="35"/>
  <c r="AO30" i="35"/>
  <c r="AP30" i="35"/>
  <c r="AQ30" i="35"/>
  <c r="AR30" i="35"/>
  <c r="AS30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AD31" i="35"/>
  <c r="AG31" i="35"/>
  <c r="AH31" i="35"/>
  <c r="AI31" i="35"/>
  <c r="AJ31" i="35"/>
  <c r="AK31" i="35"/>
  <c r="AL31" i="35"/>
  <c r="AM31" i="35"/>
  <c r="AN31" i="35"/>
  <c r="AO31" i="35"/>
  <c r="AP31" i="35"/>
  <c r="AQ31" i="35"/>
  <c r="AR31" i="35"/>
  <c r="AS31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G35" i="35"/>
  <c r="AH35" i="35"/>
  <c r="AI35" i="35"/>
  <c r="AJ35" i="35"/>
  <c r="AK35" i="35"/>
  <c r="AL35" i="35"/>
  <c r="AM35" i="35"/>
  <c r="AN35" i="35"/>
  <c r="AO35" i="35"/>
  <c r="AP35" i="35"/>
  <c r="AQ35" i="35"/>
  <c r="AR35" i="35"/>
  <c r="AS35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G36" i="35"/>
  <c r="AH36" i="35"/>
  <c r="AI36" i="35"/>
  <c r="AJ36" i="35"/>
  <c r="AK36" i="35"/>
  <c r="AL36" i="35"/>
  <c r="AM36" i="35"/>
  <c r="AN36" i="35"/>
  <c r="AO36" i="35"/>
  <c r="AP36" i="35"/>
  <c r="AQ36" i="35"/>
  <c r="AR36" i="35"/>
  <c r="AS36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AD38" i="35"/>
  <c r="AG38" i="35"/>
  <c r="AH38" i="35"/>
  <c r="AI38" i="35"/>
  <c r="AJ38" i="35"/>
  <c r="AK38" i="35"/>
  <c r="AL38" i="35"/>
  <c r="AM38" i="35"/>
  <c r="AN38" i="35"/>
  <c r="AO38" i="35"/>
  <c r="AP38" i="35"/>
  <c r="AQ38" i="35"/>
  <c r="AR38" i="35"/>
  <c r="AS38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AD39" i="35"/>
  <c r="AG39" i="35"/>
  <c r="AH39" i="35"/>
  <c r="AI39" i="35"/>
  <c r="AJ39" i="35"/>
  <c r="AK39" i="35"/>
  <c r="AL39" i="35"/>
  <c r="AM39" i="35"/>
  <c r="AN39" i="35"/>
  <c r="AO39" i="35"/>
  <c r="AP39" i="35"/>
  <c r="AQ39" i="35"/>
  <c r="AR39" i="35"/>
  <c r="AS39" i="35"/>
  <c r="B41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R42" i="35"/>
  <c r="S42" i="35"/>
  <c r="T42" i="35"/>
  <c r="U42" i="35"/>
  <c r="V42" i="35"/>
  <c r="W42" i="35"/>
  <c r="X42" i="35"/>
  <c r="Y42" i="35"/>
  <c r="Z42" i="35"/>
  <c r="AA42" i="35"/>
  <c r="AB42" i="35"/>
  <c r="AC42" i="35"/>
  <c r="AD42" i="35"/>
  <c r="AG42" i="35"/>
  <c r="AH42" i="35"/>
  <c r="AI42" i="35"/>
  <c r="AJ42" i="35"/>
  <c r="AK42" i="35"/>
  <c r="AL42" i="35"/>
  <c r="AM42" i="35"/>
  <c r="AN42" i="35"/>
  <c r="AO42" i="35"/>
  <c r="AP42" i="35"/>
  <c r="AQ42" i="35"/>
  <c r="AR42" i="35"/>
  <c r="AS42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R44" i="35"/>
  <c r="S44" i="35"/>
  <c r="T44" i="35"/>
  <c r="U44" i="35"/>
  <c r="V44" i="35"/>
  <c r="W44" i="35"/>
  <c r="X44" i="35"/>
  <c r="Y44" i="35"/>
  <c r="Z44" i="35"/>
  <c r="AA44" i="35"/>
  <c r="AB44" i="35"/>
  <c r="AC44" i="35"/>
  <c r="AD44" i="35"/>
  <c r="AG44" i="35"/>
  <c r="AH44" i="35"/>
  <c r="AI44" i="35"/>
  <c r="AJ44" i="35"/>
  <c r="AK44" i="35"/>
  <c r="AL44" i="35"/>
  <c r="AM44" i="35"/>
  <c r="AN44" i="35"/>
  <c r="AO44" i="35"/>
  <c r="AP44" i="35"/>
  <c r="AQ44" i="35"/>
  <c r="AR44" i="35"/>
  <c r="AS44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AD46" i="35"/>
  <c r="AE46" i="35"/>
  <c r="AG46" i="35"/>
  <c r="AH46" i="35"/>
  <c r="AI46" i="35"/>
  <c r="AJ46" i="35"/>
  <c r="AK46" i="35"/>
  <c r="AL46" i="35"/>
  <c r="AM46" i="35"/>
  <c r="AN46" i="35"/>
  <c r="AO46" i="35"/>
  <c r="AP46" i="35"/>
  <c r="AQ46" i="35"/>
  <c r="AR46" i="35"/>
  <c r="AS46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R47" i="35"/>
  <c r="S47" i="35"/>
  <c r="T47" i="35"/>
  <c r="U47" i="35"/>
  <c r="V47" i="35"/>
  <c r="W47" i="35"/>
  <c r="X47" i="35"/>
  <c r="Y47" i="35"/>
  <c r="Z47" i="35"/>
  <c r="AA47" i="35"/>
  <c r="AB47" i="35"/>
  <c r="AC47" i="35"/>
  <c r="AD47" i="35"/>
  <c r="AE47" i="35"/>
  <c r="AG47" i="35"/>
  <c r="AH47" i="35"/>
  <c r="AI47" i="35"/>
  <c r="AJ47" i="35"/>
  <c r="AK47" i="35"/>
  <c r="AL47" i="35"/>
  <c r="AM47" i="35"/>
  <c r="AN47" i="35"/>
  <c r="AO47" i="35"/>
  <c r="AP47" i="35"/>
  <c r="AQ47" i="35"/>
  <c r="AR47" i="35"/>
  <c r="AS47" i="35"/>
  <c r="C48" i="35"/>
  <c r="D48" i="35"/>
  <c r="E48" i="35"/>
  <c r="F48" i="35"/>
  <c r="G48" i="35"/>
  <c r="H48" i="35"/>
  <c r="I48" i="35"/>
  <c r="J48" i="35"/>
  <c r="K48" i="35"/>
  <c r="L48" i="35"/>
  <c r="M48" i="35"/>
  <c r="N48" i="35"/>
  <c r="O48" i="35"/>
  <c r="R48" i="35"/>
  <c r="S48" i="35"/>
  <c r="T48" i="35"/>
  <c r="U48" i="35"/>
  <c r="V48" i="35"/>
  <c r="W48" i="35"/>
  <c r="X48" i="35"/>
  <c r="Y48" i="35"/>
  <c r="Z48" i="35"/>
  <c r="AA48" i="35"/>
  <c r="AB48" i="35"/>
  <c r="AC48" i="35"/>
  <c r="AD48" i="35"/>
  <c r="AE48" i="35"/>
  <c r="AG48" i="35"/>
  <c r="AH48" i="35"/>
  <c r="AI48" i="35"/>
  <c r="AJ48" i="35"/>
  <c r="AK48" i="35"/>
  <c r="AL48" i="35"/>
  <c r="AM48" i="35"/>
  <c r="AN48" i="35"/>
  <c r="AO48" i="35"/>
  <c r="AP48" i="35"/>
  <c r="AQ48" i="35"/>
  <c r="AR48" i="35"/>
  <c r="AS48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R49" i="35"/>
  <c r="S49" i="35"/>
  <c r="T49" i="35"/>
  <c r="U49" i="35"/>
  <c r="V49" i="35"/>
  <c r="W49" i="35"/>
  <c r="X49" i="35"/>
  <c r="Y49" i="35"/>
  <c r="Z49" i="35"/>
  <c r="AA49" i="35"/>
  <c r="AB49" i="35"/>
  <c r="AC49" i="35"/>
  <c r="AD49" i="35"/>
  <c r="AG49" i="35"/>
  <c r="AH49" i="35"/>
  <c r="AI49" i="35"/>
  <c r="AJ49" i="35"/>
  <c r="AK49" i="35"/>
  <c r="AL49" i="35"/>
  <c r="AM49" i="35"/>
  <c r="AN49" i="35"/>
  <c r="AO49" i="35"/>
  <c r="AP49" i="35"/>
  <c r="AQ49" i="35"/>
  <c r="AR49" i="35"/>
  <c r="AS49" i="35"/>
  <c r="B51" i="35"/>
  <c r="B52" i="35"/>
  <c r="C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R52" i="35"/>
  <c r="S52" i="35"/>
  <c r="T52" i="35"/>
  <c r="U52" i="35"/>
  <c r="V52" i="35"/>
  <c r="W52" i="35"/>
  <c r="X52" i="35"/>
  <c r="Y52" i="35"/>
  <c r="Z52" i="35"/>
  <c r="AA52" i="35"/>
  <c r="AB52" i="35"/>
  <c r="AC52" i="35"/>
  <c r="AD52" i="35"/>
  <c r="AG52" i="35"/>
  <c r="AH52" i="35"/>
  <c r="AI52" i="35"/>
  <c r="AJ52" i="35"/>
  <c r="AK52" i="35"/>
  <c r="AL52" i="35"/>
  <c r="AM52" i="35"/>
  <c r="AN52" i="35"/>
  <c r="AO52" i="35"/>
  <c r="AP52" i="35"/>
  <c r="AQ52" i="35"/>
  <c r="AR52" i="35"/>
  <c r="AS52" i="35"/>
  <c r="B53" i="35"/>
  <c r="C53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G53" i="35"/>
  <c r="AH53" i="35"/>
  <c r="AI53" i="35"/>
  <c r="AJ53" i="35"/>
  <c r="AK53" i="35"/>
  <c r="AL53" i="35"/>
  <c r="AM53" i="35"/>
  <c r="AN53" i="35"/>
  <c r="AO53" i="35"/>
  <c r="AP53" i="35"/>
  <c r="AQ53" i="35"/>
  <c r="AR53" i="35"/>
  <c r="AS53" i="35"/>
  <c r="O54" i="35"/>
  <c r="AD54" i="35"/>
  <c r="AS54" i="35"/>
  <c r="O55" i="35"/>
  <c r="AD55" i="35"/>
  <c r="AS55" i="35"/>
  <c r="C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R56" i="35"/>
  <c r="S56" i="35"/>
  <c r="T56" i="35"/>
  <c r="U56" i="35"/>
  <c r="V56" i="35"/>
  <c r="W56" i="35"/>
  <c r="X56" i="35"/>
  <c r="Y56" i="35"/>
  <c r="Z56" i="35"/>
  <c r="AA56" i="35"/>
  <c r="AB56" i="35"/>
  <c r="AC56" i="35"/>
  <c r="AD56" i="35"/>
  <c r="AG56" i="35"/>
  <c r="AH56" i="35"/>
  <c r="AI56" i="35"/>
  <c r="AJ56" i="35"/>
  <c r="AK56" i="35"/>
  <c r="AL56" i="35"/>
  <c r="AM56" i="35"/>
  <c r="AN56" i="35"/>
  <c r="AO56" i="35"/>
  <c r="AP56" i="35"/>
  <c r="AQ56" i="35"/>
  <c r="AR56" i="35"/>
  <c r="AS56" i="35"/>
  <c r="C57" i="35"/>
  <c r="D57" i="35"/>
  <c r="E57" i="35"/>
  <c r="F57" i="35"/>
  <c r="G57" i="35"/>
  <c r="H57" i="35"/>
  <c r="I57" i="35"/>
  <c r="J57" i="35"/>
  <c r="K57" i="35"/>
  <c r="L57" i="35"/>
  <c r="M57" i="35"/>
  <c r="N57" i="35"/>
  <c r="O57" i="35"/>
  <c r="R57" i="35"/>
  <c r="S57" i="35"/>
  <c r="T57" i="35"/>
  <c r="U57" i="35"/>
  <c r="V57" i="35"/>
  <c r="W57" i="35"/>
  <c r="X57" i="35"/>
  <c r="Y57" i="35"/>
  <c r="Z57" i="35"/>
  <c r="AA57" i="35"/>
  <c r="AB57" i="35"/>
  <c r="AC57" i="35"/>
  <c r="AD57" i="35"/>
  <c r="AG57" i="35"/>
  <c r="AH57" i="35"/>
  <c r="AI57" i="35"/>
  <c r="AJ57" i="35"/>
  <c r="AK57" i="35"/>
  <c r="AL57" i="35"/>
  <c r="AM57" i="35"/>
  <c r="AN57" i="35"/>
  <c r="AO57" i="35"/>
  <c r="AP57" i="35"/>
  <c r="AQ57" i="35"/>
  <c r="AR57" i="35"/>
  <c r="AS57" i="35"/>
  <c r="B59" i="35"/>
  <c r="B60" i="35"/>
  <c r="C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R60" i="35"/>
  <c r="S60" i="35"/>
  <c r="T60" i="35"/>
  <c r="U60" i="35"/>
  <c r="V60" i="35"/>
  <c r="W60" i="35"/>
  <c r="X60" i="35"/>
  <c r="Y60" i="35"/>
  <c r="Z60" i="35"/>
  <c r="AA60" i="35"/>
  <c r="AB60" i="35"/>
  <c r="AC60" i="35"/>
  <c r="AD60" i="35"/>
  <c r="AG60" i="35"/>
  <c r="AH60" i="35"/>
  <c r="AI60" i="35"/>
  <c r="AJ60" i="35"/>
  <c r="AK60" i="35"/>
  <c r="AL60" i="35"/>
  <c r="AM60" i="35"/>
  <c r="AN60" i="35"/>
  <c r="AO60" i="35"/>
  <c r="AP60" i="35"/>
  <c r="AQ60" i="35"/>
  <c r="AR60" i="35"/>
  <c r="AS60" i="35"/>
  <c r="B61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R61" i="35"/>
  <c r="S61" i="35"/>
  <c r="T61" i="35"/>
  <c r="U61" i="35"/>
  <c r="V61" i="35"/>
  <c r="W61" i="35"/>
  <c r="X61" i="35"/>
  <c r="Y61" i="35"/>
  <c r="Z61" i="35"/>
  <c r="AA61" i="35"/>
  <c r="AB61" i="35"/>
  <c r="AC61" i="35"/>
  <c r="AD61" i="35"/>
  <c r="AG61" i="35"/>
  <c r="AH61" i="35"/>
  <c r="AI61" i="35"/>
  <c r="AJ61" i="35"/>
  <c r="AK61" i="35"/>
  <c r="AL61" i="35"/>
  <c r="AM61" i="35"/>
  <c r="AN61" i="35"/>
  <c r="AO61" i="35"/>
  <c r="AP61" i="35"/>
  <c r="AQ61" i="35"/>
  <c r="AR61" i="35"/>
  <c r="AS61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G63" i="35"/>
  <c r="AH63" i="35"/>
  <c r="AI63" i="35"/>
  <c r="AJ63" i="35"/>
  <c r="AK63" i="35"/>
  <c r="AL63" i="35"/>
  <c r="AM63" i="35"/>
  <c r="AN63" i="35"/>
  <c r="AO63" i="35"/>
  <c r="AP63" i="35"/>
  <c r="AQ63" i="35"/>
  <c r="AR63" i="35"/>
  <c r="AS63" i="35"/>
  <c r="B65" i="35"/>
  <c r="B66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G66" i="35"/>
  <c r="AH66" i="35"/>
  <c r="AI66" i="35"/>
  <c r="AJ66" i="35"/>
  <c r="AK66" i="35"/>
  <c r="AL66" i="35"/>
  <c r="AM66" i="35"/>
  <c r="AN66" i="35"/>
  <c r="AO66" i="35"/>
  <c r="AP66" i="35"/>
  <c r="AQ66" i="35"/>
  <c r="AR66" i="35"/>
  <c r="AS66" i="35"/>
  <c r="B67" i="35"/>
  <c r="C67" i="35"/>
  <c r="D67" i="35"/>
  <c r="E67" i="35"/>
  <c r="F67" i="35"/>
  <c r="G67" i="35"/>
  <c r="H67" i="35"/>
  <c r="I67" i="35"/>
  <c r="J67" i="35"/>
  <c r="K67" i="35"/>
  <c r="L67" i="35"/>
  <c r="M67" i="35"/>
  <c r="N67" i="35"/>
  <c r="O67" i="35"/>
  <c r="R67" i="35"/>
  <c r="S67" i="35"/>
  <c r="T67" i="35"/>
  <c r="U67" i="35"/>
  <c r="V67" i="35"/>
  <c r="W67" i="35"/>
  <c r="X67" i="35"/>
  <c r="Y67" i="35"/>
  <c r="Z67" i="35"/>
  <c r="AA67" i="35"/>
  <c r="AB67" i="35"/>
  <c r="AC67" i="35"/>
  <c r="AD67" i="35"/>
  <c r="AG67" i="35"/>
  <c r="AH67" i="35"/>
  <c r="AI67" i="35"/>
  <c r="AJ67" i="35"/>
  <c r="AK67" i="35"/>
  <c r="AL67" i="35"/>
  <c r="AM67" i="35"/>
  <c r="AN67" i="35"/>
  <c r="AO67" i="35"/>
  <c r="AP67" i="35"/>
  <c r="AQ67" i="35"/>
  <c r="AR67" i="35"/>
  <c r="AS67" i="35"/>
  <c r="B68" i="35"/>
  <c r="C68" i="35"/>
  <c r="D68" i="35"/>
  <c r="E68" i="35"/>
  <c r="F68" i="35"/>
  <c r="G68" i="35"/>
  <c r="H68" i="35"/>
  <c r="I68" i="35"/>
  <c r="J68" i="35"/>
  <c r="K68" i="35"/>
  <c r="L68" i="35"/>
  <c r="M68" i="35"/>
  <c r="N68" i="35"/>
  <c r="O68" i="35"/>
  <c r="R68" i="35"/>
  <c r="S68" i="35"/>
  <c r="T68" i="35"/>
  <c r="U68" i="35"/>
  <c r="V68" i="35"/>
  <c r="W68" i="35"/>
  <c r="X68" i="35"/>
  <c r="Y68" i="35"/>
  <c r="Z68" i="35"/>
  <c r="AA68" i="35"/>
  <c r="AB68" i="35"/>
  <c r="AC68" i="35"/>
  <c r="AD68" i="35"/>
  <c r="AG68" i="35"/>
  <c r="AH68" i="35"/>
  <c r="AI68" i="35"/>
  <c r="AJ68" i="35"/>
  <c r="AK68" i="35"/>
  <c r="AL68" i="35"/>
  <c r="AM68" i="35"/>
  <c r="AN68" i="35"/>
  <c r="AO68" i="35"/>
  <c r="AP68" i="35"/>
  <c r="AQ68" i="35"/>
  <c r="AR68" i="35"/>
  <c r="AS68" i="35"/>
  <c r="B69" i="35"/>
  <c r="C69" i="35"/>
  <c r="D69" i="35"/>
  <c r="E69" i="35"/>
  <c r="F69" i="35"/>
  <c r="G69" i="35"/>
  <c r="H69" i="35"/>
  <c r="I69" i="35"/>
  <c r="J69" i="35"/>
  <c r="K69" i="35"/>
  <c r="L69" i="35"/>
  <c r="M69" i="35"/>
  <c r="N69" i="35"/>
  <c r="O69" i="35"/>
  <c r="R69" i="35"/>
  <c r="S69" i="35"/>
  <c r="T69" i="35"/>
  <c r="U69" i="35"/>
  <c r="V69" i="35"/>
  <c r="W69" i="35"/>
  <c r="X69" i="35"/>
  <c r="Y69" i="35"/>
  <c r="Z69" i="35"/>
  <c r="AA69" i="35"/>
  <c r="AB69" i="35"/>
  <c r="AC69" i="35"/>
  <c r="AD69" i="35"/>
  <c r="AG69" i="35"/>
  <c r="AH69" i="35"/>
  <c r="AI69" i="35"/>
  <c r="AJ69" i="35"/>
  <c r="AK69" i="35"/>
  <c r="AL69" i="35"/>
  <c r="AM69" i="35"/>
  <c r="AN69" i="35"/>
  <c r="AO69" i="35"/>
  <c r="AP69" i="35"/>
  <c r="AQ69" i="35"/>
  <c r="AR69" i="35"/>
  <c r="AS69" i="35"/>
  <c r="B70" i="35"/>
  <c r="C70" i="35"/>
  <c r="D70" i="35"/>
  <c r="E70" i="35"/>
  <c r="F70" i="35"/>
  <c r="G70" i="35"/>
  <c r="H70" i="35"/>
  <c r="I70" i="35"/>
  <c r="J70" i="35"/>
  <c r="K70" i="35"/>
  <c r="L70" i="35"/>
  <c r="M70" i="35"/>
  <c r="N70" i="35"/>
  <c r="O70" i="35"/>
  <c r="R70" i="35"/>
  <c r="S70" i="35"/>
  <c r="T70" i="35"/>
  <c r="U70" i="35"/>
  <c r="V70" i="35"/>
  <c r="W70" i="35"/>
  <c r="X70" i="35"/>
  <c r="Y70" i="35"/>
  <c r="Z70" i="35"/>
  <c r="AA70" i="35"/>
  <c r="AB70" i="35"/>
  <c r="AC70" i="35"/>
  <c r="AD70" i="35"/>
  <c r="AG70" i="35"/>
  <c r="AH70" i="35"/>
  <c r="AI70" i="35"/>
  <c r="AJ70" i="35"/>
  <c r="AK70" i="35"/>
  <c r="AL70" i="35"/>
  <c r="AM70" i="35"/>
  <c r="AN70" i="35"/>
  <c r="AO70" i="35"/>
  <c r="AP70" i="35"/>
  <c r="AQ70" i="35"/>
  <c r="AR70" i="35"/>
  <c r="AS70" i="35"/>
  <c r="B71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R71" i="35"/>
  <c r="S71" i="35"/>
  <c r="T71" i="35"/>
  <c r="U71" i="35"/>
  <c r="V71" i="35"/>
  <c r="W71" i="35"/>
  <c r="X71" i="35"/>
  <c r="Y71" i="35"/>
  <c r="Z71" i="35"/>
  <c r="AA71" i="35"/>
  <c r="AB71" i="35"/>
  <c r="AC71" i="35"/>
  <c r="AD71" i="35"/>
  <c r="AG71" i="35"/>
  <c r="AH71" i="35"/>
  <c r="AI71" i="35"/>
  <c r="AJ71" i="35"/>
  <c r="AK71" i="35"/>
  <c r="AL71" i="35"/>
  <c r="AM71" i="35"/>
  <c r="AN71" i="35"/>
  <c r="AO71" i="35"/>
  <c r="AP71" i="35"/>
  <c r="AQ71" i="35"/>
  <c r="AR71" i="35"/>
  <c r="AS71" i="35"/>
  <c r="B72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R72" i="35"/>
  <c r="S72" i="35"/>
  <c r="T72" i="35"/>
  <c r="U72" i="35"/>
  <c r="V72" i="35"/>
  <c r="W72" i="35"/>
  <c r="X72" i="35"/>
  <c r="Y72" i="35"/>
  <c r="Z72" i="35"/>
  <c r="AA72" i="35"/>
  <c r="AB72" i="35"/>
  <c r="AC72" i="35"/>
  <c r="AD72" i="35"/>
  <c r="AG72" i="35"/>
  <c r="AH72" i="35"/>
  <c r="AI72" i="35"/>
  <c r="AJ72" i="35"/>
  <c r="AK72" i="35"/>
  <c r="AL72" i="35"/>
  <c r="AM72" i="35"/>
  <c r="AN72" i="35"/>
  <c r="AO72" i="35"/>
  <c r="AP72" i="35"/>
  <c r="AQ72" i="35"/>
  <c r="AR72" i="35"/>
  <c r="AS72" i="35"/>
  <c r="B73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G73" i="35"/>
  <c r="AH73" i="35"/>
  <c r="AI73" i="35"/>
  <c r="AJ73" i="35"/>
  <c r="AK73" i="35"/>
  <c r="AL73" i="35"/>
  <c r="AM73" i="35"/>
  <c r="AN73" i="35"/>
  <c r="AO73" i="35"/>
  <c r="AP73" i="35"/>
  <c r="AQ73" i="35"/>
  <c r="AR73" i="35"/>
  <c r="AS73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G74" i="35"/>
  <c r="AH74" i="35"/>
  <c r="AI74" i="35"/>
  <c r="AJ74" i="35"/>
  <c r="AK74" i="35"/>
  <c r="AL74" i="35"/>
  <c r="AM74" i="35"/>
  <c r="AN74" i="35"/>
  <c r="AO74" i="35"/>
  <c r="AP74" i="35"/>
  <c r="AQ74" i="35"/>
  <c r="AR74" i="35"/>
  <c r="AS74" i="35"/>
  <c r="B76" i="35"/>
  <c r="B77" i="35"/>
  <c r="C77" i="35"/>
  <c r="D77" i="35"/>
  <c r="E77" i="35"/>
  <c r="F77" i="35"/>
  <c r="G77" i="35"/>
  <c r="H77" i="35"/>
  <c r="I77" i="35"/>
  <c r="J77" i="35"/>
  <c r="K77" i="35"/>
  <c r="L77" i="35"/>
  <c r="M77" i="35"/>
  <c r="N77" i="35"/>
  <c r="O77" i="35"/>
  <c r="R77" i="35"/>
  <c r="S77" i="35"/>
  <c r="T77" i="35"/>
  <c r="U77" i="35"/>
  <c r="V77" i="35"/>
  <c r="W77" i="35"/>
  <c r="X77" i="35"/>
  <c r="Y77" i="35"/>
  <c r="Z77" i="35"/>
  <c r="AA77" i="35"/>
  <c r="AB77" i="35"/>
  <c r="AC77" i="35"/>
  <c r="AD77" i="35"/>
  <c r="AG77" i="35"/>
  <c r="AH77" i="35"/>
  <c r="AI77" i="35"/>
  <c r="AJ77" i="35"/>
  <c r="AK77" i="35"/>
  <c r="AL77" i="35"/>
  <c r="AM77" i="35"/>
  <c r="AN77" i="35"/>
  <c r="AO77" i="35"/>
  <c r="AP77" i="35"/>
  <c r="AQ77" i="35"/>
  <c r="AR77" i="35"/>
  <c r="AS77" i="35"/>
  <c r="B78" i="35"/>
  <c r="C78" i="35"/>
  <c r="D78" i="35"/>
  <c r="E78" i="35"/>
  <c r="F78" i="35"/>
  <c r="G78" i="35"/>
  <c r="H78" i="35"/>
  <c r="I78" i="35"/>
  <c r="J78" i="35"/>
  <c r="K78" i="35"/>
  <c r="L78" i="35"/>
  <c r="M78" i="35"/>
  <c r="N78" i="35"/>
  <c r="O78" i="35"/>
  <c r="R78" i="35"/>
  <c r="S78" i="35"/>
  <c r="T78" i="35"/>
  <c r="U78" i="35"/>
  <c r="V78" i="35"/>
  <c r="W78" i="35"/>
  <c r="X78" i="35"/>
  <c r="Y78" i="35"/>
  <c r="Z78" i="35"/>
  <c r="AA78" i="35"/>
  <c r="AB78" i="35"/>
  <c r="AC78" i="35"/>
  <c r="AD78" i="35"/>
  <c r="AG78" i="35"/>
  <c r="AH78" i="35"/>
  <c r="AI78" i="35"/>
  <c r="AJ78" i="35"/>
  <c r="AK78" i="35"/>
  <c r="AL78" i="35"/>
  <c r="AM78" i="35"/>
  <c r="AN78" i="35"/>
  <c r="AO78" i="35"/>
  <c r="AP78" i="35"/>
  <c r="AQ78" i="35"/>
  <c r="AR78" i="35"/>
  <c r="AS78" i="35"/>
  <c r="B79" i="35"/>
  <c r="C79" i="35"/>
  <c r="D79" i="35"/>
  <c r="E79" i="35"/>
  <c r="F79" i="35"/>
  <c r="G79" i="35"/>
  <c r="H79" i="35"/>
  <c r="I79" i="35"/>
  <c r="J79" i="35"/>
  <c r="K79" i="35"/>
  <c r="L79" i="35"/>
  <c r="M79" i="35"/>
  <c r="N79" i="35"/>
  <c r="O79" i="35"/>
  <c r="R79" i="35"/>
  <c r="S79" i="35"/>
  <c r="T79" i="35"/>
  <c r="U79" i="35"/>
  <c r="V79" i="35"/>
  <c r="W79" i="35"/>
  <c r="X79" i="35"/>
  <c r="Y79" i="35"/>
  <c r="Z79" i="35"/>
  <c r="AA79" i="35"/>
  <c r="AB79" i="35"/>
  <c r="AC79" i="35"/>
  <c r="AD79" i="35"/>
  <c r="AG79" i="35"/>
  <c r="AH79" i="35"/>
  <c r="AI79" i="35"/>
  <c r="AJ79" i="35"/>
  <c r="AK79" i="35"/>
  <c r="AL79" i="35"/>
  <c r="AM79" i="35"/>
  <c r="AN79" i="35"/>
  <c r="AO79" i="35"/>
  <c r="AP79" i="35"/>
  <c r="AQ79" i="35"/>
  <c r="AR79" i="35"/>
  <c r="AS79" i="35"/>
  <c r="B80" i="35"/>
  <c r="C80" i="35"/>
  <c r="D80" i="35"/>
  <c r="E80" i="35"/>
  <c r="F80" i="35"/>
  <c r="G80" i="35"/>
  <c r="H80" i="35"/>
  <c r="I80" i="35"/>
  <c r="J80" i="35"/>
  <c r="K80" i="35"/>
  <c r="L80" i="35"/>
  <c r="M80" i="35"/>
  <c r="N80" i="35"/>
  <c r="O80" i="35"/>
  <c r="R80" i="35"/>
  <c r="S80" i="35"/>
  <c r="T80" i="35"/>
  <c r="U80" i="35"/>
  <c r="V80" i="35"/>
  <c r="W80" i="35"/>
  <c r="X80" i="35"/>
  <c r="Y80" i="35"/>
  <c r="Z80" i="35"/>
  <c r="AA80" i="35"/>
  <c r="AB80" i="35"/>
  <c r="AC80" i="35"/>
  <c r="AD80" i="35"/>
  <c r="AG80" i="35"/>
  <c r="AH80" i="35"/>
  <c r="AI80" i="35"/>
  <c r="AJ80" i="35"/>
  <c r="AK80" i="35"/>
  <c r="AL80" i="35"/>
  <c r="AM80" i="35"/>
  <c r="AN80" i="35"/>
  <c r="AO80" i="35"/>
  <c r="AP80" i="35"/>
  <c r="AQ80" i="35"/>
  <c r="AR80" i="35"/>
  <c r="AS80" i="35"/>
  <c r="B81" i="35"/>
  <c r="C81" i="35"/>
  <c r="D81" i="35"/>
  <c r="E81" i="35"/>
  <c r="F81" i="35"/>
  <c r="G81" i="35"/>
  <c r="H81" i="35"/>
  <c r="I81" i="35"/>
  <c r="J81" i="35"/>
  <c r="K81" i="35"/>
  <c r="L81" i="35"/>
  <c r="M81" i="35"/>
  <c r="N81" i="35"/>
  <c r="O81" i="35"/>
  <c r="R81" i="35"/>
  <c r="S81" i="35"/>
  <c r="T81" i="35"/>
  <c r="U81" i="35"/>
  <c r="V81" i="35"/>
  <c r="W81" i="35"/>
  <c r="X81" i="35"/>
  <c r="Y81" i="35"/>
  <c r="Z81" i="35"/>
  <c r="AA81" i="35"/>
  <c r="AB81" i="35"/>
  <c r="AC81" i="35"/>
  <c r="AD81" i="35"/>
  <c r="AG81" i="35"/>
  <c r="AH81" i="35"/>
  <c r="AI81" i="35"/>
  <c r="AJ81" i="35"/>
  <c r="AK81" i="35"/>
  <c r="AL81" i="35"/>
  <c r="AM81" i="35"/>
  <c r="AN81" i="35"/>
  <c r="AO81" i="35"/>
  <c r="AP81" i="35"/>
  <c r="AQ81" i="35"/>
  <c r="AR81" i="35"/>
  <c r="AS81" i="35"/>
  <c r="B82" i="3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R82" i="35"/>
  <c r="S82" i="35"/>
  <c r="T82" i="35"/>
  <c r="U82" i="35"/>
  <c r="V82" i="35"/>
  <c r="W82" i="35"/>
  <c r="X82" i="35"/>
  <c r="Y82" i="35"/>
  <c r="Z82" i="35"/>
  <c r="AA82" i="35"/>
  <c r="AB82" i="35"/>
  <c r="AC82" i="35"/>
  <c r="AD82" i="35"/>
  <c r="AG82" i="35"/>
  <c r="AH82" i="35"/>
  <c r="AI82" i="35"/>
  <c r="AJ82" i="35"/>
  <c r="AK82" i="35"/>
  <c r="AL82" i="35"/>
  <c r="AM82" i="35"/>
  <c r="AN82" i="35"/>
  <c r="AO82" i="35"/>
  <c r="AP82" i="35"/>
  <c r="AQ82" i="35"/>
  <c r="AR82" i="35"/>
  <c r="AS82" i="35"/>
  <c r="B83" i="35"/>
  <c r="C83" i="35"/>
  <c r="D83" i="35"/>
  <c r="E83" i="35"/>
  <c r="F83" i="35"/>
  <c r="G83" i="35"/>
  <c r="H83" i="35"/>
  <c r="I83" i="35"/>
  <c r="J83" i="35"/>
  <c r="K83" i="35"/>
  <c r="L83" i="35"/>
  <c r="M83" i="35"/>
  <c r="N83" i="35"/>
  <c r="O83" i="35"/>
  <c r="R83" i="35"/>
  <c r="S83" i="35"/>
  <c r="T83" i="35"/>
  <c r="U83" i="35"/>
  <c r="V83" i="35"/>
  <c r="W83" i="35"/>
  <c r="X83" i="35"/>
  <c r="Y83" i="35"/>
  <c r="Z83" i="35"/>
  <c r="AA83" i="35"/>
  <c r="AB83" i="35"/>
  <c r="AC83" i="35"/>
  <c r="AD83" i="35"/>
  <c r="AG83" i="35"/>
  <c r="AH83" i="35"/>
  <c r="AI83" i="35"/>
  <c r="AJ83" i="35"/>
  <c r="AK83" i="35"/>
  <c r="AL83" i="35"/>
  <c r="AM83" i="35"/>
  <c r="AN83" i="35"/>
  <c r="AO83" i="35"/>
  <c r="AP83" i="35"/>
  <c r="AQ83" i="35"/>
  <c r="AR83" i="35"/>
  <c r="AS83" i="35"/>
  <c r="B84" i="35"/>
  <c r="C84" i="35"/>
  <c r="D84" i="35"/>
  <c r="E84" i="35"/>
  <c r="F84" i="35"/>
  <c r="G84" i="35"/>
  <c r="H84" i="35"/>
  <c r="I84" i="35"/>
  <c r="J84" i="35"/>
  <c r="K84" i="35"/>
  <c r="L84" i="35"/>
  <c r="M84" i="35"/>
  <c r="N84" i="35"/>
  <c r="O84" i="35"/>
  <c r="R84" i="35"/>
  <c r="S84" i="35"/>
  <c r="T84" i="35"/>
  <c r="U84" i="35"/>
  <c r="V84" i="35"/>
  <c r="W84" i="35"/>
  <c r="X84" i="35"/>
  <c r="Y84" i="35"/>
  <c r="Z84" i="35"/>
  <c r="AA84" i="35"/>
  <c r="AB84" i="35"/>
  <c r="AC84" i="35"/>
  <c r="AD84" i="35"/>
  <c r="AG84" i="35"/>
  <c r="AH84" i="35"/>
  <c r="AI84" i="35"/>
  <c r="AJ84" i="35"/>
  <c r="AK84" i="35"/>
  <c r="AL84" i="35"/>
  <c r="AM84" i="35"/>
  <c r="AN84" i="35"/>
  <c r="AO84" i="35"/>
  <c r="AP84" i="35"/>
  <c r="AQ84" i="35"/>
  <c r="AR84" i="35"/>
  <c r="AS84" i="35"/>
  <c r="B85" i="35"/>
  <c r="C85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G85" i="35"/>
  <c r="AH85" i="35"/>
  <c r="AI85" i="35"/>
  <c r="AJ85" i="35"/>
  <c r="AK85" i="35"/>
  <c r="AL85" i="35"/>
  <c r="AM85" i="35"/>
  <c r="AN85" i="35"/>
  <c r="AO85" i="35"/>
  <c r="AP85" i="35"/>
  <c r="AQ85" i="35"/>
  <c r="AR85" i="35"/>
  <c r="AS85" i="35"/>
  <c r="B86" i="35"/>
  <c r="C86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G86" i="35"/>
  <c r="AH86" i="35"/>
  <c r="AI86" i="35"/>
  <c r="AJ86" i="35"/>
  <c r="AK86" i="35"/>
  <c r="AL86" i="35"/>
  <c r="AM86" i="35"/>
  <c r="AN86" i="35"/>
  <c r="AO86" i="35"/>
  <c r="AP86" i="35"/>
  <c r="AQ86" i="35"/>
  <c r="AR86" i="35"/>
  <c r="AS86" i="35"/>
  <c r="B87" i="35"/>
  <c r="C87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G87" i="35"/>
  <c r="AH87" i="35"/>
  <c r="AI87" i="35"/>
  <c r="AJ87" i="35"/>
  <c r="AK87" i="35"/>
  <c r="AL87" i="35"/>
  <c r="AM87" i="35"/>
  <c r="AN87" i="35"/>
  <c r="AO87" i="35"/>
  <c r="AP87" i="35"/>
  <c r="AQ87" i="35"/>
  <c r="AR87" i="35"/>
  <c r="AS87" i="35"/>
  <c r="B88" i="35"/>
  <c r="C88" i="35"/>
  <c r="D88" i="35"/>
  <c r="E88" i="35"/>
  <c r="F88" i="35"/>
  <c r="G88" i="35"/>
  <c r="H88" i="35"/>
  <c r="I88" i="35"/>
  <c r="J88" i="35"/>
  <c r="K88" i="35"/>
  <c r="L88" i="35"/>
  <c r="M88" i="35"/>
  <c r="N88" i="35"/>
  <c r="O88" i="35"/>
  <c r="R88" i="35"/>
  <c r="S88" i="35"/>
  <c r="T88" i="35"/>
  <c r="U88" i="35"/>
  <c r="V88" i="35"/>
  <c r="W88" i="35"/>
  <c r="X88" i="35"/>
  <c r="Y88" i="35"/>
  <c r="Z88" i="35"/>
  <c r="AA88" i="35"/>
  <c r="AB88" i="35"/>
  <c r="AC88" i="35"/>
  <c r="AD88" i="35"/>
  <c r="AG88" i="35"/>
  <c r="AH88" i="35"/>
  <c r="AI88" i="35"/>
  <c r="AJ88" i="35"/>
  <c r="AK88" i="35"/>
  <c r="AL88" i="35"/>
  <c r="AM88" i="35"/>
  <c r="AN88" i="35"/>
  <c r="AO88" i="35"/>
  <c r="AP88" i="35"/>
  <c r="AQ88" i="35"/>
  <c r="AR88" i="35"/>
  <c r="AS88" i="35"/>
  <c r="B89" i="35"/>
  <c r="C89" i="35"/>
  <c r="D89" i="35"/>
  <c r="E89" i="35"/>
  <c r="F89" i="35"/>
  <c r="G89" i="35"/>
  <c r="H89" i="35"/>
  <c r="I89" i="35"/>
  <c r="J89" i="35"/>
  <c r="K89" i="35"/>
  <c r="L89" i="35"/>
  <c r="M89" i="35"/>
  <c r="N89" i="35"/>
  <c r="O89" i="35"/>
  <c r="R89" i="35"/>
  <c r="S89" i="35"/>
  <c r="T89" i="35"/>
  <c r="U89" i="35"/>
  <c r="V89" i="35"/>
  <c r="W89" i="35"/>
  <c r="X89" i="35"/>
  <c r="Y89" i="35"/>
  <c r="Z89" i="35"/>
  <c r="AA89" i="35"/>
  <c r="AB89" i="35"/>
  <c r="AC89" i="35"/>
  <c r="AD89" i="35"/>
  <c r="AG89" i="35"/>
  <c r="AH89" i="35"/>
  <c r="AI89" i="35"/>
  <c r="AJ89" i="35"/>
  <c r="AK89" i="35"/>
  <c r="AL89" i="35"/>
  <c r="AM89" i="35"/>
  <c r="AN89" i="35"/>
  <c r="AO89" i="35"/>
  <c r="AP89" i="35"/>
  <c r="AQ89" i="35"/>
  <c r="AR89" i="35"/>
  <c r="AS89" i="35"/>
  <c r="B90" i="35"/>
  <c r="C90" i="35"/>
  <c r="D90" i="35"/>
  <c r="E90" i="35"/>
  <c r="F90" i="35"/>
  <c r="G90" i="35"/>
  <c r="H90" i="35"/>
  <c r="I90" i="35"/>
  <c r="J90" i="35"/>
  <c r="K90" i="35"/>
  <c r="L90" i="35"/>
  <c r="M90" i="35"/>
  <c r="N90" i="35"/>
  <c r="O90" i="35"/>
  <c r="R90" i="35"/>
  <c r="S90" i="35"/>
  <c r="T90" i="35"/>
  <c r="U90" i="35"/>
  <c r="V90" i="35"/>
  <c r="W90" i="35"/>
  <c r="X90" i="35"/>
  <c r="Y90" i="35"/>
  <c r="Z90" i="35"/>
  <c r="AA90" i="35"/>
  <c r="AB90" i="35"/>
  <c r="AC90" i="35"/>
  <c r="AD90" i="35"/>
  <c r="AG90" i="35"/>
  <c r="AH90" i="35"/>
  <c r="AI90" i="35"/>
  <c r="AJ90" i="35"/>
  <c r="AK90" i="35"/>
  <c r="AL90" i="35"/>
  <c r="AM90" i="35"/>
  <c r="AN90" i="35"/>
  <c r="AO90" i="35"/>
  <c r="AP90" i="35"/>
  <c r="AQ90" i="35"/>
  <c r="AR90" i="35"/>
  <c r="AS90" i="35"/>
  <c r="B91" i="35"/>
  <c r="C91" i="35"/>
  <c r="D91" i="35"/>
  <c r="E91" i="35"/>
  <c r="F91" i="35"/>
  <c r="G91" i="35"/>
  <c r="H91" i="35"/>
  <c r="I91" i="35"/>
  <c r="J91" i="35"/>
  <c r="K91" i="35"/>
  <c r="L91" i="35"/>
  <c r="M91" i="35"/>
  <c r="N91" i="35"/>
  <c r="O91" i="35"/>
  <c r="R91" i="35"/>
  <c r="S91" i="35"/>
  <c r="T91" i="35"/>
  <c r="U91" i="35"/>
  <c r="V91" i="35"/>
  <c r="W91" i="35"/>
  <c r="X91" i="35"/>
  <c r="Y91" i="35"/>
  <c r="Z91" i="35"/>
  <c r="AA91" i="35"/>
  <c r="AB91" i="35"/>
  <c r="AC91" i="35"/>
  <c r="AD91" i="35"/>
  <c r="AG91" i="35"/>
  <c r="AH91" i="35"/>
  <c r="AI91" i="35"/>
  <c r="AJ91" i="35"/>
  <c r="AK91" i="35"/>
  <c r="AL91" i="35"/>
  <c r="AM91" i="35"/>
  <c r="AN91" i="35"/>
  <c r="AO91" i="35"/>
  <c r="AP91" i="35"/>
  <c r="AQ91" i="35"/>
  <c r="AR91" i="35"/>
  <c r="AS91" i="35"/>
  <c r="B92" i="35"/>
  <c r="C92" i="35"/>
  <c r="D92" i="35"/>
  <c r="E92" i="35"/>
  <c r="F92" i="35"/>
  <c r="G92" i="35"/>
  <c r="H92" i="35"/>
  <c r="I92" i="35"/>
  <c r="J92" i="35"/>
  <c r="K92" i="35"/>
  <c r="L92" i="35"/>
  <c r="M92" i="35"/>
  <c r="N92" i="35"/>
  <c r="O92" i="35"/>
  <c r="R92" i="35"/>
  <c r="S92" i="35"/>
  <c r="T92" i="35"/>
  <c r="U92" i="35"/>
  <c r="V92" i="35"/>
  <c r="W92" i="35"/>
  <c r="X92" i="35"/>
  <c r="Y92" i="35"/>
  <c r="Z92" i="35"/>
  <c r="AA92" i="35"/>
  <c r="AB92" i="35"/>
  <c r="AC92" i="35"/>
  <c r="AD92" i="35"/>
  <c r="AG92" i="35"/>
  <c r="AH92" i="35"/>
  <c r="AI92" i="35"/>
  <c r="AJ92" i="35"/>
  <c r="AK92" i="35"/>
  <c r="AL92" i="35"/>
  <c r="AM92" i="35"/>
  <c r="AN92" i="35"/>
  <c r="AO92" i="35"/>
  <c r="AP92" i="35"/>
  <c r="AQ92" i="35"/>
  <c r="AR92" i="35"/>
  <c r="AS92" i="35"/>
  <c r="B93" i="35"/>
  <c r="C93" i="35"/>
  <c r="D93" i="35"/>
  <c r="E93" i="35"/>
  <c r="F93" i="35"/>
  <c r="G93" i="35"/>
  <c r="H93" i="35"/>
  <c r="I93" i="35"/>
  <c r="J93" i="35"/>
  <c r="K93" i="35"/>
  <c r="L93" i="35"/>
  <c r="M93" i="35"/>
  <c r="N93" i="35"/>
  <c r="O93" i="35"/>
  <c r="R93" i="35"/>
  <c r="S93" i="35"/>
  <c r="T93" i="35"/>
  <c r="U93" i="35"/>
  <c r="V93" i="35"/>
  <c r="W93" i="35"/>
  <c r="X93" i="35"/>
  <c r="Y93" i="35"/>
  <c r="Z93" i="35"/>
  <c r="AA93" i="35"/>
  <c r="AB93" i="35"/>
  <c r="AC93" i="35"/>
  <c r="AD93" i="35"/>
  <c r="AG93" i="35"/>
  <c r="AH93" i="35"/>
  <c r="AI93" i="35"/>
  <c r="AJ93" i="35"/>
  <c r="AK93" i="35"/>
  <c r="AL93" i="35"/>
  <c r="AM93" i="35"/>
  <c r="AN93" i="35"/>
  <c r="AO93" i="35"/>
  <c r="AP93" i="35"/>
  <c r="AQ93" i="35"/>
  <c r="AR93" i="35"/>
  <c r="AS93" i="35"/>
  <c r="C94" i="35"/>
  <c r="D94" i="35"/>
  <c r="E94" i="35"/>
  <c r="F94" i="35"/>
  <c r="G94" i="35"/>
  <c r="H94" i="35"/>
  <c r="I94" i="35"/>
  <c r="J94" i="35"/>
  <c r="K94" i="35"/>
  <c r="L94" i="35"/>
  <c r="M94" i="35"/>
  <c r="N94" i="35"/>
  <c r="O94" i="35"/>
  <c r="R94" i="35"/>
  <c r="S94" i="35"/>
  <c r="T94" i="35"/>
  <c r="U94" i="35"/>
  <c r="V94" i="35"/>
  <c r="W94" i="35"/>
  <c r="X94" i="35"/>
  <c r="Y94" i="35"/>
  <c r="Z94" i="35"/>
  <c r="AA94" i="35"/>
  <c r="AB94" i="35"/>
  <c r="AC94" i="35"/>
  <c r="AD94" i="35"/>
  <c r="AG94" i="35"/>
  <c r="AH94" i="35"/>
  <c r="AI94" i="35"/>
  <c r="AJ94" i="35"/>
  <c r="AK94" i="35"/>
  <c r="AL94" i="35"/>
  <c r="AM94" i="35"/>
  <c r="AN94" i="35"/>
  <c r="AO94" i="35"/>
  <c r="AP94" i="35"/>
  <c r="AQ94" i="35"/>
  <c r="AR94" i="35"/>
  <c r="AS94" i="35"/>
  <c r="B96" i="35"/>
  <c r="B97" i="35"/>
  <c r="C97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G97" i="35"/>
  <c r="AH97" i="35"/>
  <c r="AI97" i="35"/>
  <c r="AJ97" i="35"/>
  <c r="AK97" i="35"/>
  <c r="AL97" i="35"/>
  <c r="AM97" i="35"/>
  <c r="AN97" i="35"/>
  <c r="AO97" i="35"/>
  <c r="AP97" i="35"/>
  <c r="AQ97" i="35"/>
  <c r="AR97" i="35"/>
  <c r="AS97" i="35"/>
  <c r="B98" i="35"/>
  <c r="C98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G98" i="35"/>
  <c r="AH98" i="35"/>
  <c r="AI98" i="35"/>
  <c r="AJ98" i="35"/>
  <c r="AK98" i="35"/>
  <c r="AL98" i="35"/>
  <c r="AM98" i="35"/>
  <c r="AN98" i="35"/>
  <c r="AO98" i="35"/>
  <c r="AP98" i="35"/>
  <c r="AQ98" i="35"/>
  <c r="AR98" i="35"/>
  <c r="AS98" i="35"/>
  <c r="B99" i="35"/>
  <c r="C99" i="35"/>
  <c r="D99" i="35"/>
  <c r="E99" i="35"/>
  <c r="F99" i="35"/>
  <c r="G99" i="35"/>
  <c r="H99" i="35"/>
  <c r="I99" i="35"/>
  <c r="J99" i="35"/>
  <c r="K99" i="35"/>
  <c r="L99" i="35"/>
  <c r="M99" i="35"/>
  <c r="N99" i="35"/>
  <c r="O99" i="35"/>
  <c r="R99" i="35"/>
  <c r="S99" i="35"/>
  <c r="T99" i="35"/>
  <c r="U99" i="35"/>
  <c r="V99" i="35"/>
  <c r="W99" i="35"/>
  <c r="X99" i="35"/>
  <c r="Y99" i="35"/>
  <c r="Z99" i="35"/>
  <c r="AA99" i="35"/>
  <c r="AB99" i="35"/>
  <c r="AC99" i="35"/>
  <c r="AD99" i="35"/>
  <c r="AG99" i="35"/>
  <c r="AH99" i="35"/>
  <c r="AI99" i="35"/>
  <c r="AJ99" i="35"/>
  <c r="AK99" i="35"/>
  <c r="AL99" i="35"/>
  <c r="AM99" i="35"/>
  <c r="AN99" i="35"/>
  <c r="AO99" i="35"/>
  <c r="AP99" i="35"/>
  <c r="AQ99" i="35"/>
  <c r="AR99" i="35"/>
  <c r="AS99" i="35"/>
  <c r="B100" i="35"/>
  <c r="C100" i="35"/>
  <c r="D100" i="35"/>
  <c r="E100" i="35"/>
  <c r="F100" i="35"/>
  <c r="G100" i="35"/>
  <c r="H100" i="35"/>
  <c r="I100" i="35"/>
  <c r="J100" i="35"/>
  <c r="K100" i="35"/>
  <c r="L100" i="35"/>
  <c r="M100" i="35"/>
  <c r="N100" i="35"/>
  <c r="O100" i="35"/>
  <c r="R100" i="35"/>
  <c r="S100" i="35"/>
  <c r="T100" i="35"/>
  <c r="U100" i="35"/>
  <c r="V100" i="35"/>
  <c r="W100" i="35"/>
  <c r="X100" i="35"/>
  <c r="Y100" i="35"/>
  <c r="Z100" i="35"/>
  <c r="AA100" i="35"/>
  <c r="AB100" i="35"/>
  <c r="AC100" i="35"/>
  <c r="AD100" i="35"/>
  <c r="AG100" i="35"/>
  <c r="AH100" i="35"/>
  <c r="AI100" i="35"/>
  <c r="AJ100" i="35"/>
  <c r="AK100" i="35"/>
  <c r="AL100" i="35"/>
  <c r="AM100" i="35"/>
  <c r="AN100" i="35"/>
  <c r="AO100" i="35"/>
  <c r="AP100" i="35"/>
  <c r="AQ100" i="35"/>
  <c r="AR100" i="35"/>
  <c r="AS100" i="35"/>
  <c r="B101" i="35"/>
  <c r="C101" i="35"/>
  <c r="D101" i="35"/>
  <c r="E101" i="35"/>
  <c r="F101" i="35"/>
  <c r="G101" i="35"/>
  <c r="H101" i="35"/>
  <c r="I101" i="35"/>
  <c r="J101" i="35"/>
  <c r="K101" i="35"/>
  <c r="L101" i="35"/>
  <c r="M101" i="35"/>
  <c r="N101" i="35"/>
  <c r="O101" i="35"/>
  <c r="R101" i="35"/>
  <c r="S101" i="35"/>
  <c r="T101" i="35"/>
  <c r="U101" i="35"/>
  <c r="V101" i="35"/>
  <c r="W101" i="35"/>
  <c r="X101" i="35"/>
  <c r="Y101" i="35"/>
  <c r="Z101" i="35"/>
  <c r="AA101" i="35"/>
  <c r="AB101" i="35"/>
  <c r="AC101" i="35"/>
  <c r="AD101" i="35"/>
  <c r="AG101" i="35"/>
  <c r="AH101" i="35"/>
  <c r="AI101" i="35"/>
  <c r="AJ101" i="35"/>
  <c r="AK101" i="35"/>
  <c r="AL101" i="35"/>
  <c r="AM101" i="35"/>
  <c r="AN101" i="35"/>
  <c r="AO101" i="35"/>
  <c r="AP101" i="35"/>
  <c r="AQ101" i="35"/>
  <c r="AR101" i="35"/>
  <c r="AS101" i="35"/>
  <c r="B102" i="35"/>
  <c r="C102" i="35"/>
  <c r="D102" i="35"/>
  <c r="E102" i="35"/>
  <c r="F102" i="35"/>
  <c r="G102" i="35"/>
  <c r="H102" i="35"/>
  <c r="I102" i="35"/>
  <c r="J102" i="35"/>
  <c r="K102" i="35"/>
  <c r="L102" i="35"/>
  <c r="M102" i="35"/>
  <c r="N102" i="35"/>
  <c r="O102" i="35"/>
  <c r="R102" i="35"/>
  <c r="S102" i="35"/>
  <c r="T102" i="35"/>
  <c r="U102" i="35"/>
  <c r="V102" i="35"/>
  <c r="W102" i="35"/>
  <c r="X102" i="35"/>
  <c r="Y102" i="35"/>
  <c r="Z102" i="35"/>
  <c r="AA102" i="35"/>
  <c r="AB102" i="35"/>
  <c r="AC102" i="35"/>
  <c r="AD102" i="35"/>
  <c r="AG102" i="35"/>
  <c r="AH102" i="35"/>
  <c r="AI102" i="35"/>
  <c r="AJ102" i="35"/>
  <c r="AK102" i="35"/>
  <c r="AL102" i="35"/>
  <c r="AM102" i="35"/>
  <c r="AN102" i="35"/>
  <c r="AO102" i="35"/>
  <c r="AP102" i="35"/>
  <c r="AQ102" i="35"/>
  <c r="AR102" i="35"/>
  <c r="AS102" i="35"/>
  <c r="B103" i="35"/>
  <c r="C103" i="35"/>
  <c r="D103" i="35"/>
  <c r="E103" i="35"/>
  <c r="F103" i="35"/>
  <c r="G103" i="35"/>
  <c r="H103" i="35"/>
  <c r="I103" i="35"/>
  <c r="J103" i="35"/>
  <c r="K103" i="35"/>
  <c r="L103" i="35"/>
  <c r="M103" i="35"/>
  <c r="N103" i="35"/>
  <c r="O103" i="35"/>
  <c r="R103" i="35"/>
  <c r="S103" i="35"/>
  <c r="T103" i="35"/>
  <c r="U103" i="35"/>
  <c r="V103" i="35"/>
  <c r="W103" i="35"/>
  <c r="X103" i="35"/>
  <c r="Y103" i="35"/>
  <c r="Z103" i="35"/>
  <c r="AA103" i="35"/>
  <c r="AB103" i="35"/>
  <c r="AC103" i="35"/>
  <c r="AD103" i="35"/>
  <c r="AG103" i="35"/>
  <c r="AH103" i="35"/>
  <c r="AI103" i="35"/>
  <c r="AJ103" i="35"/>
  <c r="AK103" i="35"/>
  <c r="AL103" i="35"/>
  <c r="AM103" i="35"/>
  <c r="AN103" i="35"/>
  <c r="AO103" i="35"/>
  <c r="AP103" i="35"/>
  <c r="AQ103" i="35"/>
  <c r="AR103" i="35"/>
  <c r="AS103" i="35"/>
  <c r="B104" i="35"/>
  <c r="C104" i="35"/>
  <c r="D104" i="35"/>
  <c r="E104" i="35"/>
  <c r="F104" i="35"/>
  <c r="G104" i="35"/>
  <c r="H104" i="35"/>
  <c r="I104" i="35"/>
  <c r="J104" i="35"/>
  <c r="K104" i="35"/>
  <c r="L104" i="35"/>
  <c r="M104" i="35"/>
  <c r="N104" i="35"/>
  <c r="O104" i="35"/>
  <c r="R104" i="35"/>
  <c r="S104" i="35"/>
  <c r="T104" i="35"/>
  <c r="U104" i="35"/>
  <c r="V104" i="35"/>
  <c r="W104" i="35"/>
  <c r="X104" i="35"/>
  <c r="Y104" i="35"/>
  <c r="Z104" i="35"/>
  <c r="AA104" i="35"/>
  <c r="AB104" i="35"/>
  <c r="AC104" i="35"/>
  <c r="AD104" i="35"/>
  <c r="AG104" i="35"/>
  <c r="AH104" i="35"/>
  <c r="AI104" i="35"/>
  <c r="AJ104" i="35"/>
  <c r="AK104" i="35"/>
  <c r="AL104" i="35"/>
  <c r="AM104" i="35"/>
  <c r="AN104" i="35"/>
  <c r="AO104" i="35"/>
  <c r="AP104" i="35"/>
  <c r="AQ104" i="35"/>
  <c r="AR104" i="35"/>
  <c r="AS104" i="35"/>
  <c r="B105" i="35"/>
  <c r="C105" i="35"/>
  <c r="D105" i="35"/>
  <c r="E105" i="35"/>
  <c r="F105" i="35"/>
  <c r="G105" i="35"/>
  <c r="H105" i="35"/>
  <c r="I105" i="35"/>
  <c r="J105" i="35"/>
  <c r="K105" i="35"/>
  <c r="L105" i="35"/>
  <c r="M105" i="35"/>
  <c r="N105" i="35"/>
  <c r="O105" i="35"/>
  <c r="R105" i="35"/>
  <c r="S105" i="35"/>
  <c r="T105" i="35"/>
  <c r="U105" i="35"/>
  <c r="V105" i="35"/>
  <c r="W105" i="35"/>
  <c r="X105" i="35"/>
  <c r="Y105" i="35"/>
  <c r="Z105" i="35"/>
  <c r="AA105" i="35"/>
  <c r="AB105" i="35"/>
  <c r="AC105" i="35"/>
  <c r="AD105" i="35"/>
  <c r="AG105" i="35"/>
  <c r="AH105" i="35"/>
  <c r="AI105" i="35"/>
  <c r="AJ105" i="35"/>
  <c r="AK105" i="35"/>
  <c r="AL105" i="35"/>
  <c r="AM105" i="35"/>
  <c r="AN105" i="35"/>
  <c r="AO105" i="35"/>
  <c r="AP105" i="35"/>
  <c r="AQ105" i="35"/>
  <c r="AR105" i="35"/>
  <c r="AS105" i="35"/>
  <c r="B106" i="35"/>
  <c r="C106" i="35"/>
  <c r="D106" i="35"/>
  <c r="E106" i="35"/>
  <c r="F106" i="35"/>
  <c r="G106" i="35"/>
  <c r="H106" i="35"/>
  <c r="I106" i="35"/>
  <c r="J106" i="35"/>
  <c r="K106" i="35"/>
  <c r="L106" i="35"/>
  <c r="M106" i="35"/>
  <c r="N106" i="35"/>
  <c r="O106" i="35"/>
  <c r="R106" i="35"/>
  <c r="S106" i="35"/>
  <c r="T106" i="35"/>
  <c r="U106" i="35"/>
  <c r="V106" i="35"/>
  <c r="W106" i="35"/>
  <c r="X106" i="35"/>
  <c r="Y106" i="35"/>
  <c r="Z106" i="35"/>
  <c r="AA106" i="35"/>
  <c r="AB106" i="35"/>
  <c r="AC106" i="35"/>
  <c r="AD106" i="35"/>
  <c r="AG106" i="35"/>
  <c r="AH106" i="35"/>
  <c r="AI106" i="35"/>
  <c r="AJ106" i="35"/>
  <c r="AK106" i="35"/>
  <c r="AL106" i="35"/>
  <c r="AM106" i="35"/>
  <c r="AN106" i="35"/>
  <c r="AO106" i="35"/>
  <c r="AP106" i="35"/>
  <c r="AQ106" i="35"/>
  <c r="AR106" i="35"/>
  <c r="AS106" i="35"/>
  <c r="B107" i="35"/>
  <c r="C107" i="35"/>
  <c r="D107" i="35"/>
  <c r="E107" i="35"/>
  <c r="F107" i="35"/>
  <c r="G107" i="35"/>
  <c r="H107" i="35"/>
  <c r="I107" i="35"/>
  <c r="J107" i="35"/>
  <c r="K107" i="35"/>
  <c r="L107" i="35"/>
  <c r="M107" i="35"/>
  <c r="N107" i="35"/>
  <c r="O107" i="35"/>
  <c r="R107" i="35"/>
  <c r="S107" i="35"/>
  <c r="T107" i="35"/>
  <c r="U107" i="35"/>
  <c r="V107" i="35"/>
  <c r="W107" i="35"/>
  <c r="X107" i="35"/>
  <c r="Y107" i="35"/>
  <c r="Z107" i="35"/>
  <c r="AA107" i="35"/>
  <c r="AB107" i="35"/>
  <c r="AC107" i="35"/>
  <c r="AD107" i="35"/>
  <c r="AG107" i="35"/>
  <c r="AH107" i="35"/>
  <c r="AI107" i="35"/>
  <c r="AJ107" i="35"/>
  <c r="AK107" i="35"/>
  <c r="AL107" i="35"/>
  <c r="AM107" i="35"/>
  <c r="AN107" i="35"/>
  <c r="AO107" i="35"/>
  <c r="AP107" i="35"/>
  <c r="AQ107" i="35"/>
  <c r="AR107" i="35"/>
  <c r="AS107" i="35"/>
  <c r="B108" i="35"/>
  <c r="C108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G108" i="35"/>
  <c r="AH108" i="35"/>
  <c r="AI108" i="35"/>
  <c r="AJ108" i="35"/>
  <c r="AK108" i="35"/>
  <c r="AL108" i="35"/>
  <c r="AM108" i="35"/>
  <c r="AN108" i="35"/>
  <c r="AO108" i="35"/>
  <c r="AP108" i="35"/>
  <c r="AQ108" i="35"/>
  <c r="AR108" i="35"/>
  <c r="AS108" i="35"/>
  <c r="B109" i="35"/>
  <c r="C109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G109" i="35"/>
  <c r="AH109" i="35"/>
  <c r="AI109" i="35"/>
  <c r="AJ109" i="35"/>
  <c r="AK109" i="35"/>
  <c r="AL109" i="35"/>
  <c r="AM109" i="35"/>
  <c r="AN109" i="35"/>
  <c r="AO109" i="35"/>
  <c r="AP109" i="35"/>
  <c r="AQ109" i="35"/>
  <c r="AR109" i="35"/>
  <c r="AS109" i="35"/>
  <c r="B110" i="35"/>
  <c r="C110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G110" i="35"/>
  <c r="AH110" i="35"/>
  <c r="AI110" i="35"/>
  <c r="AJ110" i="35"/>
  <c r="AK110" i="35"/>
  <c r="AL110" i="35"/>
  <c r="AM110" i="35"/>
  <c r="AN110" i="35"/>
  <c r="AO110" i="35"/>
  <c r="AP110" i="35"/>
  <c r="AQ110" i="35"/>
  <c r="AR110" i="35"/>
  <c r="AS110" i="35"/>
  <c r="C111" i="35"/>
  <c r="D111" i="35"/>
  <c r="E111" i="35"/>
  <c r="F111" i="35"/>
  <c r="G111" i="35"/>
  <c r="H111" i="35"/>
  <c r="I111" i="35"/>
  <c r="J111" i="35"/>
  <c r="K111" i="35"/>
  <c r="L111" i="35"/>
  <c r="M111" i="35"/>
  <c r="N111" i="35"/>
  <c r="O111" i="35"/>
  <c r="R111" i="35"/>
  <c r="S111" i="35"/>
  <c r="T111" i="35"/>
  <c r="U111" i="35"/>
  <c r="V111" i="35"/>
  <c r="W111" i="35"/>
  <c r="X111" i="35"/>
  <c r="Y111" i="35"/>
  <c r="Z111" i="35"/>
  <c r="AA111" i="35"/>
  <c r="AB111" i="35"/>
  <c r="AC111" i="35"/>
  <c r="AD111" i="35"/>
  <c r="AG111" i="35"/>
  <c r="AH111" i="35"/>
  <c r="AI111" i="35"/>
  <c r="AJ111" i="35"/>
  <c r="AK111" i="35"/>
  <c r="AL111" i="35"/>
  <c r="AM111" i="35"/>
  <c r="AN111" i="35"/>
  <c r="AO111" i="35"/>
  <c r="AP111" i="35"/>
  <c r="AQ111" i="35"/>
  <c r="AR111" i="35"/>
  <c r="AS111" i="35"/>
  <c r="B113" i="35"/>
  <c r="B114" i="35"/>
  <c r="C114" i="35"/>
  <c r="D114" i="35"/>
  <c r="E114" i="35"/>
  <c r="F114" i="35"/>
  <c r="G114" i="35"/>
  <c r="H114" i="35"/>
  <c r="I114" i="35"/>
  <c r="J114" i="35"/>
  <c r="K114" i="35"/>
  <c r="L114" i="35"/>
  <c r="M114" i="35"/>
  <c r="N114" i="35"/>
  <c r="O114" i="35"/>
  <c r="R114" i="35"/>
  <c r="S114" i="35"/>
  <c r="T114" i="35"/>
  <c r="U114" i="35"/>
  <c r="V114" i="35"/>
  <c r="W114" i="35"/>
  <c r="X114" i="35"/>
  <c r="Y114" i="35"/>
  <c r="Z114" i="35"/>
  <c r="AA114" i="35"/>
  <c r="AB114" i="35"/>
  <c r="AC114" i="35"/>
  <c r="AD114" i="35"/>
  <c r="AG114" i="35"/>
  <c r="AH114" i="35"/>
  <c r="AI114" i="35"/>
  <c r="AJ114" i="35"/>
  <c r="AK114" i="35"/>
  <c r="AL114" i="35"/>
  <c r="AM114" i="35"/>
  <c r="AN114" i="35"/>
  <c r="AO114" i="35"/>
  <c r="AP114" i="35"/>
  <c r="AQ114" i="35"/>
  <c r="AR114" i="35"/>
  <c r="AS114" i="35"/>
  <c r="B115" i="35"/>
  <c r="C115" i="35"/>
  <c r="D115" i="35"/>
  <c r="E115" i="35"/>
  <c r="F115" i="35"/>
  <c r="G115" i="35"/>
  <c r="H115" i="35"/>
  <c r="I115" i="35"/>
  <c r="J115" i="35"/>
  <c r="K115" i="35"/>
  <c r="L115" i="35"/>
  <c r="M115" i="35"/>
  <c r="N115" i="35"/>
  <c r="O115" i="35"/>
  <c r="R115" i="35"/>
  <c r="S115" i="35"/>
  <c r="T115" i="35"/>
  <c r="U115" i="35"/>
  <c r="V115" i="35"/>
  <c r="W115" i="35"/>
  <c r="X115" i="35"/>
  <c r="Y115" i="35"/>
  <c r="Z115" i="35"/>
  <c r="AA115" i="35"/>
  <c r="AB115" i="35"/>
  <c r="AC115" i="35"/>
  <c r="AD115" i="35"/>
  <c r="AG115" i="35"/>
  <c r="AH115" i="35"/>
  <c r="AI115" i="35"/>
  <c r="AJ115" i="35"/>
  <c r="AK115" i="35"/>
  <c r="AL115" i="35"/>
  <c r="AM115" i="35"/>
  <c r="AN115" i="35"/>
  <c r="AO115" i="35"/>
  <c r="AP115" i="35"/>
  <c r="AQ115" i="35"/>
  <c r="AR115" i="35"/>
  <c r="AS115" i="35"/>
  <c r="B116" i="35"/>
  <c r="O116" i="35"/>
  <c r="AD116" i="35"/>
  <c r="AS116" i="35"/>
  <c r="B117" i="35"/>
  <c r="C117" i="35"/>
  <c r="D117" i="35"/>
  <c r="E117" i="35"/>
  <c r="F117" i="35"/>
  <c r="G117" i="35"/>
  <c r="H117" i="35"/>
  <c r="I117" i="35"/>
  <c r="J117" i="35"/>
  <c r="K117" i="35"/>
  <c r="L117" i="35"/>
  <c r="M117" i="35"/>
  <c r="N117" i="35"/>
  <c r="O117" i="35"/>
  <c r="R117" i="35"/>
  <c r="S117" i="35"/>
  <c r="T117" i="35"/>
  <c r="U117" i="35"/>
  <c r="V117" i="35"/>
  <c r="W117" i="35"/>
  <c r="X117" i="35"/>
  <c r="Y117" i="35"/>
  <c r="Z117" i="35"/>
  <c r="AA117" i="35"/>
  <c r="AB117" i="35"/>
  <c r="AC117" i="35"/>
  <c r="AD117" i="35"/>
  <c r="AG117" i="35"/>
  <c r="AH117" i="35"/>
  <c r="AI117" i="35"/>
  <c r="AJ117" i="35"/>
  <c r="AK117" i="35"/>
  <c r="AL117" i="35"/>
  <c r="AM117" i="35"/>
  <c r="AN117" i="35"/>
  <c r="AO117" i="35"/>
  <c r="AP117" i="35"/>
  <c r="AQ117" i="35"/>
  <c r="AR117" i="35"/>
  <c r="AS117" i="35"/>
  <c r="O118" i="35"/>
  <c r="AD118" i="35"/>
  <c r="AS118" i="35"/>
  <c r="C119" i="35"/>
  <c r="D119" i="35"/>
  <c r="E119" i="35"/>
  <c r="F119" i="35"/>
  <c r="G119" i="35"/>
  <c r="H119" i="35"/>
  <c r="I119" i="35"/>
  <c r="J119" i="35"/>
  <c r="K119" i="35"/>
  <c r="L119" i="35"/>
  <c r="M119" i="35"/>
  <c r="N119" i="35"/>
  <c r="O119" i="35"/>
  <c r="R119" i="35"/>
  <c r="S119" i="35"/>
  <c r="T119" i="35"/>
  <c r="U119" i="35"/>
  <c r="V119" i="35"/>
  <c r="W119" i="35"/>
  <c r="X119" i="35"/>
  <c r="Y119" i="35"/>
  <c r="Z119" i="35"/>
  <c r="AA119" i="35"/>
  <c r="AB119" i="35"/>
  <c r="AC119" i="35"/>
  <c r="AD119" i="35"/>
  <c r="AG119" i="35"/>
  <c r="AH119" i="35"/>
  <c r="AI119" i="35"/>
  <c r="AJ119" i="35"/>
  <c r="AK119" i="35"/>
  <c r="AL119" i="35"/>
  <c r="AM119" i="35"/>
  <c r="AN119" i="35"/>
  <c r="AO119" i="35"/>
  <c r="AP119" i="35"/>
  <c r="AQ119" i="35"/>
  <c r="AR119" i="35"/>
  <c r="AS119" i="35"/>
  <c r="B121" i="35"/>
  <c r="B122" i="35"/>
  <c r="C122" i="35"/>
  <c r="D122" i="35"/>
  <c r="E122" i="35"/>
  <c r="F122" i="35"/>
  <c r="G122" i="35"/>
  <c r="H122" i="35"/>
  <c r="I122" i="35"/>
  <c r="J122" i="35"/>
  <c r="K122" i="35"/>
  <c r="L122" i="35"/>
  <c r="M122" i="35"/>
  <c r="N122" i="35"/>
  <c r="O122" i="35"/>
  <c r="R122" i="35"/>
  <c r="S122" i="35"/>
  <c r="T122" i="35"/>
  <c r="U122" i="35"/>
  <c r="V122" i="35"/>
  <c r="W122" i="35"/>
  <c r="X122" i="35"/>
  <c r="Y122" i="35"/>
  <c r="Z122" i="35"/>
  <c r="AA122" i="35"/>
  <c r="AB122" i="35"/>
  <c r="AC122" i="35"/>
  <c r="AD122" i="35"/>
  <c r="AG122" i="35"/>
  <c r="AH122" i="35"/>
  <c r="AI122" i="35"/>
  <c r="AJ122" i="35"/>
  <c r="AK122" i="35"/>
  <c r="AL122" i="35"/>
  <c r="AM122" i="35"/>
  <c r="AN122" i="35"/>
  <c r="AO122" i="35"/>
  <c r="AP122" i="35"/>
  <c r="AQ122" i="35"/>
  <c r="AR122" i="35"/>
  <c r="AS122" i="35"/>
  <c r="B123" i="35"/>
  <c r="C123" i="35"/>
  <c r="D123" i="35"/>
  <c r="E123" i="35"/>
  <c r="F123" i="35"/>
  <c r="G123" i="35"/>
  <c r="H123" i="35"/>
  <c r="I123" i="35"/>
  <c r="J123" i="35"/>
  <c r="K123" i="35"/>
  <c r="L123" i="35"/>
  <c r="M123" i="35"/>
  <c r="N123" i="35"/>
  <c r="O123" i="35"/>
  <c r="R123" i="35"/>
  <c r="S123" i="35"/>
  <c r="T123" i="35"/>
  <c r="U123" i="35"/>
  <c r="V123" i="35"/>
  <c r="W123" i="35"/>
  <c r="X123" i="35"/>
  <c r="Y123" i="35"/>
  <c r="Z123" i="35"/>
  <c r="AA123" i="35"/>
  <c r="AB123" i="35"/>
  <c r="AC123" i="35"/>
  <c r="AD123" i="35"/>
  <c r="AG123" i="35"/>
  <c r="AH123" i="35"/>
  <c r="AI123" i="35"/>
  <c r="AJ123" i="35"/>
  <c r="AK123" i="35"/>
  <c r="AL123" i="35"/>
  <c r="AM123" i="35"/>
  <c r="AN123" i="35"/>
  <c r="AO123" i="35"/>
  <c r="AP123" i="35"/>
  <c r="AQ123" i="35"/>
  <c r="AR123" i="35"/>
  <c r="AS123" i="35"/>
  <c r="B124" i="35"/>
  <c r="C124" i="35"/>
  <c r="D124" i="35"/>
  <c r="E124" i="35"/>
  <c r="F124" i="35"/>
  <c r="G124" i="35"/>
  <c r="H124" i="35"/>
  <c r="I124" i="35"/>
  <c r="J124" i="35"/>
  <c r="K124" i="35"/>
  <c r="L124" i="35"/>
  <c r="M124" i="35"/>
  <c r="N124" i="35"/>
  <c r="O124" i="35"/>
  <c r="R124" i="35"/>
  <c r="S124" i="35"/>
  <c r="T124" i="35"/>
  <c r="U124" i="35"/>
  <c r="V124" i="35"/>
  <c r="W124" i="35"/>
  <c r="X124" i="35"/>
  <c r="Y124" i="35"/>
  <c r="Z124" i="35"/>
  <c r="AA124" i="35"/>
  <c r="AB124" i="35"/>
  <c r="AC124" i="35"/>
  <c r="AD124" i="35"/>
  <c r="AG124" i="35"/>
  <c r="AH124" i="35"/>
  <c r="AI124" i="35"/>
  <c r="AJ124" i="35"/>
  <c r="AK124" i="35"/>
  <c r="AL124" i="35"/>
  <c r="AM124" i="35"/>
  <c r="AN124" i="35"/>
  <c r="AO124" i="35"/>
  <c r="AP124" i="35"/>
  <c r="AQ124" i="35"/>
  <c r="AR124" i="35"/>
  <c r="AS124" i="35"/>
  <c r="B125" i="35"/>
  <c r="C125" i="35"/>
  <c r="D125" i="35"/>
  <c r="E125" i="35"/>
  <c r="F125" i="35"/>
  <c r="G125" i="35"/>
  <c r="H125" i="35"/>
  <c r="I125" i="35"/>
  <c r="J125" i="35"/>
  <c r="K125" i="35"/>
  <c r="L125" i="35"/>
  <c r="M125" i="35"/>
  <c r="N125" i="35"/>
  <c r="O125" i="35"/>
  <c r="R125" i="35"/>
  <c r="S125" i="35"/>
  <c r="T125" i="35"/>
  <c r="U125" i="35"/>
  <c r="V125" i="35"/>
  <c r="W125" i="35"/>
  <c r="X125" i="35"/>
  <c r="Y125" i="35"/>
  <c r="Z125" i="35"/>
  <c r="AA125" i="35"/>
  <c r="AB125" i="35"/>
  <c r="AC125" i="35"/>
  <c r="AD125" i="35"/>
  <c r="AG125" i="35"/>
  <c r="AH125" i="35"/>
  <c r="AI125" i="35"/>
  <c r="AJ125" i="35"/>
  <c r="AK125" i="35"/>
  <c r="AL125" i="35"/>
  <c r="AM125" i="35"/>
  <c r="AN125" i="35"/>
  <c r="AO125" i="35"/>
  <c r="AP125" i="35"/>
  <c r="AQ125" i="35"/>
  <c r="AR125" i="35"/>
  <c r="AS125" i="35"/>
  <c r="B126" i="35"/>
  <c r="C126" i="35"/>
  <c r="D126" i="35"/>
  <c r="E126" i="35"/>
  <c r="F126" i="35"/>
  <c r="G126" i="35"/>
  <c r="H126" i="35"/>
  <c r="I126" i="35"/>
  <c r="J126" i="35"/>
  <c r="K126" i="35"/>
  <c r="L126" i="35"/>
  <c r="M126" i="35"/>
  <c r="N126" i="35"/>
  <c r="O126" i="35"/>
  <c r="R126" i="35"/>
  <c r="S126" i="35"/>
  <c r="T126" i="35"/>
  <c r="U126" i="35"/>
  <c r="V126" i="35"/>
  <c r="W126" i="35"/>
  <c r="X126" i="35"/>
  <c r="Y126" i="35"/>
  <c r="Z126" i="35"/>
  <c r="AA126" i="35"/>
  <c r="AB126" i="35"/>
  <c r="AC126" i="35"/>
  <c r="AD126" i="35"/>
  <c r="AG126" i="35"/>
  <c r="AH126" i="35"/>
  <c r="AI126" i="35"/>
  <c r="AJ126" i="35"/>
  <c r="AK126" i="35"/>
  <c r="AL126" i="35"/>
  <c r="AM126" i="35"/>
  <c r="AN126" i="35"/>
  <c r="AO126" i="35"/>
  <c r="AP126" i="35"/>
  <c r="AQ126" i="35"/>
  <c r="AR126" i="35"/>
  <c r="AS126" i="35"/>
  <c r="C127" i="35"/>
  <c r="D127" i="35"/>
  <c r="E127" i="35"/>
  <c r="F127" i="35"/>
  <c r="G127" i="35"/>
  <c r="H127" i="35"/>
  <c r="I127" i="35"/>
  <c r="J127" i="35"/>
  <c r="K127" i="35"/>
  <c r="L127" i="35"/>
  <c r="M127" i="35"/>
  <c r="N127" i="35"/>
  <c r="O127" i="35"/>
  <c r="R127" i="35"/>
  <c r="S127" i="35"/>
  <c r="T127" i="35"/>
  <c r="U127" i="35"/>
  <c r="V127" i="35"/>
  <c r="W127" i="35"/>
  <c r="X127" i="35"/>
  <c r="Y127" i="35"/>
  <c r="Z127" i="35"/>
  <c r="AA127" i="35"/>
  <c r="AB127" i="35"/>
  <c r="AC127" i="35"/>
  <c r="AD127" i="35"/>
  <c r="AG127" i="35"/>
  <c r="AH127" i="35"/>
  <c r="AI127" i="35"/>
  <c r="AJ127" i="35"/>
  <c r="AK127" i="35"/>
  <c r="AL127" i="35"/>
  <c r="AM127" i="35"/>
  <c r="AN127" i="35"/>
  <c r="AO127" i="35"/>
  <c r="AP127" i="35"/>
  <c r="AQ127" i="35"/>
  <c r="AR127" i="35"/>
  <c r="AS127" i="35"/>
  <c r="B129" i="35"/>
  <c r="B130" i="35"/>
  <c r="C130" i="35"/>
  <c r="D130" i="35"/>
  <c r="E130" i="35"/>
  <c r="F130" i="35"/>
  <c r="G130" i="35"/>
  <c r="H130" i="35"/>
  <c r="I130" i="35"/>
  <c r="J130" i="35"/>
  <c r="K130" i="35"/>
  <c r="L130" i="35"/>
  <c r="M130" i="35"/>
  <c r="N130" i="35"/>
  <c r="O130" i="35"/>
  <c r="R130" i="35"/>
  <c r="S130" i="35"/>
  <c r="T130" i="35"/>
  <c r="U130" i="35"/>
  <c r="V130" i="35"/>
  <c r="W130" i="35"/>
  <c r="X130" i="35"/>
  <c r="Y130" i="35"/>
  <c r="Z130" i="35"/>
  <c r="AA130" i="35"/>
  <c r="AB130" i="35"/>
  <c r="AC130" i="35"/>
  <c r="AD130" i="35"/>
  <c r="AG130" i="35"/>
  <c r="AH130" i="35"/>
  <c r="AI130" i="35"/>
  <c r="AJ130" i="35"/>
  <c r="AK130" i="35"/>
  <c r="AL130" i="35"/>
  <c r="AM130" i="35"/>
  <c r="AN130" i="35"/>
  <c r="AO130" i="35"/>
  <c r="AP130" i="35"/>
  <c r="AQ130" i="35"/>
  <c r="AR130" i="35"/>
  <c r="AS130" i="35"/>
  <c r="B131" i="35"/>
  <c r="C131" i="35"/>
  <c r="D131" i="35"/>
  <c r="E131" i="35"/>
  <c r="F131" i="35"/>
  <c r="G131" i="35"/>
  <c r="H131" i="35"/>
  <c r="I131" i="35"/>
  <c r="J131" i="35"/>
  <c r="K131" i="35"/>
  <c r="L131" i="35"/>
  <c r="M131" i="35"/>
  <c r="N131" i="35"/>
  <c r="O131" i="35"/>
  <c r="R131" i="35"/>
  <c r="S131" i="35"/>
  <c r="T131" i="35"/>
  <c r="U131" i="35"/>
  <c r="V131" i="35"/>
  <c r="W131" i="35"/>
  <c r="X131" i="35"/>
  <c r="Y131" i="35"/>
  <c r="Z131" i="35"/>
  <c r="AA131" i="35"/>
  <c r="AB131" i="35"/>
  <c r="AC131" i="35"/>
  <c r="AD131" i="35"/>
  <c r="AG131" i="35"/>
  <c r="AH131" i="35"/>
  <c r="AI131" i="35"/>
  <c r="AJ131" i="35"/>
  <c r="AK131" i="35"/>
  <c r="AL131" i="35"/>
  <c r="AM131" i="35"/>
  <c r="AN131" i="35"/>
  <c r="AO131" i="35"/>
  <c r="AP131" i="35"/>
  <c r="AQ131" i="35"/>
  <c r="AR131" i="35"/>
  <c r="AS131" i="35"/>
  <c r="O132" i="35"/>
  <c r="AD132" i="35"/>
  <c r="AS132" i="35"/>
  <c r="C133" i="35"/>
  <c r="D133" i="35"/>
  <c r="E133" i="35"/>
  <c r="F133" i="35"/>
  <c r="G133" i="35"/>
  <c r="H133" i="35"/>
  <c r="I133" i="35"/>
  <c r="J133" i="35"/>
  <c r="K133" i="35"/>
  <c r="L133" i="35"/>
  <c r="M133" i="35"/>
  <c r="N133" i="35"/>
  <c r="O133" i="35"/>
  <c r="R133" i="35"/>
  <c r="S133" i="35"/>
  <c r="T133" i="35"/>
  <c r="U133" i="35"/>
  <c r="V133" i="35"/>
  <c r="W133" i="35"/>
  <c r="X133" i="35"/>
  <c r="Y133" i="35"/>
  <c r="Z133" i="35"/>
  <c r="AA133" i="35"/>
  <c r="AB133" i="35"/>
  <c r="AC133" i="35"/>
  <c r="AD133" i="35"/>
  <c r="AG133" i="35"/>
  <c r="AH133" i="35"/>
  <c r="AI133" i="35"/>
  <c r="AJ133" i="35"/>
  <c r="AK133" i="35"/>
  <c r="AL133" i="35"/>
  <c r="AM133" i="35"/>
  <c r="AN133" i="35"/>
  <c r="AO133" i="35"/>
  <c r="AP133" i="35"/>
  <c r="AQ133" i="35"/>
  <c r="AR133" i="35"/>
  <c r="AS133" i="35"/>
  <c r="B135" i="35"/>
  <c r="B136" i="35"/>
  <c r="C136" i="35"/>
  <c r="D136" i="35"/>
  <c r="E136" i="35"/>
  <c r="F136" i="35"/>
  <c r="G136" i="35"/>
  <c r="H136" i="35"/>
  <c r="I136" i="35"/>
  <c r="J136" i="35"/>
  <c r="K136" i="35"/>
  <c r="L136" i="35"/>
  <c r="M136" i="35"/>
  <c r="N136" i="35"/>
  <c r="O136" i="35"/>
  <c r="R136" i="35"/>
  <c r="S136" i="35"/>
  <c r="T136" i="35"/>
  <c r="U136" i="35"/>
  <c r="V136" i="35"/>
  <c r="W136" i="35"/>
  <c r="X136" i="35"/>
  <c r="Y136" i="35"/>
  <c r="Z136" i="35"/>
  <c r="AA136" i="35"/>
  <c r="AB136" i="35"/>
  <c r="AC136" i="35"/>
  <c r="AD136" i="35"/>
  <c r="AG136" i="35"/>
  <c r="AH136" i="35"/>
  <c r="AI136" i="35"/>
  <c r="AJ136" i="35"/>
  <c r="AK136" i="35"/>
  <c r="AL136" i="35"/>
  <c r="AM136" i="35"/>
  <c r="AN136" i="35"/>
  <c r="AO136" i="35"/>
  <c r="AP136" i="35"/>
  <c r="AQ136" i="35"/>
  <c r="AR136" i="35"/>
  <c r="AS136" i="35"/>
  <c r="B137" i="35"/>
  <c r="O137" i="35"/>
  <c r="AD137" i="35"/>
  <c r="AS137" i="35"/>
  <c r="B138" i="35"/>
  <c r="O138" i="35"/>
  <c r="AD138" i="35"/>
  <c r="AS138" i="35"/>
  <c r="B139" i="35"/>
  <c r="O139" i="35"/>
  <c r="AD139" i="35"/>
  <c r="AS139" i="35"/>
  <c r="C140" i="35"/>
  <c r="D140" i="35"/>
  <c r="E140" i="35"/>
  <c r="F140" i="35"/>
  <c r="G140" i="35"/>
  <c r="H140" i="35"/>
  <c r="I140" i="35"/>
  <c r="J140" i="35"/>
  <c r="K140" i="35"/>
  <c r="L140" i="35"/>
  <c r="M140" i="35"/>
  <c r="N140" i="35"/>
  <c r="O140" i="35"/>
  <c r="R140" i="35"/>
  <c r="S140" i="35"/>
  <c r="T140" i="35"/>
  <c r="U140" i="35"/>
  <c r="V140" i="35"/>
  <c r="W140" i="35"/>
  <c r="X140" i="35"/>
  <c r="Y140" i="35"/>
  <c r="Z140" i="35"/>
  <c r="AA140" i="35"/>
  <c r="AB140" i="35"/>
  <c r="AC140" i="35"/>
  <c r="AD140" i="35"/>
  <c r="AG140" i="35"/>
  <c r="AH140" i="35"/>
  <c r="AI140" i="35"/>
  <c r="AJ140" i="35"/>
  <c r="AK140" i="35"/>
  <c r="AL140" i="35"/>
  <c r="AM140" i="35"/>
  <c r="AN140" i="35"/>
  <c r="AO140" i="35"/>
  <c r="AP140" i="35"/>
  <c r="AQ140" i="35"/>
  <c r="AR140" i="35"/>
  <c r="AS140" i="35"/>
  <c r="B142" i="35"/>
  <c r="B143" i="35"/>
  <c r="C143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G143" i="35"/>
  <c r="AH143" i="35"/>
  <c r="AI143" i="35"/>
  <c r="AJ143" i="35"/>
  <c r="AK143" i="35"/>
  <c r="AL143" i="35"/>
  <c r="AM143" i="35"/>
  <c r="AN143" i="35"/>
  <c r="AO143" i="35"/>
  <c r="AP143" i="35"/>
  <c r="AQ143" i="35"/>
  <c r="AR143" i="35"/>
  <c r="AS143" i="35"/>
  <c r="B144" i="35"/>
  <c r="C144" i="35"/>
  <c r="D144" i="35"/>
  <c r="E144" i="35"/>
  <c r="F144" i="35"/>
  <c r="G144" i="35"/>
  <c r="H144" i="35"/>
  <c r="I144" i="35"/>
  <c r="J144" i="35"/>
  <c r="K144" i="35"/>
  <c r="L144" i="35"/>
  <c r="M144" i="35"/>
  <c r="N144" i="35"/>
  <c r="O144" i="35"/>
  <c r="R144" i="35"/>
  <c r="S144" i="35"/>
  <c r="T144" i="35"/>
  <c r="U144" i="35"/>
  <c r="V144" i="35"/>
  <c r="W144" i="35"/>
  <c r="X144" i="35"/>
  <c r="Y144" i="35"/>
  <c r="Z144" i="35"/>
  <c r="AA144" i="35"/>
  <c r="AB144" i="35"/>
  <c r="AC144" i="35"/>
  <c r="AD144" i="35"/>
  <c r="AG144" i="35"/>
  <c r="AH144" i="35"/>
  <c r="AI144" i="35"/>
  <c r="AJ144" i="35"/>
  <c r="AK144" i="35"/>
  <c r="AL144" i="35"/>
  <c r="AM144" i="35"/>
  <c r="AN144" i="35"/>
  <c r="AO144" i="35"/>
  <c r="AP144" i="35"/>
  <c r="AQ144" i="35"/>
  <c r="AR144" i="35"/>
  <c r="AS144" i="35"/>
  <c r="C145" i="35"/>
  <c r="D145" i="35"/>
  <c r="E145" i="35"/>
  <c r="F145" i="35"/>
  <c r="G145" i="35"/>
  <c r="H145" i="35"/>
  <c r="I145" i="35"/>
  <c r="J145" i="35"/>
  <c r="K145" i="35"/>
  <c r="L145" i="35"/>
  <c r="M145" i="35"/>
  <c r="N145" i="35"/>
  <c r="O145" i="35"/>
  <c r="R145" i="35"/>
  <c r="S145" i="35"/>
  <c r="T145" i="35"/>
  <c r="U145" i="35"/>
  <c r="V145" i="35"/>
  <c r="W145" i="35"/>
  <c r="X145" i="35"/>
  <c r="Y145" i="35"/>
  <c r="Z145" i="35"/>
  <c r="AA145" i="35"/>
  <c r="AB145" i="35"/>
  <c r="AC145" i="35"/>
  <c r="AD145" i="35"/>
  <c r="AG145" i="35"/>
  <c r="AH145" i="35"/>
  <c r="AI145" i="35"/>
  <c r="AJ145" i="35"/>
  <c r="AK145" i="35"/>
  <c r="AL145" i="35"/>
  <c r="AM145" i="35"/>
  <c r="AN145" i="35"/>
  <c r="AO145" i="35"/>
  <c r="AP145" i="35"/>
  <c r="AQ145" i="35"/>
  <c r="AR145" i="35"/>
  <c r="AS145" i="35"/>
  <c r="B147" i="35"/>
  <c r="B148" i="35"/>
  <c r="C148" i="35"/>
  <c r="D148" i="35"/>
  <c r="E148" i="35"/>
  <c r="F148" i="35"/>
  <c r="G148" i="35"/>
  <c r="H148" i="35"/>
  <c r="I148" i="35"/>
  <c r="J148" i="35"/>
  <c r="K148" i="35"/>
  <c r="L148" i="35"/>
  <c r="M148" i="35"/>
  <c r="N148" i="35"/>
  <c r="O148" i="35"/>
  <c r="R148" i="35"/>
  <c r="S148" i="35"/>
  <c r="T148" i="35"/>
  <c r="U148" i="35"/>
  <c r="V148" i="35"/>
  <c r="W148" i="35"/>
  <c r="X148" i="35"/>
  <c r="Y148" i="35"/>
  <c r="Z148" i="35"/>
  <c r="AA148" i="35"/>
  <c r="AB148" i="35"/>
  <c r="AC148" i="35"/>
  <c r="AD148" i="35"/>
  <c r="AG148" i="35"/>
  <c r="AH148" i="35"/>
  <c r="AI148" i="35"/>
  <c r="AJ148" i="35"/>
  <c r="AK148" i="35"/>
  <c r="AL148" i="35"/>
  <c r="AM148" i="35"/>
  <c r="AN148" i="35"/>
  <c r="AO148" i="35"/>
  <c r="AP148" i="35"/>
  <c r="AQ148" i="35"/>
  <c r="AR148" i="35"/>
  <c r="AS148" i="35"/>
  <c r="B149" i="35"/>
  <c r="C149" i="35"/>
  <c r="D149" i="35"/>
  <c r="E149" i="35"/>
  <c r="F149" i="35"/>
  <c r="G149" i="35"/>
  <c r="H149" i="35"/>
  <c r="I149" i="35"/>
  <c r="J149" i="35"/>
  <c r="K149" i="35"/>
  <c r="L149" i="35"/>
  <c r="M149" i="35"/>
  <c r="N149" i="35"/>
  <c r="O149" i="35"/>
  <c r="R149" i="35"/>
  <c r="S149" i="35"/>
  <c r="T149" i="35"/>
  <c r="U149" i="35"/>
  <c r="V149" i="35"/>
  <c r="W149" i="35"/>
  <c r="X149" i="35"/>
  <c r="Y149" i="35"/>
  <c r="Z149" i="35"/>
  <c r="AA149" i="35"/>
  <c r="AB149" i="35"/>
  <c r="AC149" i="35"/>
  <c r="AD149" i="35"/>
  <c r="AG149" i="35"/>
  <c r="AH149" i="35"/>
  <c r="AI149" i="35"/>
  <c r="AJ149" i="35"/>
  <c r="AK149" i="35"/>
  <c r="AL149" i="35"/>
  <c r="AM149" i="35"/>
  <c r="AN149" i="35"/>
  <c r="AO149" i="35"/>
  <c r="AP149" i="35"/>
  <c r="AQ149" i="35"/>
  <c r="AR149" i="35"/>
  <c r="AS149" i="35"/>
  <c r="O150" i="35"/>
  <c r="AD150" i="35"/>
  <c r="AS150" i="35"/>
  <c r="C151" i="35"/>
  <c r="D151" i="35"/>
  <c r="E151" i="35"/>
  <c r="F151" i="35"/>
  <c r="G151" i="35"/>
  <c r="H151" i="35"/>
  <c r="I151" i="35"/>
  <c r="J151" i="35"/>
  <c r="K151" i="35"/>
  <c r="L151" i="35"/>
  <c r="M151" i="35"/>
  <c r="N151" i="35"/>
  <c r="O151" i="35"/>
  <c r="R151" i="35"/>
  <c r="S151" i="35"/>
  <c r="T151" i="35"/>
  <c r="U151" i="35"/>
  <c r="V151" i="35"/>
  <c r="W151" i="35"/>
  <c r="X151" i="35"/>
  <c r="Y151" i="35"/>
  <c r="Z151" i="35"/>
  <c r="AA151" i="35"/>
  <c r="AB151" i="35"/>
  <c r="AC151" i="35"/>
  <c r="AD151" i="35"/>
  <c r="AG151" i="35"/>
  <c r="AH151" i="35"/>
  <c r="AI151" i="35"/>
  <c r="AJ151" i="35"/>
  <c r="AK151" i="35"/>
  <c r="AL151" i="35"/>
  <c r="AM151" i="35"/>
  <c r="AN151" i="35"/>
  <c r="AO151" i="35"/>
  <c r="AP151" i="35"/>
  <c r="AQ151" i="35"/>
  <c r="AR151" i="35"/>
  <c r="AS151" i="35"/>
  <c r="B153" i="35"/>
  <c r="B154" i="35"/>
  <c r="C154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G154" i="35"/>
  <c r="AH154" i="35"/>
  <c r="AI154" i="35"/>
  <c r="AJ154" i="35"/>
  <c r="AK154" i="35"/>
  <c r="AL154" i="35"/>
  <c r="AM154" i="35"/>
  <c r="AN154" i="35"/>
  <c r="AO154" i="35"/>
  <c r="AP154" i="35"/>
  <c r="AQ154" i="35"/>
  <c r="AR154" i="35"/>
  <c r="AS154" i="35"/>
  <c r="C155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G155" i="35"/>
  <c r="AH155" i="35"/>
  <c r="AI155" i="35"/>
  <c r="AJ155" i="35"/>
  <c r="AK155" i="35"/>
  <c r="AL155" i="35"/>
  <c r="AM155" i="35"/>
  <c r="AN155" i="35"/>
  <c r="AO155" i="35"/>
  <c r="AP155" i="35"/>
  <c r="AQ155" i="35"/>
  <c r="AR155" i="35"/>
  <c r="AS155" i="35"/>
  <c r="B158" i="35"/>
  <c r="C158" i="35"/>
  <c r="D158" i="35"/>
  <c r="E158" i="35"/>
  <c r="F158" i="35"/>
  <c r="G158" i="35"/>
  <c r="H158" i="35"/>
  <c r="I158" i="35"/>
  <c r="J158" i="35"/>
  <c r="K158" i="35"/>
  <c r="L158" i="35"/>
  <c r="M158" i="35"/>
  <c r="N158" i="35"/>
  <c r="O158" i="35"/>
  <c r="R158" i="35"/>
  <c r="S158" i="35"/>
  <c r="T158" i="35"/>
  <c r="U158" i="35"/>
  <c r="V158" i="35"/>
  <c r="W158" i="35"/>
  <c r="X158" i="35"/>
  <c r="Y158" i="35"/>
  <c r="Z158" i="35"/>
  <c r="AA158" i="35"/>
  <c r="AB158" i="35"/>
  <c r="AC158" i="35"/>
  <c r="AD158" i="35"/>
  <c r="AG158" i="35"/>
  <c r="AH158" i="35"/>
  <c r="AI158" i="35"/>
  <c r="AJ158" i="35"/>
  <c r="AK158" i="35"/>
  <c r="AL158" i="35"/>
  <c r="AM158" i="35"/>
  <c r="AN158" i="35"/>
  <c r="AO158" i="35"/>
  <c r="AP158" i="35"/>
  <c r="AQ158" i="35"/>
  <c r="AR158" i="35"/>
  <c r="AS158" i="35"/>
  <c r="B160" i="35"/>
  <c r="C160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G160" i="35"/>
  <c r="AH160" i="35"/>
  <c r="AI160" i="35"/>
  <c r="AJ160" i="35"/>
  <c r="AK160" i="35"/>
  <c r="AL160" i="35"/>
  <c r="AM160" i="35"/>
  <c r="AN160" i="35"/>
  <c r="AO160" i="35"/>
  <c r="AP160" i="35"/>
  <c r="AQ160" i="35"/>
  <c r="AR160" i="35"/>
  <c r="AS160" i="35"/>
  <c r="B164" i="35"/>
  <c r="B165" i="35"/>
  <c r="C165" i="35"/>
  <c r="D165" i="35"/>
  <c r="E165" i="35"/>
  <c r="F165" i="35"/>
  <c r="G165" i="35"/>
  <c r="H165" i="35"/>
  <c r="I165" i="35"/>
  <c r="J165" i="35"/>
  <c r="K165" i="35"/>
  <c r="L165" i="35"/>
  <c r="M165" i="35"/>
  <c r="N165" i="35"/>
  <c r="O165" i="35"/>
  <c r="R165" i="35"/>
  <c r="S165" i="35"/>
  <c r="T165" i="35"/>
  <c r="U165" i="35"/>
  <c r="V165" i="35"/>
  <c r="W165" i="35"/>
  <c r="X165" i="35"/>
  <c r="Y165" i="35"/>
  <c r="Z165" i="35"/>
  <c r="AA165" i="35"/>
  <c r="AB165" i="35"/>
  <c r="AC165" i="35"/>
  <c r="AD165" i="35"/>
  <c r="AG165" i="35"/>
  <c r="AH165" i="35"/>
  <c r="AI165" i="35"/>
  <c r="AJ165" i="35"/>
  <c r="AK165" i="35"/>
  <c r="AL165" i="35"/>
  <c r="AM165" i="35"/>
  <c r="AN165" i="35"/>
  <c r="AO165" i="35"/>
  <c r="AP165" i="35"/>
  <c r="AQ165" i="35"/>
  <c r="AR165" i="35"/>
  <c r="AS165" i="35"/>
  <c r="B166" i="35"/>
  <c r="C166" i="35"/>
  <c r="D166" i="35"/>
  <c r="E166" i="35"/>
  <c r="F166" i="35"/>
  <c r="G166" i="35"/>
  <c r="H166" i="35"/>
  <c r="I166" i="35"/>
  <c r="J166" i="35"/>
  <c r="K166" i="35"/>
  <c r="L166" i="35"/>
  <c r="M166" i="35"/>
  <c r="N166" i="35"/>
  <c r="O166" i="35"/>
  <c r="R166" i="35"/>
  <c r="S166" i="35"/>
  <c r="T166" i="35"/>
  <c r="U166" i="35"/>
  <c r="V166" i="35"/>
  <c r="W166" i="35"/>
  <c r="X166" i="35"/>
  <c r="Y166" i="35"/>
  <c r="Z166" i="35"/>
  <c r="AA166" i="35"/>
  <c r="AB166" i="35"/>
  <c r="AC166" i="35"/>
  <c r="AD166" i="35"/>
  <c r="AG166" i="35"/>
  <c r="AH166" i="35"/>
  <c r="AI166" i="35"/>
  <c r="AJ166" i="35"/>
  <c r="AK166" i="35"/>
  <c r="AL166" i="35"/>
  <c r="AM166" i="35"/>
  <c r="AN166" i="35"/>
  <c r="AO166" i="35"/>
  <c r="AP166" i="35"/>
  <c r="AQ166" i="35"/>
  <c r="AR166" i="35"/>
  <c r="AS166" i="35"/>
  <c r="B167" i="35"/>
  <c r="C167" i="35"/>
  <c r="D167" i="35"/>
  <c r="E167" i="35"/>
  <c r="F167" i="35"/>
  <c r="G167" i="35"/>
  <c r="H167" i="35"/>
  <c r="I167" i="35"/>
  <c r="J167" i="35"/>
  <c r="K167" i="35"/>
  <c r="L167" i="35"/>
  <c r="M167" i="35"/>
  <c r="N167" i="35"/>
  <c r="O167" i="35"/>
  <c r="R167" i="35"/>
  <c r="S167" i="35"/>
  <c r="T167" i="35"/>
  <c r="U167" i="35"/>
  <c r="V167" i="35"/>
  <c r="W167" i="35"/>
  <c r="X167" i="35"/>
  <c r="Y167" i="35"/>
  <c r="Z167" i="35"/>
  <c r="AA167" i="35"/>
  <c r="AB167" i="35"/>
  <c r="AC167" i="35"/>
  <c r="AD167" i="35"/>
  <c r="AG167" i="35"/>
  <c r="AH167" i="35"/>
  <c r="AI167" i="35"/>
  <c r="AJ167" i="35"/>
  <c r="AK167" i="35"/>
  <c r="AL167" i="35"/>
  <c r="AM167" i="35"/>
  <c r="AN167" i="35"/>
  <c r="AO167" i="35"/>
  <c r="AP167" i="35"/>
  <c r="AQ167" i="35"/>
  <c r="AR167" i="35"/>
  <c r="AS167" i="35"/>
  <c r="B168" i="35"/>
  <c r="C168" i="35"/>
  <c r="D168" i="35"/>
  <c r="E168" i="35"/>
  <c r="F168" i="35"/>
  <c r="G168" i="35"/>
  <c r="H168" i="35"/>
  <c r="I168" i="35"/>
  <c r="J168" i="35"/>
  <c r="K168" i="35"/>
  <c r="L168" i="35"/>
  <c r="M168" i="35"/>
  <c r="N168" i="35"/>
  <c r="O168" i="35"/>
  <c r="R168" i="35"/>
  <c r="S168" i="35"/>
  <c r="T168" i="35"/>
  <c r="U168" i="35"/>
  <c r="V168" i="35"/>
  <c r="W168" i="35"/>
  <c r="X168" i="35"/>
  <c r="Y168" i="35"/>
  <c r="Z168" i="35"/>
  <c r="AA168" i="35"/>
  <c r="AB168" i="35"/>
  <c r="AC168" i="35"/>
  <c r="AD168" i="35"/>
  <c r="AG168" i="35"/>
  <c r="AH168" i="35"/>
  <c r="AI168" i="35"/>
  <c r="AJ168" i="35"/>
  <c r="AK168" i="35"/>
  <c r="AL168" i="35"/>
  <c r="AM168" i="35"/>
  <c r="AN168" i="35"/>
  <c r="AO168" i="35"/>
  <c r="AP168" i="35"/>
  <c r="AQ168" i="35"/>
  <c r="AR168" i="35"/>
  <c r="AS168" i="35"/>
  <c r="B169" i="35"/>
  <c r="C169" i="35"/>
  <c r="D169" i="35"/>
  <c r="E169" i="35"/>
  <c r="F169" i="35"/>
  <c r="G169" i="35"/>
  <c r="H169" i="35"/>
  <c r="I169" i="35"/>
  <c r="J169" i="35"/>
  <c r="K169" i="35"/>
  <c r="L169" i="35"/>
  <c r="M169" i="35"/>
  <c r="N169" i="35"/>
  <c r="O169" i="35"/>
  <c r="R169" i="35"/>
  <c r="S169" i="35"/>
  <c r="T169" i="35"/>
  <c r="U169" i="35"/>
  <c r="V169" i="35"/>
  <c r="W169" i="35"/>
  <c r="X169" i="35"/>
  <c r="Y169" i="35"/>
  <c r="Z169" i="35"/>
  <c r="AA169" i="35"/>
  <c r="AB169" i="35"/>
  <c r="AC169" i="35"/>
  <c r="AD169" i="35"/>
  <c r="AG169" i="35"/>
  <c r="AH169" i="35"/>
  <c r="AI169" i="35"/>
  <c r="AJ169" i="35"/>
  <c r="AK169" i="35"/>
  <c r="AL169" i="35"/>
  <c r="AM169" i="35"/>
  <c r="AN169" i="35"/>
  <c r="AO169" i="35"/>
  <c r="AP169" i="35"/>
  <c r="AQ169" i="35"/>
  <c r="AR169" i="35"/>
  <c r="AS169" i="35"/>
  <c r="B170" i="35"/>
  <c r="C170" i="35"/>
  <c r="D170" i="35"/>
  <c r="E170" i="35"/>
  <c r="F170" i="35"/>
  <c r="G170" i="35"/>
  <c r="H170" i="35"/>
  <c r="I170" i="35"/>
  <c r="J170" i="35"/>
  <c r="K170" i="35"/>
  <c r="L170" i="35"/>
  <c r="M170" i="35"/>
  <c r="N170" i="35"/>
  <c r="O170" i="35"/>
  <c r="R170" i="35"/>
  <c r="S170" i="35"/>
  <c r="T170" i="35"/>
  <c r="U170" i="35"/>
  <c r="V170" i="35"/>
  <c r="W170" i="35"/>
  <c r="X170" i="35"/>
  <c r="Y170" i="35"/>
  <c r="Z170" i="35"/>
  <c r="AA170" i="35"/>
  <c r="AB170" i="35"/>
  <c r="AC170" i="35"/>
  <c r="AD170" i="35"/>
  <c r="AG170" i="35"/>
  <c r="AH170" i="35"/>
  <c r="AI170" i="35"/>
  <c r="AJ170" i="35"/>
  <c r="AK170" i="35"/>
  <c r="AL170" i="35"/>
  <c r="AM170" i="35"/>
  <c r="AN170" i="35"/>
  <c r="AO170" i="35"/>
  <c r="AP170" i="35"/>
  <c r="AQ170" i="35"/>
  <c r="AR170" i="35"/>
  <c r="AS170" i="35"/>
  <c r="B171" i="35"/>
  <c r="C171" i="35"/>
  <c r="D171" i="35"/>
  <c r="E171" i="35"/>
  <c r="F171" i="35"/>
  <c r="G171" i="35"/>
  <c r="H171" i="35"/>
  <c r="I171" i="35"/>
  <c r="J171" i="35"/>
  <c r="K171" i="35"/>
  <c r="L171" i="35"/>
  <c r="M171" i="35"/>
  <c r="N171" i="35"/>
  <c r="O171" i="35"/>
  <c r="R171" i="35"/>
  <c r="S171" i="35"/>
  <c r="T171" i="35"/>
  <c r="U171" i="35"/>
  <c r="V171" i="35"/>
  <c r="W171" i="35"/>
  <c r="X171" i="35"/>
  <c r="Y171" i="35"/>
  <c r="Z171" i="35"/>
  <c r="AA171" i="35"/>
  <c r="AB171" i="35"/>
  <c r="AC171" i="35"/>
  <c r="AD171" i="35"/>
  <c r="AG171" i="35"/>
  <c r="AH171" i="35"/>
  <c r="AI171" i="35"/>
  <c r="AJ171" i="35"/>
  <c r="AK171" i="35"/>
  <c r="AL171" i="35"/>
  <c r="AM171" i="35"/>
  <c r="AN171" i="35"/>
  <c r="AO171" i="35"/>
  <c r="AP171" i="35"/>
  <c r="AQ171" i="35"/>
  <c r="AR171" i="35"/>
  <c r="AS171" i="35"/>
  <c r="C172" i="35"/>
  <c r="D172" i="35"/>
  <c r="E172" i="35"/>
  <c r="F172" i="35"/>
  <c r="G172" i="35"/>
  <c r="H172" i="35"/>
  <c r="I172" i="35"/>
  <c r="J172" i="35"/>
  <c r="K172" i="35"/>
  <c r="L172" i="35"/>
  <c r="M172" i="35"/>
  <c r="N172" i="35"/>
  <c r="O172" i="35"/>
  <c r="R172" i="35"/>
  <c r="S172" i="35"/>
  <c r="T172" i="35"/>
  <c r="U172" i="35"/>
  <c r="V172" i="35"/>
  <c r="W172" i="35"/>
  <c r="X172" i="35"/>
  <c r="Y172" i="35"/>
  <c r="Z172" i="35"/>
  <c r="AA172" i="35"/>
  <c r="AB172" i="35"/>
  <c r="AC172" i="35"/>
  <c r="AD172" i="35"/>
  <c r="AG172" i="35"/>
  <c r="AH172" i="35"/>
  <c r="AI172" i="35"/>
  <c r="AJ172" i="35"/>
  <c r="AK172" i="35"/>
  <c r="AL172" i="35"/>
  <c r="AM172" i="35"/>
  <c r="AN172" i="35"/>
  <c r="AO172" i="35"/>
  <c r="AP172" i="35"/>
  <c r="AQ172" i="35"/>
  <c r="AR172" i="35"/>
  <c r="AS172" i="35"/>
  <c r="C173" i="35"/>
  <c r="D173" i="35"/>
  <c r="E173" i="35"/>
  <c r="F173" i="35"/>
  <c r="G173" i="35"/>
  <c r="H173" i="35"/>
  <c r="I173" i="35"/>
  <c r="J173" i="35"/>
  <c r="K173" i="35"/>
  <c r="L173" i="35"/>
  <c r="M173" i="35"/>
  <c r="N173" i="35"/>
  <c r="O173" i="35"/>
  <c r="R173" i="35"/>
  <c r="S173" i="35"/>
  <c r="T173" i="35"/>
  <c r="U173" i="35"/>
  <c r="V173" i="35"/>
  <c r="W173" i="35"/>
  <c r="X173" i="35"/>
  <c r="Y173" i="35"/>
  <c r="Z173" i="35"/>
  <c r="AA173" i="35"/>
  <c r="AB173" i="35"/>
  <c r="AC173" i="35"/>
  <c r="AD173" i="35"/>
  <c r="AG173" i="35"/>
  <c r="AH173" i="35"/>
  <c r="AI173" i="35"/>
  <c r="AJ173" i="35"/>
  <c r="AK173" i="35"/>
  <c r="AL173" i="35"/>
  <c r="AM173" i="35"/>
  <c r="AN173" i="35"/>
  <c r="AO173" i="35"/>
  <c r="AP173" i="35"/>
  <c r="AQ173" i="35"/>
  <c r="AR173" i="35"/>
  <c r="AS173" i="35"/>
  <c r="C174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G174" i="35"/>
  <c r="AH174" i="35"/>
  <c r="AI174" i="35"/>
  <c r="AJ174" i="35"/>
  <c r="AK174" i="35"/>
  <c r="AL174" i="35"/>
  <c r="AM174" i="35"/>
  <c r="AN174" i="35"/>
  <c r="AO174" i="35"/>
  <c r="AP174" i="35"/>
  <c r="AQ174" i="35"/>
  <c r="AR174" i="35"/>
  <c r="AS174" i="35"/>
  <c r="B175" i="35"/>
  <c r="C175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G175" i="35"/>
  <c r="AH175" i="35"/>
  <c r="AI175" i="35"/>
  <c r="AJ175" i="35"/>
  <c r="AK175" i="35"/>
  <c r="AL175" i="35"/>
  <c r="AM175" i="35"/>
  <c r="AN175" i="35"/>
  <c r="AO175" i="35"/>
  <c r="AP175" i="35"/>
  <c r="AQ175" i="35"/>
  <c r="AR175" i="35"/>
  <c r="AS175" i="35"/>
  <c r="C176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G176" i="35"/>
  <c r="AH176" i="35"/>
  <c r="AI176" i="35"/>
  <c r="AJ176" i="35"/>
  <c r="AK176" i="35"/>
  <c r="AL176" i="35"/>
  <c r="AM176" i="35"/>
  <c r="AN176" i="35"/>
  <c r="AO176" i="35"/>
  <c r="AP176" i="35"/>
  <c r="AQ176" i="35"/>
  <c r="AR176" i="35"/>
  <c r="AS176" i="35"/>
  <c r="B178" i="35"/>
  <c r="B179" i="35"/>
  <c r="C179" i="35"/>
  <c r="D179" i="35"/>
  <c r="E179" i="35"/>
  <c r="F179" i="35"/>
  <c r="G179" i="35"/>
  <c r="H179" i="35"/>
  <c r="I179" i="35"/>
  <c r="J179" i="35"/>
  <c r="K179" i="35"/>
  <c r="L179" i="35"/>
  <c r="M179" i="35"/>
  <c r="N179" i="35"/>
  <c r="O179" i="35"/>
  <c r="R179" i="35"/>
  <c r="S179" i="35"/>
  <c r="T179" i="35"/>
  <c r="U179" i="35"/>
  <c r="V179" i="35"/>
  <c r="W179" i="35"/>
  <c r="X179" i="35"/>
  <c r="Y179" i="35"/>
  <c r="Z179" i="35"/>
  <c r="AA179" i="35"/>
  <c r="AB179" i="35"/>
  <c r="AC179" i="35"/>
  <c r="AD179" i="35"/>
  <c r="AG179" i="35"/>
  <c r="AH179" i="35"/>
  <c r="AI179" i="35"/>
  <c r="AJ179" i="35"/>
  <c r="AK179" i="35"/>
  <c r="AL179" i="35"/>
  <c r="AM179" i="35"/>
  <c r="AN179" i="35"/>
  <c r="AO179" i="35"/>
  <c r="AP179" i="35"/>
  <c r="AQ179" i="35"/>
  <c r="AR179" i="35"/>
  <c r="AS179" i="35"/>
  <c r="O180" i="35"/>
  <c r="AD180" i="35"/>
  <c r="AS180" i="35"/>
  <c r="O181" i="35"/>
  <c r="AD181" i="35"/>
  <c r="AS181" i="35"/>
  <c r="O182" i="35"/>
  <c r="AD182" i="35"/>
  <c r="AS182" i="35"/>
  <c r="O183" i="35"/>
  <c r="AD183" i="35"/>
  <c r="AS183" i="35"/>
  <c r="C184" i="35"/>
  <c r="D184" i="35"/>
  <c r="E184" i="35"/>
  <c r="F184" i="35"/>
  <c r="G184" i="35"/>
  <c r="H184" i="35"/>
  <c r="I184" i="35"/>
  <c r="J184" i="35"/>
  <c r="K184" i="35"/>
  <c r="L184" i="35"/>
  <c r="M184" i="35"/>
  <c r="N184" i="35"/>
  <c r="O184" i="35"/>
  <c r="R184" i="35"/>
  <c r="S184" i="35"/>
  <c r="T184" i="35"/>
  <c r="U184" i="35"/>
  <c r="V184" i="35"/>
  <c r="W184" i="35"/>
  <c r="X184" i="35"/>
  <c r="Y184" i="35"/>
  <c r="Z184" i="35"/>
  <c r="AA184" i="35"/>
  <c r="AB184" i="35"/>
  <c r="AC184" i="35"/>
  <c r="AD184" i="35"/>
  <c r="AG184" i="35"/>
  <c r="AH184" i="35"/>
  <c r="AI184" i="35"/>
  <c r="AJ184" i="35"/>
  <c r="AK184" i="35"/>
  <c r="AL184" i="35"/>
  <c r="AM184" i="35"/>
  <c r="AN184" i="35"/>
  <c r="AO184" i="35"/>
  <c r="AP184" i="35"/>
  <c r="AQ184" i="35"/>
  <c r="AR184" i="35"/>
  <c r="AS184" i="35"/>
  <c r="B186" i="35"/>
  <c r="O187" i="35"/>
  <c r="AD187" i="35"/>
  <c r="AS187" i="35"/>
  <c r="B188" i="35"/>
  <c r="C188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G188" i="35"/>
  <c r="AH188" i="35"/>
  <c r="AI188" i="35"/>
  <c r="AJ188" i="35"/>
  <c r="AK188" i="35"/>
  <c r="AL188" i="35"/>
  <c r="AM188" i="35"/>
  <c r="AN188" i="35"/>
  <c r="AO188" i="35"/>
  <c r="AP188" i="35"/>
  <c r="AQ188" i="35"/>
  <c r="AR188" i="35"/>
  <c r="AS188" i="35"/>
  <c r="B189" i="35"/>
  <c r="C189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G189" i="35"/>
  <c r="AH189" i="35"/>
  <c r="AI189" i="35"/>
  <c r="AJ189" i="35"/>
  <c r="AK189" i="35"/>
  <c r="AL189" i="35"/>
  <c r="AM189" i="35"/>
  <c r="AN189" i="35"/>
  <c r="AO189" i="35"/>
  <c r="AP189" i="35"/>
  <c r="AQ189" i="35"/>
  <c r="AR189" i="35"/>
  <c r="AS189" i="35"/>
  <c r="O190" i="35"/>
  <c r="AD190" i="35"/>
  <c r="AS190" i="35"/>
  <c r="O191" i="35"/>
  <c r="AD191" i="35"/>
  <c r="AS191" i="35"/>
  <c r="C192" i="35"/>
  <c r="D192" i="35"/>
  <c r="E192" i="35"/>
  <c r="F192" i="35"/>
  <c r="G192" i="35"/>
  <c r="H192" i="35"/>
  <c r="I192" i="35"/>
  <c r="J192" i="35"/>
  <c r="K192" i="35"/>
  <c r="L192" i="35"/>
  <c r="M192" i="35"/>
  <c r="N192" i="35"/>
  <c r="O192" i="35"/>
  <c r="AD192" i="35"/>
  <c r="AS192" i="35"/>
  <c r="C193" i="35"/>
  <c r="D193" i="35"/>
  <c r="E193" i="35"/>
  <c r="F193" i="35"/>
  <c r="G193" i="35"/>
  <c r="H193" i="35"/>
  <c r="I193" i="35"/>
  <c r="J193" i="35"/>
  <c r="K193" i="35"/>
  <c r="L193" i="35"/>
  <c r="M193" i="35"/>
  <c r="N193" i="35"/>
  <c r="O193" i="35"/>
  <c r="R193" i="35"/>
  <c r="S193" i="35"/>
  <c r="T193" i="35"/>
  <c r="U193" i="35"/>
  <c r="V193" i="35"/>
  <c r="W193" i="35"/>
  <c r="X193" i="35"/>
  <c r="Y193" i="35"/>
  <c r="Z193" i="35"/>
  <c r="AA193" i="35"/>
  <c r="AB193" i="35"/>
  <c r="AC193" i="35"/>
  <c r="AD193" i="35"/>
  <c r="AG193" i="35"/>
  <c r="AH193" i="35"/>
  <c r="AI193" i="35"/>
  <c r="AJ193" i="35"/>
  <c r="AK193" i="35"/>
  <c r="AL193" i="35"/>
  <c r="AM193" i="35"/>
  <c r="AN193" i="35"/>
  <c r="AO193" i="35"/>
  <c r="AP193" i="35"/>
  <c r="AQ193" i="35"/>
  <c r="AR193" i="35"/>
  <c r="AS193" i="35"/>
  <c r="O196" i="35"/>
  <c r="AD196" i="35"/>
  <c r="AS196" i="35"/>
  <c r="O197" i="35"/>
  <c r="AD197" i="35"/>
  <c r="AS197" i="35"/>
  <c r="O198" i="35"/>
  <c r="AD198" i="35"/>
  <c r="AS198" i="35"/>
  <c r="C199" i="35"/>
  <c r="D199" i="35"/>
  <c r="E199" i="35"/>
  <c r="F199" i="35"/>
  <c r="G199" i="35"/>
  <c r="H199" i="35"/>
  <c r="I199" i="35"/>
  <c r="J199" i="35"/>
  <c r="K199" i="35"/>
  <c r="L199" i="35"/>
  <c r="M199" i="35"/>
  <c r="N199" i="35"/>
  <c r="O199" i="35"/>
  <c r="R199" i="35"/>
  <c r="S199" i="35"/>
  <c r="T199" i="35"/>
  <c r="U199" i="35"/>
  <c r="V199" i="35"/>
  <c r="W199" i="35"/>
  <c r="X199" i="35"/>
  <c r="Y199" i="35"/>
  <c r="Z199" i="35"/>
  <c r="AA199" i="35"/>
  <c r="AB199" i="35"/>
  <c r="AC199" i="35"/>
  <c r="AD199" i="35"/>
  <c r="AG199" i="35"/>
  <c r="AH199" i="35"/>
  <c r="AI199" i="35"/>
  <c r="AJ199" i="35"/>
  <c r="AK199" i="35"/>
  <c r="AL199" i="35"/>
  <c r="AM199" i="35"/>
  <c r="AN199" i="35"/>
  <c r="AO199" i="35"/>
  <c r="AP199" i="35"/>
  <c r="AQ199" i="35"/>
  <c r="AR199" i="35"/>
  <c r="AS199" i="35"/>
  <c r="O202" i="35"/>
  <c r="AD202" i="35"/>
  <c r="AS202" i="35"/>
  <c r="O203" i="35"/>
  <c r="AD203" i="35"/>
  <c r="AS203" i="35"/>
  <c r="C204" i="35"/>
  <c r="D204" i="35"/>
  <c r="E204" i="35"/>
  <c r="F204" i="35"/>
  <c r="G204" i="35"/>
  <c r="H204" i="35"/>
  <c r="I204" i="35"/>
  <c r="J204" i="35"/>
  <c r="K204" i="35"/>
  <c r="L204" i="35"/>
  <c r="M204" i="35"/>
  <c r="N204" i="35"/>
  <c r="O204" i="35"/>
  <c r="R204" i="35"/>
  <c r="S204" i="35"/>
  <c r="T204" i="35"/>
  <c r="U204" i="35"/>
  <c r="V204" i="35"/>
  <c r="W204" i="35"/>
  <c r="X204" i="35"/>
  <c r="Y204" i="35"/>
  <c r="Z204" i="35"/>
  <c r="AA204" i="35"/>
  <c r="AB204" i="35"/>
  <c r="AC204" i="35"/>
  <c r="AD204" i="35"/>
  <c r="AG204" i="35"/>
  <c r="AH204" i="35"/>
  <c r="AI204" i="35"/>
  <c r="AJ204" i="35"/>
  <c r="AK204" i="35"/>
  <c r="AL204" i="35"/>
  <c r="AM204" i="35"/>
  <c r="AN204" i="35"/>
  <c r="AO204" i="35"/>
  <c r="AP204" i="35"/>
  <c r="AQ204" i="35"/>
  <c r="AR204" i="35"/>
  <c r="AS204" i="35"/>
  <c r="B206" i="35"/>
  <c r="C206" i="35"/>
  <c r="D206" i="35"/>
  <c r="E206" i="35"/>
  <c r="F206" i="35"/>
  <c r="G206" i="35"/>
  <c r="H206" i="35"/>
  <c r="I206" i="35"/>
  <c r="J206" i="35"/>
  <c r="K206" i="35"/>
  <c r="L206" i="35"/>
  <c r="M206" i="35"/>
  <c r="N206" i="35"/>
  <c r="O206" i="35"/>
  <c r="R206" i="35"/>
  <c r="S206" i="35"/>
  <c r="T206" i="35"/>
  <c r="U206" i="35"/>
  <c r="V206" i="35"/>
  <c r="W206" i="35"/>
  <c r="X206" i="35"/>
  <c r="Y206" i="35"/>
  <c r="Z206" i="35"/>
  <c r="AA206" i="35"/>
  <c r="AB206" i="35"/>
  <c r="AC206" i="35"/>
  <c r="AD206" i="35"/>
  <c r="AG206" i="35"/>
  <c r="AH206" i="35"/>
  <c r="AI206" i="35"/>
  <c r="AJ206" i="35"/>
  <c r="AK206" i="35"/>
  <c r="AL206" i="35"/>
  <c r="AM206" i="35"/>
  <c r="AN206" i="35"/>
  <c r="AO206" i="35"/>
  <c r="AP206" i="35"/>
  <c r="AQ206" i="35"/>
  <c r="AR206" i="35"/>
  <c r="AS206" i="35"/>
  <c r="B209" i="35"/>
  <c r="C209" i="35"/>
  <c r="D209" i="35"/>
  <c r="E209" i="35"/>
  <c r="F209" i="35"/>
  <c r="G209" i="35"/>
  <c r="H209" i="35"/>
  <c r="I209" i="35"/>
  <c r="J209" i="35"/>
  <c r="K209" i="35"/>
  <c r="L209" i="35"/>
  <c r="M209" i="35"/>
  <c r="N209" i="35"/>
  <c r="O209" i="35"/>
  <c r="R209" i="35"/>
  <c r="S209" i="35"/>
  <c r="T209" i="35"/>
  <c r="U209" i="35"/>
  <c r="V209" i="35"/>
  <c r="W209" i="35"/>
  <c r="X209" i="35"/>
  <c r="Y209" i="35"/>
  <c r="Z209" i="35"/>
  <c r="AA209" i="35"/>
  <c r="AB209" i="35"/>
  <c r="AC209" i="35"/>
  <c r="AD209" i="35"/>
  <c r="AG209" i="35"/>
  <c r="AH209" i="35"/>
  <c r="AI209" i="35"/>
  <c r="AJ209" i="35"/>
  <c r="AK209" i="35"/>
  <c r="AL209" i="35"/>
  <c r="AM209" i="35"/>
  <c r="AN209" i="35"/>
  <c r="AO209" i="35"/>
  <c r="AP209" i="35"/>
  <c r="AQ209" i="35"/>
  <c r="AR209" i="35"/>
  <c r="AS209" i="35"/>
  <c r="N9" i="42"/>
  <c r="G18" i="42"/>
  <c r="H18" i="42"/>
  <c r="I18" i="42"/>
  <c r="N18" i="42"/>
  <c r="G19" i="42"/>
  <c r="H19" i="42"/>
  <c r="I19" i="42"/>
  <c r="N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N26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D40" i="42"/>
  <c r="F40" i="42"/>
  <c r="H40" i="42"/>
  <c r="I40" i="42"/>
  <c r="J40" i="42"/>
  <c r="L40" i="42"/>
  <c r="N40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C42" i="42"/>
  <c r="D42" i="42"/>
  <c r="E42" i="42"/>
  <c r="F42" i="42"/>
  <c r="G42" i="42"/>
  <c r="H42" i="42"/>
  <c r="I42" i="42"/>
  <c r="J42" i="42"/>
  <c r="K42" i="42"/>
  <c r="L42" i="42"/>
  <c r="M42" i="42"/>
  <c r="N42" i="42"/>
  <c r="C43" i="42"/>
  <c r="D43" i="42"/>
  <c r="E43" i="42"/>
  <c r="F43" i="42"/>
  <c r="G43" i="42"/>
  <c r="H43" i="42"/>
  <c r="I43" i="42"/>
  <c r="J43" i="42"/>
  <c r="K43" i="42"/>
  <c r="L43" i="42"/>
  <c r="M43" i="42"/>
  <c r="N43" i="42"/>
  <c r="C44" i="42"/>
  <c r="D44" i="42"/>
  <c r="E44" i="42"/>
  <c r="F44" i="42"/>
  <c r="G44" i="42"/>
  <c r="H44" i="42"/>
  <c r="I44" i="42"/>
  <c r="J44" i="42"/>
  <c r="K44" i="42"/>
  <c r="L44" i="42"/>
  <c r="M44" i="42"/>
  <c r="N44" i="42"/>
  <c r="C45" i="42"/>
  <c r="D45" i="42"/>
  <c r="E45" i="42"/>
  <c r="F45" i="42"/>
  <c r="G45" i="42"/>
  <c r="H45" i="42"/>
  <c r="I45" i="42"/>
  <c r="J45" i="42"/>
  <c r="K45" i="42"/>
  <c r="L45" i="42"/>
  <c r="M45" i="42"/>
  <c r="N45" i="42"/>
  <c r="B46" i="42"/>
  <c r="C46" i="42"/>
  <c r="D46" i="42"/>
  <c r="E46" i="42"/>
  <c r="F46" i="42"/>
  <c r="G46" i="42"/>
  <c r="H46" i="42"/>
  <c r="I46" i="42"/>
  <c r="J46" i="42"/>
  <c r="K46" i="42"/>
  <c r="L46" i="42"/>
  <c r="M46" i="42"/>
  <c r="N46" i="42"/>
  <c r="N52" i="42"/>
  <c r="N55" i="42"/>
  <c r="N58" i="42"/>
  <c r="N61" i="42"/>
  <c r="D6" i="6"/>
  <c r="G6" i="6"/>
  <c r="J6" i="6"/>
  <c r="M6" i="6"/>
  <c r="N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B7" i="6"/>
  <c r="C7" i="6"/>
  <c r="D7" i="6"/>
  <c r="E7" i="6"/>
  <c r="F7" i="6"/>
  <c r="G7" i="6"/>
  <c r="H7" i="6"/>
  <c r="I7" i="6"/>
  <c r="J7" i="6"/>
  <c r="K7" i="6"/>
  <c r="L7" i="6"/>
  <c r="M7" i="6"/>
  <c r="N7" i="6"/>
  <c r="G9" i="6"/>
  <c r="I9" i="6"/>
  <c r="J9" i="6"/>
  <c r="K9" i="6"/>
  <c r="L9" i="6"/>
  <c r="M9" i="6"/>
  <c r="N9" i="6"/>
  <c r="C10" i="6"/>
  <c r="D10" i="6"/>
  <c r="E10" i="6"/>
  <c r="F10" i="6"/>
  <c r="G10" i="6"/>
  <c r="H10" i="6"/>
  <c r="I10" i="6"/>
  <c r="J10" i="6"/>
  <c r="K10" i="6"/>
  <c r="L10" i="6"/>
  <c r="M10" i="6"/>
  <c r="N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P11" i="6"/>
  <c r="Q11" i="6"/>
  <c r="R11" i="6"/>
  <c r="S11" i="6"/>
  <c r="T11" i="6"/>
  <c r="U11" i="6"/>
  <c r="V11" i="6"/>
  <c r="W11" i="6"/>
  <c r="X11" i="6"/>
  <c r="Y11" i="6"/>
  <c r="Z11" i="6"/>
  <c r="AA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AB13" i="6"/>
  <c r="AP13" i="6"/>
  <c r="N14" i="6"/>
  <c r="AB14" i="6"/>
  <c r="AP14" i="6"/>
  <c r="N15" i="6"/>
  <c r="AB15" i="6"/>
  <c r="AP15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AB22" i="6"/>
  <c r="AP22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N16" i="12"/>
  <c r="AC16" i="12"/>
  <c r="AR16" i="12"/>
  <c r="C17" i="12"/>
  <c r="D17" i="12"/>
  <c r="E17" i="12"/>
  <c r="F17" i="12"/>
  <c r="G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C28" i="12"/>
  <c r="D28" i="12"/>
  <c r="E28" i="12"/>
  <c r="F28" i="12"/>
  <c r="G28" i="12"/>
  <c r="H28" i="12"/>
  <c r="I28" i="12"/>
  <c r="J28" i="12"/>
  <c r="K28" i="12"/>
  <c r="L28" i="12"/>
  <c r="M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C39" i="12"/>
  <c r="D39" i="12"/>
  <c r="E39" i="12"/>
  <c r="F39" i="12"/>
  <c r="G39" i="12"/>
  <c r="H39" i="12"/>
  <c r="I39" i="12"/>
  <c r="J39" i="12"/>
  <c r="K39" i="12"/>
  <c r="L39" i="12"/>
  <c r="M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G48" i="12"/>
  <c r="H48" i="12"/>
  <c r="I48" i="12"/>
  <c r="N48" i="12"/>
  <c r="V48" i="12"/>
  <c r="W48" i="12"/>
  <c r="X48" i="12"/>
  <c r="AC48" i="12"/>
  <c r="AK48" i="12"/>
  <c r="AL48" i="12"/>
  <c r="AM48" i="12"/>
  <c r="AR48" i="12"/>
  <c r="G49" i="12"/>
  <c r="H49" i="12"/>
  <c r="I49" i="12"/>
  <c r="N49" i="12"/>
  <c r="V49" i="12"/>
  <c r="W49" i="12"/>
  <c r="X49" i="12"/>
  <c r="AC49" i="12"/>
  <c r="AK49" i="12"/>
  <c r="AL49" i="12"/>
  <c r="AM49" i="12"/>
  <c r="AR49" i="12"/>
  <c r="C51" i="12"/>
  <c r="D51" i="12"/>
  <c r="E51" i="12"/>
  <c r="F51" i="12"/>
  <c r="G51" i="12"/>
  <c r="I51" i="12"/>
  <c r="J51" i="12"/>
  <c r="K51" i="12"/>
  <c r="L51" i="12"/>
  <c r="M51" i="12"/>
  <c r="N51" i="12"/>
  <c r="AC51" i="12"/>
  <c r="AR51" i="12"/>
  <c r="C52" i="12"/>
  <c r="D52" i="12"/>
  <c r="F52" i="12"/>
  <c r="G52" i="12"/>
  <c r="I52" i="12"/>
  <c r="J52" i="12"/>
  <c r="K52" i="12"/>
  <c r="L52" i="12"/>
  <c r="M52" i="12"/>
  <c r="C53" i="12"/>
  <c r="D53" i="12"/>
  <c r="F53" i="12"/>
  <c r="G53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Q62" i="12"/>
  <c r="AF62" i="12"/>
  <c r="N67" i="12"/>
  <c r="Z67" i="12"/>
  <c r="AA67" i="12"/>
  <c r="AB67" i="12"/>
  <c r="AC67" i="12"/>
  <c r="AO67" i="12"/>
  <c r="AP67" i="12"/>
  <c r="AQ67" i="12"/>
  <c r="AR67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9" i="15"/>
  <c r="AC9" i="15"/>
  <c r="AQ9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O15" i="15"/>
  <c r="AC15" i="15"/>
  <c r="AQ15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O22" i="15"/>
  <c r="AC22" i="15"/>
  <c r="AQ22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O28" i="15"/>
  <c r="AC28" i="15"/>
  <c r="AQ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D36" i="15"/>
  <c r="E36" i="15"/>
  <c r="F36" i="15"/>
  <c r="G36" i="15"/>
  <c r="H36" i="15"/>
  <c r="J36" i="15"/>
  <c r="K36" i="15"/>
  <c r="L36" i="15"/>
  <c r="M36" i="15"/>
  <c r="N36" i="15"/>
  <c r="R36" i="15"/>
  <c r="S36" i="15"/>
  <c r="T36" i="15"/>
  <c r="U36" i="15"/>
  <c r="V36" i="15"/>
  <c r="X36" i="15"/>
  <c r="Y36" i="15"/>
  <c r="Z36" i="15"/>
  <c r="AA36" i="15"/>
  <c r="AB36" i="15"/>
  <c r="AF36" i="15"/>
  <c r="AG36" i="15"/>
  <c r="AH36" i="15"/>
  <c r="AI36" i="15"/>
  <c r="AJ36" i="15"/>
  <c r="AL36" i="15"/>
  <c r="AM36" i="15"/>
  <c r="AN36" i="15"/>
  <c r="AO36" i="15"/>
  <c r="AP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O44" i="15"/>
  <c r="AC44" i="15"/>
  <c r="AQ44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B1" i="11"/>
  <c r="O8" i="11"/>
  <c r="D12" i="11"/>
  <c r="E12" i="11"/>
  <c r="F12" i="11"/>
  <c r="G12" i="11"/>
  <c r="H12" i="11"/>
  <c r="I12" i="11"/>
  <c r="J12" i="11"/>
  <c r="K12" i="11"/>
  <c r="L12" i="11"/>
  <c r="M12" i="11"/>
  <c r="N12" i="11"/>
  <c r="R12" i="11"/>
  <c r="S12" i="11"/>
  <c r="T12" i="11"/>
  <c r="U12" i="11"/>
  <c r="V12" i="11"/>
  <c r="W12" i="11"/>
  <c r="X12" i="11"/>
  <c r="Y12" i="11"/>
  <c r="Z12" i="11"/>
  <c r="AA12" i="11"/>
  <c r="AB12" i="11"/>
  <c r="AF12" i="11"/>
  <c r="AG12" i="11"/>
  <c r="AH12" i="11"/>
  <c r="AI12" i="11"/>
  <c r="AJ12" i="11"/>
  <c r="AK12" i="11"/>
  <c r="AL12" i="11"/>
  <c r="AM12" i="11"/>
  <c r="AN12" i="11"/>
  <c r="AO12" i="11"/>
  <c r="AP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E22" i="11"/>
  <c r="K22" i="11"/>
  <c r="S22" i="11"/>
  <c r="Y22" i="11"/>
  <c r="AG22" i="11"/>
  <c r="AM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</calcChain>
</file>

<file path=xl/comments1.xml><?xml version="1.0" encoding="utf-8"?>
<comments xmlns="http://schemas.openxmlformats.org/spreadsheetml/2006/main">
  <authors>
    <author>IWONA SIERZEGA</author>
  </authors>
  <commentList>
    <comment ref="C8" authorId="0" shapeId="0">
      <text>
        <r>
          <rPr>
            <b/>
            <sz val="8"/>
            <color indexed="81"/>
            <rFont val="Tahoma"/>
            <charset val="238"/>
          </rPr>
          <t>Dane: J. Senczyszyn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C9" authorId="0" shapeId="0">
      <text>
        <r>
          <rPr>
            <b/>
            <sz val="8"/>
            <color indexed="81"/>
            <rFont val="Tahoma"/>
            <charset val="238"/>
          </rPr>
          <t>Dane: Aleksander Zarębski</t>
        </r>
        <r>
          <rPr>
            <sz val="8"/>
            <color indexed="81"/>
            <rFont val="Tahoma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ENRON INTERNATIONAL</author>
  </authors>
  <commentList>
    <comment ref="C10" authorId="0" shapeId="0">
      <text>
        <r>
          <rPr>
            <b/>
            <sz val="10"/>
            <color indexed="81"/>
            <rFont val="Tahoma"/>
            <charset val="238"/>
          </rPr>
          <t>ENRON INTERNATIONAL:</t>
        </r>
        <r>
          <rPr>
            <sz val="10"/>
            <color indexed="81"/>
            <rFont val="Tahoma"/>
            <charset val="238"/>
          </rPr>
          <t xml:space="preserve">
A.Balck - legal $20k/month
</t>
        </r>
      </text>
    </comment>
    <comment ref="Q10" authorId="0" shapeId="0">
      <text>
        <r>
          <rPr>
            <b/>
            <sz val="10"/>
            <color indexed="81"/>
            <rFont val="Tahoma"/>
            <charset val="238"/>
          </rPr>
          <t>ENRON INTERNATIONAL:</t>
        </r>
        <r>
          <rPr>
            <sz val="10"/>
            <color indexed="81"/>
            <rFont val="Tahoma"/>
            <charset val="238"/>
          </rPr>
          <t xml:space="preserve">
Assumed to go right down - problems with contracts solved</t>
        </r>
      </text>
    </comment>
  </commentList>
</comments>
</file>

<file path=xl/comments3.xml><?xml version="1.0" encoding="utf-8"?>
<comments xmlns="http://schemas.openxmlformats.org/spreadsheetml/2006/main">
  <authors>
    <author>IWONA SIERZEGA</author>
  </authors>
  <commentList>
    <comment ref="D31" authorId="0" shapeId="0">
      <text>
        <r>
          <rPr>
            <sz val="8"/>
            <color indexed="81"/>
            <rFont val="Tahoma"/>
            <charset val="238"/>
          </rPr>
          <t>GT Air filters purchase
124k zł</t>
        </r>
      </text>
    </comment>
    <comment ref="F31" authorId="0" shapeId="0">
      <text>
        <r>
          <rPr>
            <sz val="8"/>
            <color indexed="81"/>
            <rFont val="Tahoma"/>
            <charset val="238"/>
          </rPr>
          <t>distilled oil purchase
3 614 k zł</t>
        </r>
      </text>
    </comment>
  </commentList>
</comments>
</file>

<file path=xl/sharedStrings.xml><?xml version="1.0" encoding="utf-8"?>
<sst xmlns="http://schemas.openxmlformats.org/spreadsheetml/2006/main" count="4282" uniqueCount="1349">
  <si>
    <t>DIRECT MATERIALS BUDGET (4)</t>
  </si>
  <si>
    <t>SITE SERVICES  - Zakłady Chemiczne "Organika Sarzyna S.A." (4.3)</t>
  </si>
  <si>
    <t xml:space="preserve">Steam Turbine Agreement </t>
  </si>
  <si>
    <t xml:space="preserve">Unplanned Maintenance </t>
  </si>
  <si>
    <t>REPAIRS AND MAINTENANCE BUDGET 2002 (5)</t>
  </si>
  <si>
    <t>FINANCIAL COST BUDGET 2002 (6)</t>
  </si>
  <si>
    <t>INTEREST COST (6.1)</t>
  </si>
  <si>
    <t>SWAP (6.2)</t>
  </si>
  <si>
    <t>FIXED COST BUDGET 2002 (7)</t>
  </si>
  <si>
    <t>DEPRECIATION  (7.2)</t>
  </si>
  <si>
    <t>OVERHEADS (7.3)</t>
  </si>
  <si>
    <t>Opening  Fixed Assets PLN</t>
  </si>
  <si>
    <t>Closing Fixed Assets  PLN</t>
  </si>
  <si>
    <r>
      <t xml:space="preserve">O &amp; M BUDGET 2002 </t>
    </r>
    <r>
      <rPr>
        <b/>
        <sz val="14"/>
        <rFont val="Arial CE"/>
        <family val="2"/>
        <charset val="238"/>
      </rPr>
      <t>(in US Dollars) (14)</t>
    </r>
  </si>
  <si>
    <t>SALES</t>
  </si>
  <si>
    <t>COSTS</t>
  </si>
  <si>
    <t>BUDGET PROFIT AND LOSS ACCOUNT 2002 IN US DOLLARS (13)</t>
  </si>
  <si>
    <t>DEPRECIATION</t>
  </si>
  <si>
    <t>TRANSMISSION FEE</t>
  </si>
  <si>
    <t>OUTSIDE SERVICESS - ORGANIKA</t>
  </si>
  <si>
    <t>OUTSIDE SERVICES - ENRON</t>
  </si>
  <si>
    <t>OUTSIDE SERVICES - LEGAL/FINANCIAL</t>
  </si>
  <si>
    <t>OUTSIDE SERVICES - OTHER</t>
  </si>
  <si>
    <t>SALARY</t>
  </si>
  <si>
    <t>EMPLOYEE BENEFITS</t>
  </si>
  <si>
    <t>FINANCIAL COSTS</t>
  </si>
  <si>
    <t>FINANCIAL REVENUES</t>
  </si>
  <si>
    <t>OTHER OPERATING COSTS</t>
  </si>
  <si>
    <t>TOTAL COSTS</t>
  </si>
  <si>
    <t>OPERATING PROFIT</t>
  </si>
  <si>
    <t>TOTAL FINANCIAL&amp;OPERATIONAL</t>
  </si>
  <si>
    <t>NET PROFIT</t>
  </si>
  <si>
    <t>BUDGET CASH FLOW 2002 (12)</t>
  </si>
  <si>
    <t>BUDGET BALANCE SHEET 2002 (11)</t>
  </si>
  <si>
    <t>11. Budget Balance Sheet in PLN</t>
  </si>
  <si>
    <t>TOTAL ASSETS</t>
  </si>
  <si>
    <t>TOTAL CAPITAL AND LIABILITIES</t>
  </si>
  <si>
    <t>BUDGET PROFIT AND LOSS ACCOUNT 2002 IN POLISH ZŁ (10)</t>
  </si>
  <si>
    <t>DONATIONS (9)</t>
  </si>
  <si>
    <t>CAPITAL EXPENDITURE BUDGET 2002 (8)</t>
  </si>
  <si>
    <t>CREDIT PREPAYMENT (6.3)</t>
  </si>
  <si>
    <t>INTEREST PAYABLE</t>
  </si>
  <si>
    <t>OTHER FINANCIAL COSTS</t>
  </si>
  <si>
    <t>BALANCE SHEET ENTRIES</t>
  </si>
  <si>
    <t>US$</t>
  </si>
  <si>
    <t>SWAP PROFIT AND LOSS</t>
  </si>
  <si>
    <t>6.1. Interest cost</t>
  </si>
  <si>
    <t>10. Budget Profit and Loss Account in PLN</t>
  </si>
  <si>
    <t>Board Salaries</t>
  </si>
  <si>
    <t>SALARIES PLN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</si>
  <si>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</si>
  <si>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</si>
  <si>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</si>
  <si>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</si>
  <si>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</si>
  <si>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</si>
  <si>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</si>
  <si>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</si>
  <si>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</si>
  <si>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</si>
  <si>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</si>
  <si>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</si>
  <si>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Factor</t>
  </si>
  <si>
    <t>Depn %</t>
  </si>
  <si>
    <t>Inflation Poland</t>
  </si>
  <si>
    <t>Finance Calculations</t>
  </si>
  <si>
    <t>Opening Loan</t>
  </si>
  <si>
    <t>Repayment</t>
  </si>
  <si>
    <t>Closing Loan</t>
  </si>
  <si>
    <t>USD LIBOR</t>
  </si>
  <si>
    <t>LIBOR</t>
  </si>
  <si>
    <t>Margin</t>
  </si>
  <si>
    <t>Rate</t>
  </si>
  <si>
    <t>WestLB - Tranche A $</t>
  </si>
  <si>
    <t>WestLB - Tranche B $</t>
  </si>
  <si>
    <t>Interest Rate - Tranche B %</t>
  </si>
  <si>
    <t>Interest Payable</t>
  </si>
  <si>
    <t>Interest Payable $</t>
  </si>
  <si>
    <t>Tranche A</t>
  </si>
  <si>
    <t>Tranche B</t>
  </si>
  <si>
    <t>Days</t>
  </si>
  <si>
    <t>ENRON</t>
  </si>
  <si>
    <t>Interest Rate - Tranche A + ENRON %</t>
  </si>
  <si>
    <t>A)US Dollar Scenario</t>
  </si>
  <si>
    <t>B)PLN Scenario</t>
  </si>
  <si>
    <t>Exch' Diff</t>
  </si>
  <si>
    <t>WestLB - Tranche A PLN</t>
  </si>
  <si>
    <t>WestLB - Tranche B PLN</t>
  </si>
  <si>
    <t>ENRON - PLN</t>
  </si>
  <si>
    <t>Sales + Production Forecast</t>
  </si>
  <si>
    <t>PLN/$</t>
  </si>
  <si>
    <t>ITEM</t>
  </si>
  <si>
    <t>a)Sales</t>
  </si>
  <si>
    <t>PSE</t>
  </si>
  <si>
    <t>Organika</t>
  </si>
  <si>
    <t>Sarzyna</t>
  </si>
  <si>
    <t>Other</t>
  </si>
  <si>
    <t>Total</t>
  </si>
  <si>
    <t>b)O &amp; M Costs</t>
  </si>
  <si>
    <t>Variable</t>
  </si>
  <si>
    <t>Salaries</t>
  </si>
  <si>
    <t>Social Insurance</t>
  </si>
  <si>
    <t>Steam Turbine Agreement</t>
  </si>
  <si>
    <t>Gas Turbine Agreement</t>
  </si>
  <si>
    <t>BOP Maintenance</t>
  </si>
  <si>
    <t>Unplanned Maintenance</t>
  </si>
  <si>
    <t>Operational Parts</t>
  </si>
  <si>
    <t>Enron Supervisor</t>
  </si>
  <si>
    <t>Enron Adviser</t>
  </si>
  <si>
    <t>White &amp; Case</t>
  </si>
  <si>
    <t>Cameron McKenna</t>
  </si>
  <si>
    <t>Arthur Andersen</t>
  </si>
  <si>
    <t>Opening</t>
  </si>
  <si>
    <t>Paid</t>
  </si>
  <si>
    <t>Closing</t>
  </si>
  <si>
    <t>Check</t>
  </si>
  <si>
    <t>Interest Creditors (Balance Sheet - Cashflow)</t>
  </si>
  <si>
    <t>Depreciation</t>
  </si>
  <si>
    <t>US Dollar</t>
  </si>
  <si>
    <t>Polish Zloty</t>
  </si>
  <si>
    <t>Exch' Diff'</t>
  </si>
  <si>
    <t>US  Dollars</t>
  </si>
  <si>
    <t>Total Sales PLN</t>
  </si>
  <si>
    <t>Total Sales $</t>
  </si>
  <si>
    <t>PLN Equivalent</t>
  </si>
  <si>
    <t>PLN Depreciation</t>
  </si>
  <si>
    <t>$ Depreciation</t>
  </si>
  <si>
    <t>Opening F A $</t>
  </si>
  <si>
    <t>Closing F A $</t>
  </si>
  <si>
    <t>PLN</t>
  </si>
  <si>
    <t>Audit</t>
  </si>
  <si>
    <t>% Increase</t>
  </si>
  <si>
    <t>US $</t>
  </si>
  <si>
    <t>Hrs/month</t>
  </si>
  <si>
    <t>Notional Amount $</t>
  </si>
  <si>
    <t>Notional Interest Calculation</t>
  </si>
  <si>
    <t>Pay</t>
  </si>
  <si>
    <t>Receive</t>
  </si>
  <si>
    <t>Notional Interest Payment</t>
  </si>
  <si>
    <t>Initial Receipt Provision</t>
  </si>
  <si>
    <t>Total P/(L)</t>
  </si>
  <si>
    <t>SWAP (p)/l</t>
  </si>
  <si>
    <t>Balance Sheet Entries</t>
  </si>
  <si>
    <t>Monthend Provision</t>
  </si>
  <si>
    <t>$</t>
  </si>
  <si>
    <t>Currency (P)/L</t>
  </si>
  <si>
    <t>1.Industrial water</t>
  </si>
  <si>
    <t>2.Drinking Water</t>
  </si>
  <si>
    <t>3.Effluent Disposal</t>
  </si>
  <si>
    <t>$ per m3</t>
  </si>
  <si>
    <t>Usage m3/month</t>
  </si>
  <si>
    <t>Cost $</t>
  </si>
  <si>
    <t>Cost PLN</t>
  </si>
  <si>
    <t>Process Effluent</t>
  </si>
  <si>
    <t>Office Eqpt,materials</t>
  </si>
  <si>
    <t>Postage</t>
  </si>
  <si>
    <t>Telecommunications</t>
  </si>
  <si>
    <t>Canreen, Food</t>
  </si>
  <si>
    <t>PFRON</t>
  </si>
  <si>
    <t>brutto</t>
  </si>
  <si>
    <t>A</t>
  </si>
  <si>
    <t xml:space="preserve">Filip Józef </t>
  </si>
  <si>
    <t>Czaplak Robert</t>
  </si>
  <si>
    <t>E</t>
  </si>
  <si>
    <t>Jaworski Zdzisław</t>
  </si>
  <si>
    <t>Kudła Jerzy</t>
  </si>
  <si>
    <t>Rokicki Mirosław</t>
  </si>
  <si>
    <t>Skórski Jan</t>
  </si>
  <si>
    <t>Senczyszyn Józef</t>
  </si>
  <si>
    <t>Banaś Piotr</t>
  </si>
  <si>
    <t>Bosak Waldemar</t>
  </si>
  <si>
    <t>Kogut Jerzy</t>
  </si>
  <si>
    <t>Michalski Jarosław</t>
  </si>
  <si>
    <t>Powęska Grzegorz</t>
  </si>
  <si>
    <t>Przepłata Leszek</t>
  </si>
  <si>
    <t>Rożek Ireneusz</t>
  </si>
  <si>
    <t>Ruta Stanisław</t>
  </si>
  <si>
    <t>Serafin Mieczysław</t>
  </si>
  <si>
    <t>Słonina Władysław</t>
  </si>
  <si>
    <t>Szady Eugeniusz</t>
  </si>
  <si>
    <t>Woźnica Mirosław</t>
  </si>
  <si>
    <t>Wylaź Leszek</t>
  </si>
  <si>
    <t>Zdziech Włodzimierz</t>
  </si>
  <si>
    <t>Żołopa Krzysztof</t>
  </si>
  <si>
    <t>Dziki Adam</t>
  </si>
  <si>
    <t>Lęcznar Tadeusz</t>
  </si>
  <si>
    <t>Nietrzeba Marcin</t>
  </si>
  <si>
    <t>Stępień Andrzej</t>
  </si>
  <si>
    <t>Żak Andrzej</t>
  </si>
  <si>
    <t>Polit Jakub</t>
  </si>
  <si>
    <t>M</t>
  </si>
  <si>
    <t>Szymula Krzysztof</t>
  </si>
  <si>
    <t>Dreszer Krzysztof</t>
  </si>
  <si>
    <t>R</t>
  </si>
  <si>
    <t>Szewc Stanisław</t>
  </si>
  <si>
    <t>Zając Zbigniew</t>
  </si>
  <si>
    <t>Cichoń Janusz</t>
  </si>
  <si>
    <t>Musiał Andrzej</t>
  </si>
  <si>
    <t>Krawiec Mieczysław</t>
  </si>
  <si>
    <t>Pawelec Dariusz</t>
  </si>
  <si>
    <t>Szabelski Edward</t>
  </si>
  <si>
    <t>Engel-Dimitrowa Lucyna</t>
  </si>
  <si>
    <t>Z</t>
  </si>
  <si>
    <t>Sierżęga Iwona</t>
  </si>
  <si>
    <t>Podubny Joanna</t>
  </si>
  <si>
    <t xml:space="preserve">Stecka Róża </t>
  </si>
  <si>
    <t>Maziarz Renata</t>
  </si>
  <si>
    <t>Głowacki Jacek</t>
  </si>
  <si>
    <t>Lojko George</t>
  </si>
  <si>
    <t>Exch' Diffs</t>
  </si>
  <si>
    <t>SWAP Rate</t>
  </si>
  <si>
    <t>Consulting</t>
  </si>
  <si>
    <t>USD</t>
  </si>
  <si>
    <t>Staff Salaries</t>
  </si>
  <si>
    <t>Increase Factor</t>
  </si>
  <si>
    <t>Staff Monthly</t>
  </si>
  <si>
    <t>ZUS</t>
  </si>
  <si>
    <t>Note - US $ and PLN depreciation can differ - Polish done on basis of taxable depreciation - US $ done on basis of straight line over 15 years.</t>
  </si>
  <si>
    <t>Thirteenth Salary Prov'</t>
  </si>
  <si>
    <t>Total Costs</t>
  </si>
  <si>
    <t>Gas used m3</t>
  </si>
  <si>
    <t>Gas ordered m3/hr</t>
  </si>
  <si>
    <t>Total Gas Cost PLN</t>
  </si>
  <si>
    <t>Total Gas Cost $</t>
  </si>
  <si>
    <t>Reserve</t>
  </si>
  <si>
    <t>Board $</t>
  </si>
  <si>
    <t>Board Salaries $</t>
  </si>
  <si>
    <t>Zarębski Alexander</t>
  </si>
  <si>
    <t>401</t>
  </si>
  <si>
    <t>402</t>
  </si>
  <si>
    <t>402-001</t>
  </si>
  <si>
    <t>402-005</t>
  </si>
  <si>
    <t>Paliwo Produkcyjne - Olej</t>
  </si>
  <si>
    <t>402-010</t>
  </si>
  <si>
    <t>402-015</t>
  </si>
  <si>
    <t>Chemikalia</t>
  </si>
  <si>
    <t>402-030</t>
  </si>
  <si>
    <t>Materiały Eksplaotacyjne</t>
  </si>
  <si>
    <t>402-035</t>
  </si>
  <si>
    <t>Materiały BHP i P.POŻ.</t>
  </si>
  <si>
    <t>402-040</t>
  </si>
  <si>
    <t>Materiały warsztatowe</t>
  </si>
  <si>
    <t>402-045</t>
  </si>
  <si>
    <t>402-050</t>
  </si>
  <si>
    <t>Woda pitna</t>
  </si>
  <si>
    <t>402-060</t>
  </si>
  <si>
    <t>402-080</t>
  </si>
  <si>
    <t>Pozostałe materiały</t>
  </si>
  <si>
    <t>403</t>
  </si>
  <si>
    <t>Koszty Transportu</t>
  </si>
  <si>
    <t>404-010</t>
  </si>
  <si>
    <t>406</t>
  </si>
  <si>
    <t>Remont turbiny parowej-k.dług.</t>
  </si>
  <si>
    <t>406-010</t>
  </si>
  <si>
    <t>Części zamienne</t>
  </si>
  <si>
    <t>406-015</t>
  </si>
  <si>
    <t>Inspekcja stanu technicznego</t>
  </si>
  <si>
    <t>406-020</t>
  </si>
  <si>
    <t>Teleserwising</t>
  </si>
  <si>
    <t>406-025</t>
  </si>
  <si>
    <t>Remont kapitalny-usługi obce</t>
  </si>
  <si>
    <t>406-026</t>
  </si>
  <si>
    <t>Remont kapitalny-cz.zam.</t>
  </si>
  <si>
    <t>407</t>
  </si>
  <si>
    <t>Remont turbiny gazowej-k.dług.</t>
  </si>
  <si>
    <t>407-010</t>
  </si>
  <si>
    <t>Ogólne koszty umowne</t>
  </si>
  <si>
    <t>407-015</t>
  </si>
  <si>
    <t>Remont generalny-usługi obce</t>
  </si>
  <si>
    <t>407-016</t>
  </si>
  <si>
    <t>Remont generalny-cz.zam.</t>
  </si>
  <si>
    <t>407-020</t>
  </si>
  <si>
    <t>Boroskopia</t>
  </si>
  <si>
    <t>407-025</t>
  </si>
  <si>
    <t>Gorąca ścieżka</t>
  </si>
  <si>
    <t>408</t>
  </si>
  <si>
    <t>MMS-Wspomaganie remontów</t>
  </si>
  <si>
    <t>408-010</t>
  </si>
  <si>
    <t>MMS - Obsługa bazy danych</t>
  </si>
  <si>
    <t>409</t>
  </si>
  <si>
    <t>Remonty generalne poz.urządz.</t>
  </si>
  <si>
    <t>409-010</t>
  </si>
  <si>
    <t>Remonty gen.poz.urządz.-uługi</t>
  </si>
  <si>
    <t>409-011</t>
  </si>
  <si>
    <t>Remonty gen.poz.urz.-cz.zam.</t>
  </si>
  <si>
    <t>410</t>
  </si>
  <si>
    <t>Remonty Bieżące</t>
  </si>
  <si>
    <t>410-010</t>
  </si>
  <si>
    <t>Turbina parowa - usługi obce</t>
  </si>
  <si>
    <t>410-011</t>
  </si>
  <si>
    <t>Turbina parowa - części zam.</t>
  </si>
  <si>
    <t>410-015</t>
  </si>
  <si>
    <t>Turbina gazowa - usługi obce</t>
  </si>
  <si>
    <t>410-016</t>
  </si>
  <si>
    <t>Turbina gazowa - części zam.</t>
  </si>
  <si>
    <t>410-020</t>
  </si>
  <si>
    <t>Pozostałe urządz.- usługi obce</t>
  </si>
  <si>
    <t>410-021</t>
  </si>
  <si>
    <t>Pozostałe urządz.- cz.zam.</t>
  </si>
  <si>
    <t>415</t>
  </si>
  <si>
    <t>415-020</t>
  </si>
  <si>
    <t>415-035</t>
  </si>
  <si>
    <t>415-040</t>
  </si>
  <si>
    <t>Usługi Kolejowe</t>
  </si>
  <si>
    <t>415-045</t>
  </si>
  <si>
    <t>Obsługa Bocznicy Kolejowej</t>
  </si>
  <si>
    <t>415-099</t>
  </si>
  <si>
    <t>Pozostałe Usługi Organika</t>
  </si>
  <si>
    <t>416</t>
  </si>
  <si>
    <t>416-010</t>
  </si>
  <si>
    <t>416-015</t>
  </si>
  <si>
    <t>416-049</t>
  </si>
  <si>
    <t>Pozostałe Usługi Enron</t>
  </si>
  <si>
    <t>417</t>
  </si>
  <si>
    <t>Usługi Obce-Prawne/Finansow</t>
  </si>
  <si>
    <t>417-001</t>
  </si>
  <si>
    <t>417-002</t>
  </si>
  <si>
    <t>417-049</t>
  </si>
  <si>
    <t>417-051</t>
  </si>
  <si>
    <t>417-052</t>
  </si>
  <si>
    <t>417-089</t>
  </si>
  <si>
    <t>Usługi Finansowe - Pozostałe</t>
  </si>
  <si>
    <t>417-090</t>
  </si>
  <si>
    <t>Obsługa Sun System</t>
  </si>
  <si>
    <t>417-100</t>
  </si>
  <si>
    <t>Obsługa IFS - System</t>
  </si>
  <si>
    <t>419</t>
  </si>
  <si>
    <t>419-010</t>
  </si>
  <si>
    <t>Usługi - Płacowe (C.Admin)</t>
  </si>
  <si>
    <t>419-015</t>
  </si>
  <si>
    <t>Usługi - BHP</t>
  </si>
  <si>
    <t>419-020</t>
  </si>
  <si>
    <t>Usługi-utylizacja,wywóz odpad.</t>
  </si>
  <si>
    <t>419-060</t>
  </si>
  <si>
    <t>Usługi Techniczne</t>
  </si>
  <si>
    <t>419-070</t>
  </si>
  <si>
    <t>Usł. - utrzymanie czystości</t>
  </si>
  <si>
    <t>419-090</t>
  </si>
  <si>
    <t>Usługi Komputerowe/Informatycz</t>
  </si>
  <si>
    <t>419-100</t>
  </si>
  <si>
    <t>Usł.Serwis-Utrzymania Sprz.Biu</t>
  </si>
  <si>
    <t>419-110</t>
  </si>
  <si>
    <t>Usługi Serwis - Sprzęt Inny</t>
  </si>
  <si>
    <t>419-115</t>
  </si>
  <si>
    <t>Wynajem</t>
  </si>
  <si>
    <t>419-120</t>
  </si>
  <si>
    <t>Usługi pocztowe i kurierskie</t>
  </si>
  <si>
    <t>419-125</t>
  </si>
  <si>
    <t>Usługi telekom.telefony siec.</t>
  </si>
  <si>
    <t>419-130</t>
  </si>
  <si>
    <t>Usługi telekom. tel.komórkowe</t>
  </si>
  <si>
    <t>419-135</t>
  </si>
  <si>
    <t>Usługi telekom.- Enron Poland</t>
  </si>
  <si>
    <t>419-140</t>
  </si>
  <si>
    <t>Usługi - ochrona obiektu</t>
  </si>
  <si>
    <t>419-145</t>
  </si>
  <si>
    <t>Usł.-Utrzym. terenu wokół bud.</t>
  </si>
  <si>
    <t>419-999</t>
  </si>
  <si>
    <t>Usługi Obce - Pozostałe</t>
  </si>
  <si>
    <t>425</t>
  </si>
  <si>
    <t>Podatki i Opłaty</t>
  </si>
  <si>
    <t>425-010</t>
  </si>
  <si>
    <t>Opłaty za Środowisko</t>
  </si>
  <si>
    <t>425-015</t>
  </si>
  <si>
    <t>Podatek od Nieruchomości</t>
  </si>
  <si>
    <t>425-020</t>
  </si>
  <si>
    <t>425-025</t>
  </si>
  <si>
    <t>Fundusz Gwarant.Sw.Prac.</t>
  </si>
  <si>
    <t>425-030</t>
  </si>
  <si>
    <t>Opłaty URE</t>
  </si>
  <si>
    <t>425-035</t>
  </si>
  <si>
    <t>Opłaty Notarialne/Sąd./Skarbow</t>
  </si>
  <si>
    <t>425-040</t>
  </si>
  <si>
    <t>Opłaty-Wieczyste Użytk.Gruntów</t>
  </si>
  <si>
    <t>425-045</t>
  </si>
  <si>
    <t>Opłaty celne</t>
  </si>
  <si>
    <t>425-050</t>
  </si>
  <si>
    <t>Opłaty manipulacyjne</t>
  </si>
  <si>
    <t>425-400</t>
  </si>
  <si>
    <t>VAT Nie Podlegający Zwrotowi</t>
  </si>
  <si>
    <t>425-405</t>
  </si>
  <si>
    <t>VAT Należny Od Importu Usług</t>
  </si>
  <si>
    <t>425-410</t>
  </si>
  <si>
    <t>VAT Należny Od Reklamy/Reprez</t>
  </si>
  <si>
    <t>425-411</t>
  </si>
  <si>
    <t>VAT Należny Od Darowizny</t>
  </si>
  <si>
    <t>425-500</t>
  </si>
  <si>
    <t>Opłaty Pozostałe</t>
  </si>
  <si>
    <t>426</t>
  </si>
  <si>
    <t>Wynagrodzenia</t>
  </si>
  <si>
    <t>426-010</t>
  </si>
  <si>
    <t>Wynagrodzenia - Pieniężne</t>
  </si>
  <si>
    <t>426-015</t>
  </si>
  <si>
    <t>Narzuty Na Wynagrodzenia (ZUS)</t>
  </si>
  <si>
    <t>426-020</t>
  </si>
  <si>
    <t>426-025</t>
  </si>
  <si>
    <t>Trzynastka</t>
  </si>
  <si>
    <t>426-050</t>
  </si>
  <si>
    <t>Wynagrodzenia - Pozostałe</t>
  </si>
  <si>
    <t>427</t>
  </si>
  <si>
    <t>427-010</t>
  </si>
  <si>
    <t>Ubezpieczenia</t>
  </si>
  <si>
    <t>427-015</t>
  </si>
  <si>
    <t>Obsługa Medyczna</t>
  </si>
  <si>
    <t>427-020</t>
  </si>
  <si>
    <t>Fundusz Socjalny</t>
  </si>
  <si>
    <t>427-025</t>
  </si>
  <si>
    <t>Szkolenie Pracowników</t>
  </si>
  <si>
    <t>427-045</t>
  </si>
  <si>
    <t>Pozostałe świadczenia</t>
  </si>
  <si>
    <t>434</t>
  </si>
  <si>
    <t>434-010</t>
  </si>
  <si>
    <t>Ubezpieczenia Objektu/Majątku</t>
  </si>
  <si>
    <t>434-011</t>
  </si>
  <si>
    <t>Ubezpieczenia Samochodów</t>
  </si>
  <si>
    <t>434-029</t>
  </si>
  <si>
    <t>Ubezpieczenia Pozostałe</t>
  </si>
  <si>
    <t>440</t>
  </si>
  <si>
    <t>440-010</t>
  </si>
  <si>
    <t>440-020</t>
  </si>
  <si>
    <t>Materiały Gospodarcze</t>
  </si>
  <si>
    <t>440-025</t>
  </si>
  <si>
    <t>Środki czystości</t>
  </si>
  <si>
    <t>440-030</t>
  </si>
  <si>
    <t>Wyposażenie biura</t>
  </si>
  <si>
    <t>441</t>
  </si>
  <si>
    <t>441-010</t>
  </si>
  <si>
    <t>Paliwo</t>
  </si>
  <si>
    <t>441-015</t>
  </si>
  <si>
    <t>Serwis/Naprawa</t>
  </si>
  <si>
    <t>442</t>
  </si>
  <si>
    <t>Podróże Służbowe</t>
  </si>
  <si>
    <t>442-010</t>
  </si>
  <si>
    <t>Delegacje Służbowe Krajowe</t>
  </si>
  <si>
    <t>442-020</t>
  </si>
  <si>
    <t>Delegacje Służbowe Zagraniczne</t>
  </si>
  <si>
    <t>442-025</t>
  </si>
  <si>
    <t>Del.służb.czł.rady nadzorczej</t>
  </si>
  <si>
    <t>443</t>
  </si>
  <si>
    <t>Reprezentacja i reklama</t>
  </si>
  <si>
    <t>443-001</t>
  </si>
  <si>
    <t>701-010</t>
  </si>
  <si>
    <t>701-020</t>
  </si>
  <si>
    <t>701-030</t>
  </si>
  <si>
    <t>751</t>
  </si>
  <si>
    <t>Koszty Finansowe</t>
  </si>
  <si>
    <t>751-010</t>
  </si>
  <si>
    <t>751-011</t>
  </si>
  <si>
    <t>751-015</t>
  </si>
  <si>
    <t>751-016</t>
  </si>
  <si>
    <t>751-040</t>
  </si>
  <si>
    <t>751-045</t>
  </si>
  <si>
    <t>751-050</t>
  </si>
  <si>
    <t>Odsetki Karne Urzędowe</t>
  </si>
  <si>
    <t>751-060</t>
  </si>
  <si>
    <t>Ujemne Różnice Kursowe</t>
  </si>
  <si>
    <t>751-061</t>
  </si>
  <si>
    <t>Uj.różnice kurs.-kredyt WestLB</t>
  </si>
  <si>
    <t>751-062</t>
  </si>
  <si>
    <t>Uj.różnice kurs.- kredyt ENRON</t>
  </si>
  <si>
    <t>751-070</t>
  </si>
  <si>
    <t>Inne</t>
  </si>
  <si>
    <t>752</t>
  </si>
  <si>
    <t>Przychody Finansowe</t>
  </si>
  <si>
    <t>752-010</t>
  </si>
  <si>
    <t>Odsetki Bankowe</t>
  </si>
  <si>
    <t>752-020</t>
  </si>
  <si>
    <t>Odsetki od Należności</t>
  </si>
  <si>
    <t>752-030</t>
  </si>
  <si>
    <t>Odsetki Uzyskane Urzędowe</t>
  </si>
  <si>
    <t>752-040</t>
  </si>
  <si>
    <t>Dodatnie Różnice Kursowe</t>
  </si>
  <si>
    <t>752-050</t>
  </si>
  <si>
    <t>761</t>
  </si>
  <si>
    <t>Pozostałe koszty operacyjne</t>
  </si>
  <si>
    <t>761-001</t>
  </si>
  <si>
    <t>Wartość Sprzedanych Środ.Trwał</t>
  </si>
  <si>
    <t>761-002</t>
  </si>
  <si>
    <t>BANKOWE OPLATY MANIPULAC.</t>
  </si>
  <si>
    <t>761-003</t>
  </si>
  <si>
    <t>Darowizny</t>
  </si>
  <si>
    <t>761-010</t>
  </si>
  <si>
    <t>Nieodebrane ilości gazu</t>
  </si>
  <si>
    <t>761-050</t>
  </si>
  <si>
    <t>Koszty do refakturowania</t>
  </si>
  <si>
    <t>761-100</t>
  </si>
  <si>
    <t>Inne koszty operacyjne</t>
  </si>
  <si>
    <t>762</t>
  </si>
  <si>
    <t>Pozostałe przychody operacyjne</t>
  </si>
  <si>
    <t>762-001</t>
  </si>
  <si>
    <t>Sprzedaż Środków Trwałych</t>
  </si>
  <si>
    <t>762-002</t>
  </si>
  <si>
    <t>Inne przychody operacyjne</t>
  </si>
  <si>
    <t>762-050</t>
  </si>
  <si>
    <t>Przychody z refakturow.kosztow</t>
  </si>
  <si>
    <t>770</t>
  </si>
  <si>
    <t>Zyski Nadzwyczajne</t>
  </si>
  <si>
    <t>770-001</t>
  </si>
  <si>
    <t>Odszkodowanie za postój</t>
  </si>
  <si>
    <t>770-002</t>
  </si>
  <si>
    <t>Odszkodowania za samochody</t>
  </si>
  <si>
    <t>Zarębski Aleksander</t>
  </si>
  <si>
    <t>ENS BUDGET - YEAR 2002</t>
  </si>
  <si>
    <t>Agent's Fee</t>
  </si>
  <si>
    <t>Oheads</t>
  </si>
  <si>
    <t>Additions +</t>
  </si>
  <si>
    <t>Disposals -</t>
  </si>
  <si>
    <t>Dep'n rate</t>
  </si>
  <si>
    <t>419-150</t>
  </si>
  <si>
    <t>Usł - meteorologiczne</t>
  </si>
  <si>
    <t>Oheads $</t>
  </si>
  <si>
    <t>interest/swap</t>
  </si>
  <si>
    <t>%ZUS</t>
  </si>
  <si>
    <t>Świadczenia Na Rzecz Pracowników</t>
  </si>
  <si>
    <t>employees</t>
  </si>
  <si>
    <t>legal per A.Black $20,000/month</t>
  </si>
  <si>
    <t>Operating Profit</t>
  </si>
  <si>
    <t>Total Financial &amp; Other Operational</t>
  </si>
  <si>
    <t>Net Profit</t>
  </si>
  <si>
    <t>Ubezpieczenia Objektu/Majątku pln</t>
  </si>
  <si>
    <t>Additions prior to 2002</t>
  </si>
  <si>
    <t>Gas store</t>
  </si>
  <si>
    <t>Computers</t>
  </si>
  <si>
    <t>Usage/month m3</t>
  </si>
  <si>
    <t xml:space="preserve">Usage m3/month </t>
  </si>
  <si>
    <t>Land usage $</t>
  </si>
  <si>
    <t>$/month</t>
  </si>
  <si>
    <t>1. Site Services</t>
  </si>
  <si>
    <t>2. Other  services</t>
  </si>
  <si>
    <t>4. Condensate</t>
  </si>
  <si>
    <t>5. Other services</t>
  </si>
  <si>
    <t xml:space="preserve">Total Costs </t>
  </si>
  <si>
    <t>6. Transmission fee</t>
  </si>
  <si>
    <t>Transmission fee PLN</t>
  </si>
  <si>
    <t>Transmission fee $</t>
  </si>
  <si>
    <t>KgHZT/month</t>
  </si>
  <si>
    <t>$/kg HZT</t>
  </si>
  <si>
    <t>1. PSE</t>
  </si>
  <si>
    <t>MWh</t>
  </si>
  <si>
    <t>Energy price PLN/MWh</t>
  </si>
  <si>
    <t>2. Organika</t>
  </si>
  <si>
    <t>LP Price $/GJ</t>
  </si>
  <si>
    <t>HP Price $/GJ</t>
  </si>
  <si>
    <t>3. City of Nowa Sarzyna</t>
  </si>
  <si>
    <t>Price zł/GJ</t>
  </si>
  <si>
    <t>Energy Payment PLN</t>
  </si>
  <si>
    <t>Capacity Payment PLN</t>
  </si>
  <si>
    <t>Availability price $</t>
  </si>
  <si>
    <t>Availability revenue $</t>
  </si>
  <si>
    <t>LP steam revenue $</t>
  </si>
  <si>
    <t>HP steam revenue $</t>
  </si>
  <si>
    <t>Steam LP GJ</t>
  </si>
  <si>
    <t>Steam HP GJ</t>
  </si>
  <si>
    <t>Steam GJ</t>
  </si>
  <si>
    <t>Variable fee $/1000m3</t>
  </si>
  <si>
    <t>Fixed fee $/1000m3/h</t>
  </si>
  <si>
    <t>Variable fee $/1000m3 (calorific value adjustment)</t>
  </si>
  <si>
    <t>Calorific value factor</t>
  </si>
  <si>
    <t>Fixed payment $</t>
  </si>
  <si>
    <t>Variable paymnent $</t>
  </si>
  <si>
    <t>Cleaning Services</t>
  </si>
  <si>
    <t>Business Travel</t>
  </si>
  <si>
    <t>Ground Rent</t>
  </si>
  <si>
    <t>Other Taxes &amp; Fees</t>
  </si>
  <si>
    <t>Gas</t>
  </si>
  <si>
    <t>Plant Insurance</t>
  </si>
  <si>
    <t>Fuel Oil</t>
  </si>
  <si>
    <t>Electricity</t>
  </si>
  <si>
    <t>Chemicals</t>
  </si>
  <si>
    <t>Operational materials</t>
  </si>
  <si>
    <t>Fire/safety materials</t>
  </si>
  <si>
    <t>Stores materials</t>
  </si>
  <si>
    <t>Industrial water</t>
  </si>
  <si>
    <t>Drinking water</t>
  </si>
  <si>
    <t>Condensate</t>
  </si>
  <si>
    <t>Other materials</t>
  </si>
  <si>
    <t>Organika transmission</t>
  </si>
  <si>
    <t>Reserve PLN</t>
  </si>
  <si>
    <t>Outside Services -Organika Sarzyna</t>
  </si>
  <si>
    <t>Effluent disposal</t>
  </si>
  <si>
    <t>Usufruct payments</t>
  </si>
  <si>
    <t>Outside Services - Enron</t>
  </si>
  <si>
    <t>Enron Technical Services</t>
  </si>
  <si>
    <t>Enron O &amp; M Supervision</t>
  </si>
  <si>
    <t>Legal - Cameron McKenna</t>
  </si>
  <si>
    <t>Legal - White &amp; Case</t>
  </si>
  <si>
    <t>Legal - Other</t>
  </si>
  <si>
    <t>Financial-Arthur Andersen</t>
  </si>
  <si>
    <t>Financial -Other</t>
  </si>
  <si>
    <t>Sun system</t>
  </si>
  <si>
    <t>IFS system</t>
  </si>
  <si>
    <t>Outside Services  -Other</t>
  </si>
  <si>
    <t>Payroll</t>
  </si>
  <si>
    <t>Safety</t>
  </si>
  <si>
    <t>Technical</t>
  </si>
  <si>
    <t>Transport costs</t>
  </si>
  <si>
    <t>SUM</t>
  </si>
  <si>
    <t>PLN-$ Exch Rate - Beginning 01-01-2003</t>
  </si>
  <si>
    <t>PLN-$ Exch Rate - Beginning 01-01-2004</t>
  </si>
  <si>
    <t>ENS Budget- 2003</t>
  </si>
  <si>
    <t>ENS Budget- 2004</t>
  </si>
  <si>
    <t>ENS BUDGET - Year 2002</t>
  </si>
  <si>
    <t>ENS BUDGET - Year 2003</t>
  </si>
  <si>
    <t>ENS - Budget 2003</t>
  </si>
  <si>
    <t>ENS - Budget 2004</t>
  </si>
  <si>
    <t>a)Sales - 2003</t>
  </si>
  <si>
    <t>ENS BUDGET - YEAR 2003</t>
  </si>
  <si>
    <t>ENS BUDGET - YEAR 2004</t>
  </si>
  <si>
    <t>Escalated Enron by 4% CPI estimate</t>
  </si>
  <si>
    <t>ENS - BUDGET YEAR 2002</t>
  </si>
  <si>
    <t>ENS - BUDGET YEAR 2003</t>
  </si>
  <si>
    <t>a)Sales - 2004</t>
  </si>
  <si>
    <t>ENS BUDGET - 2003</t>
  </si>
  <si>
    <t>ENS BUDGET - 2004</t>
  </si>
  <si>
    <t>Consumption of Energy &amp; Materials</t>
  </si>
  <si>
    <t>Rail Services</t>
  </si>
  <si>
    <t>Railway Siding</t>
  </si>
  <si>
    <t>Other Organika Services</t>
  </si>
  <si>
    <t>Other Enron Services</t>
  </si>
  <si>
    <t>Waste Disposal</t>
  </si>
  <si>
    <t>Computer/IT Services</t>
  </si>
  <si>
    <t>Office Equipment Maintenance</t>
  </si>
  <si>
    <t>Other Equipment Maintenence</t>
  </si>
  <si>
    <t>Rents</t>
  </si>
  <si>
    <t>Postage &amp; Courier</t>
  </si>
  <si>
    <t>Main Telephone Services</t>
  </si>
  <si>
    <t>Mobile Phone Services</t>
  </si>
  <si>
    <t>Enron Poland Tele Services</t>
  </si>
  <si>
    <t>Site Security</t>
  </si>
  <si>
    <t>Landscape Maintenence</t>
  </si>
  <si>
    <t>Weather Services</t>
  </si>
  <si>
    <t>Other Services</t>
  </si>
  <si>
    <t>Environment Fees</t>
  </si>
  <si>
    <t>Social Fund</t>
  </si>
  <si>
    <t>URE Fees</t>
  </si>
  <si>
    <t>Notarial/Court Fees</t>
  </si>
  <si>
    <t>usufruct</t>
  </si>
  <si>
    <t>Customs Expenses</t>
  </si>
  <si>
    <t>Customs Agency Charges</t>
  </si>
  <si>
    <t>VAT on representation</t>
  </si>
  <si>
    <t>VAT on Imported Services</t>
  </si>
  <si>
    <t>Unrecoverable Vat</t>
  </si>
  <si>
    <t>Taxes &amp; Fees</t>
  </si>
  <si>
    <t>Thirteenth Salary</t>
  </si>
  <si>
    <t>Other alary Payments</t>
  </si>
  <si>
    <t>Salary Expenses</t>
  </si>
  <si>
    <t>Employment Expenses</t>
  </si>
  <si>
    <t>Insurances</t>
  </si>
  <si>
    <t>Medical</t>
  </si>
  <si>
    <t>Employment Guarantee Fund</t>
  </si>
  <si>
    <t>Untaken Holidays</t>
  </si>
  <si>
    <t>Training</t>
  </si>
  <si>
    <t>Vehicle Insurance</t>
  </si>
  <si>
    <t>Other Insurance</t>
  </si>
  <si>
    <t>Office materials</t>
  </si>
  <si>
    <t>Office Materials</t>
  </si>
  <si>
    <t>Vehicle Fuel &amp; Mnaintenence</t>
  </si>
  <si>
    <t>Fuel</t>
  </si>
  <si>
    <t>Servicing &amp; Maintenence</t>
  </si>
  <si>
    <t>Domestic Travel</t>
  </si>
  <si>
    <t>foreign travel</t>
  </si>
  <si>
    <t>Representation &amp; Adverising</t>
  </si>
  <si>
    <t>Bank Expenses</t>
  </si>
  <si>
    <t>Agency Fee</t>
  </si>
  <si>
    <t>WestLB Interest</t>
  </si>
  <si>
    <t>EPI Interest</t>
  </si>
  <si>
    <t>Late Payment Interest</t>
  </si>
  <si>
    <t>SWAP costs</t>
  </si>
  <si>
    <t>Interest Received</t>
  </si>
  <si>
    <t>cost of Fixed Assets Sold</t>
  </si>
  <si>
    <t>Bank Charges</t>
  </si>
  <si>
    <t>Donations</t>
  </si>
  <si>
    <t>Untaken Gas</t>
  </si>
  <si>
    <t>Costs for Reinvoicing</t>
  </si>
  <si>
    <t>Other Operational Costs</t>
  </si>
  <si>
    <t>Other Operating Costs</t>
  </si>
  <si>
    <t>Steam Turbine Agreement - EURO's</t>
  </si>
  <si>
    <t>ASSETS</t>
  </si>
  <si>
    <t>A.Fixed Assets</t>
  </si>
  <si>
    <t>1.Intangible Fixed Assets</t>
  </si>
  <si>
    <t>2.Tangible Fixed Assets</t>
  </si>
  <si>
    <t>Land</t>
  </si>
  <si>
    <t>Buildings &amp; Constructions</t>
  </si>
  <si>
    <t>Machinery &amp; Equipment</t>
  </si>
  <si>
    <t>Vehicles</t>
  </si>
  <si>
    <t>Other Fixed Assets</t>
  </si>
  <si>
    <t>Work-in-progress</t>
  </si>
  <si>
    <t>3.Depreciation</t>
  </si>
  <si>
    <t>Net Fixed Assets</t>
  </si>
  <si>
    <t>B.Current Assets</t>
  </si>
  <si>
    <t>Stocks</t>
  </si>
  <si>
    <t>1.Raw Materials</t>
  </si>
  <si>
    <t>2.Other Stocks</t>
  </si>
  <si>
    <t>3.Stock Prepayments</t>
  </si>
  <si>
    <t>Debtors</t>
  </si>
  <si>
    <t>1.Trade Debtors</t>
  </si>
  <si>
    <t>2.Budget Debtors</t>
  </si>
  <si>
    <t>3.Intercompany Debtors</t>
  </si>
  <si>
    <t>4.Other Debtors</t>
  </si>
  <si>
    <t>Cash</t>
  </si>
  <si>
    <t>Cash in Hand</t>
  </si>
  <si>
    <t>Cash at Bank</t>
  </si>
  <si>
    <t>Total Current Assets</t>
  </si>
  <si>
    <t>C.Deferred Costs</t>
  </si>
  <si>
    <t>Prepaid Expenses</t>
  </si>
  <si>
    <t>Other - gas</t>
  </si>
  <si>
    <t>CAPITAL AND LIABILITIES</t>
  </si>
  <si>
    <t>A.Capital</t>
  </si>
  <si>
    <t>1.Share Capital - registered</t>
  </si>
  <si>
    <t>3.Retained Losses Prior Years</t>
  </si>
  <si>
    <t>B.Provisions</t>
  </si>
  <si>
    <t>2.Interest SWAP Provisions</t>
  </si>
  <si>
    <t>C.Long-term Creditors</t>
  </si>
  <si>
    <t>1.Long-term Bank Loans</t>
  </si>
  <si>
    <t>2.Other Long-term Creditors</t>
  </si>
  <si>
    <t>D.Short-term Creditors and Special Funds</t>
  </si>
  <si>
    <t>1.Borrowings</t>
  </si>
  <si>
    <t>2.Trade Creditors</t>
  </si>
  <si>
    <t>3.Other Short-term Creditors</t>
  </si>
  <si>
    <t>3.Special Funds</t>
  </si>
  <si>
    <t>4.Current Portion of LT Debt</t>
  </si>
  <si>
    <t>5.Budget Creditors</t>
  </si>
  <si>
    <t>E.Accruals and Deferred Income</t>
  </si>
  <si>
    <t>1.Accrued Expenses</t>
  </si>
  <si>
    <t>2.Deferred Income</t>
  </si>
  <si>
    <t>A.Cash Flow from operating activities</t>
  </si>
  <si>
    <t>Net profit for period</t>
  </si>
  <si>
    <t>Incr/(decr) in deferred income</t>
  </si>
  <si>
    <t>Change in provisions</t>
  </si>
  <si>
    <t>(Incr)/decr iin inventories</t>
  </si>
  <si>
    <t>(Incr)/decr in trade receivables</t>
  </si>
  <si>
    <t>Incr/(decr) in trade creditors</t>
  </si>
  <si>
    <t>Incr/(decr) in accruals</t>
  </si>
  <si>
    <t>(Incr)/decr in prepayments</t>
  </si>
  <si>
    <t>Net cash flow from operating activities</t>
  </si>
  <si>
    <t>B,Cash flow from investing activities</t>
  </si>
  <si>
    <t>Net additions to intangible fixed assets</t>
  </si>
  <si>
    <t>Net additions to fixed assets</t>
  </si>
  <si>
    <t>Net cash used in investing activities</t>
  </si>
  <si>
    <t>C.Cash flow from financing activities</t>
  </si>
  <si>
    <t>Revaluation/repay of bank loans</t>
  </si>
  <si>
    <t>Repayment of bank loans</t>
  </si>
  <si>
    <t>Revaluation/repay of short term loans</t>
  </si>
  <si>
    <t>Proceeds from issue of shares</t>
  </si>
  <si>
    <t>Net cash flow from financing activities</t>
  </si>
  <si>
    <t>D.Net cash inflow during period</t>
  </si>
  <si>
    <t>E.Cash at beginning of year</t>
  </si>
  <si>
    <t>F.Cash at end of period</t>
  </si>
  <si>
    <t>PSE Adjustment</t>
  </si>
  <si>
    <t>1.PSE Provision</t>
  </si>
  <si>
    <t>1 = Gas cost according to FSA</t>
  </si>
  <si>
    <t>2 = Gas cost according to PGNiG Tariff</t>
  </si>
  <si>
    <t>Fixed cost $</t>
  </si>
  <si>
    <t>Variable cost $</t>
  </si>
  <si>
    <t>ASSUMPTIONS:</t>
  </si>
  <si>
    <t>TOTAL</t>
  </si>
  <si>
    <t>Days per month</t>
  </si>
  <si>
    <t>Price for gaseous fuel PLN/m3</t>
  </si>
  <si>
    <t>Variable transmission fee PLN/m3</t>
  </si>
  <si>
    <t>Fixed transmission fee PLN/m3/h for h</t>
  </si>
  <si>
    <t>Variable transmission fee PLN/m3 (calorific value adjustment)</t>
  </si>
  <si>
    <t>Price for gaseous fuel PLN/m3 (calorific value adjustment)</t>
  </si>
  <si>
    <t>Fixed cost PLN</t>
  </si>
  <si>
    <t>Variable cost PLN</t>
  </si>
  <si>
    <t>Additional fee PLN/month</t>
  </si>
  <si>
    <t>Total cost $  (FSA)</t>
  </si>
  <si>
    <t>Total cost in PLN (PGNiG Tariff)</t>
  </si>
  <si>
    <t>Total cost in $ (PGNiG Tariff)</t>
  </si>
  <si>
    <t>Total sales PLN</t>
  </si>
  <si>
    <t>Total sales USD</t>
  </si>
  <si>
    <t>1. Sales according to PDA</t>
  </si>
  <si>
    <t>Single-component price PLN/MWh</t>
  </si>
  <si>
    <t>2. Sales according to modified PDA</t>
  </si>
  <si>
    <t>3. Sales according to 240,03 PLN/MWh</t>
  </si>
  <si>
    <t>1. POLSKIE SIECI ELEKTROENERGETYCZNE S.A.</t>
  </si>
  <si>
    <t>2. ZAKŁADY CHEMICZNE ORGANIKA-SARZYNA S.A.</t>
  </si>
  <si>
    <t>3. MIASTO NOWA SARZYNA</t>
  </si>
  <si>
    <t>Single-component price PLN/GJ</t>
  </si>
  <si>
    <r>
      <t>1</t>
    </r>
    <r>
      <rPr>
        <sz val="10"/>
        <rFont val="Arial CE"/>
        <charset val="238"/>
      </rPr>
      <t xml:space="preserve"> = Sales according to PDA</t>
    </r>
  </si>
  <si>
    <r>
      <t>2</t>
    </r>
    <r>
      <rPr>
        <sz val="10"/>
        <rFont val="Arial CE"/>
        <charset val="238"/>
      </rPr>
      <t xml:space="preserve"> = Sales according to modified PDA</t>
    </r>
  </si>
  <si>
    <r>
      <t>3</t>
    </r>
    <r>
      <rPr>
        <sz val="10"/>
        <rFont val="Arial CE"/>
        <charset val="238"/>
      </rPr>
      <t xml:space="preserve"> = Sales according to ENS last Tariff Price: 240,03 PLN/MWh</t>
    </r>
  </si>
  <si>
    <t>SUMMARY PLN</t>
  </si>
  <si>
    <t>Economic forecast for Poland (Polish Banking Sector Dollar/Zloty rate forecast);Warsaw Newsroom@Reuters.com</t>
  </si>
  <si>
    <t>Unplanned maintenace</t>
  </si>
  <si>
    <t>Ogółem</t>
  </si>
  <si>
    <t>Sub-Total</t>
  </si>
  <si>
    <t>MAINTENANCE/OVERHAUL</t>
  </si>
  <si>
    <t>Outside Services-Legal/Financial</t>
  </si>
  <si>
    <t>Outside Services  - Other</t>
  </si>
  <si>
    <t>Usługi obce - pozostałe</t>
  </si>
  <si>
    <t>Usługi Obce-Prawne/Finansowe</t>
  </si>
  <si>
    <t>Usługi obce - Organika Sarzyna</t>
  </si>
  <si>
    <t>MATERIALS AND ENERGY</t>
  </si>
  <si>
    <t>MATERIAŁY I ENERGIA</t>
  </si>
  <si>
    <t>KONTO</t>
  </si>
  <si>
    <t>UTRZYMANIE I REMONTY</t>
  </si>
  <si>
    <t>OUTSIDE SERVICES</t>
  </si>
  <si>
    <t>USŁUGI OBCE</t>
  </si>
  <si>
    <t>TAXES AND FEES</t>
  </si>
  <si>
    <t>PODATKI I OPAŁTY</t>
  </si>
  <si>
    <t>Benefits</t>
  </si>
  <si>
    <t>INSURANCES</t>
  </si>
  <si>
    <t>UBEZPIECZENIA</t>
  </si>
  <si>
    <t>Employee insurance</t>
  </si>
  <si>
    <t>SALARIES AND EMPLOYEE BENEFITS</t>
  </si>
  <si>
    <t>Medical service</t>
  </si>
  <si>
    <t>WYNAGRODZENIA I ŚWIADCZENIA</t>
  </si>
  <si>
    <t>OFFICE MATERIALS</t>
  </si>
  <si>
    <t>MATERIAŁY BIUROWE</t>
  </si>
  <si>
    <t>SAMOCHODY SŁUŻBOWE</t>
  </si>
  <si>
    <t>PODRÓŻE SŁUŻBOWE</t>
  </si>
  <si>
    <t>BUSINESS TRAVELS</t>
  </si>
  <si>
    <t>REPREZENTACJA I REKLAMA</t>
  </si>
  <si>
    <t>OGÓŁEM</t>
  </si>
  <si>
    <t>Repair/Maintenace</t>
  </si>
  <si>
    <t>COMPANY VEHICLES</t>
  </si>
  <si>
    <t>Sewage</t>
  </si>
  <si>
    <t>Landscape Maintenance</t>
  </si>
  <si>
    <t>Other salary Payments</t>
  </si>
  <si>
    <t>Foreign travel</t>
  </si>
  <si>
    <t>Representation and Advertising</t>
  </si>
  <si>
    <t>REPRESENTATION AND ADVERTISING</t>
  </si>
  <si>
    <t>REJESTR ŚRODKÓW TRWAŁYCH ORAZ PLAN AMORTYZACJI 2001</t>
  </si>
  <si>
    <t xml:space="preserve">Nr </t>
  </si>
  <si>
    <t xml:space="preserve"> Numer </t>
  </si>
  <si>
    <t xml:space="preserve">Nazwa środka trwałego </t>
  </si>
  <si>
    <t>Name of asset-English</t>
  </si>
  <si>
    <t xml:space="preserve">Stawka amortyzacyjna [%] </t>
  </si>
  <si>
    <t>Data przyjęcia do użytkowania</t>
  </si>
  <si>
    <t>Wartość początkowa w PLN</t>
  </si>
  <si>
    <t>Miesięczny odpis PLN</t>
  </si>
  <si>
    <t>Budynek Gł. Elektrociepłowni wraz z Budynkiem Admin. i Bud. Stacji Przygotowania Gazu</t>
  </si>
  <si>
    <t>Main Building with Administration Building and Gas Station</t>
  </si>
  <si>
    <t>31.05.2000</t>
  </si>
  <si>
    <t>Budynek Kotłowni Pomocniczej</t>
  </si>
  <si>
    <t>Auxiliary Boilers Builging</t>
  </si>
  <si>
    <t>Budynek Stacji Uzdatniania Wody</t>
  </si>
  <si>
    <t>Water Treatment Building</t>
  </si>
  <si>
    <t>Budynek Stacji Przekaźnikowej Rozdzielni 110 kV</t>
  </si>
  <si>
    <t>110 KV Equipment Building</t>
  </si>
  <si>
    <t>Budynek Stacji Rozładunku i Przesyłu Oleju Opałowego</t>
  </si>
  <si>
    <t>Distillate Fuel Oil Handling Building</t>
  </si>
  <si>
    <t xml:space="preserve">Portiernia </t>
  </si>
  <si>
    <t>Gate House</t>
  </si>
  <si>
    <t>Komin kotła odzysknicowego HRSG11</t>
  </si>
  <si>
    <t>HRSG 11Exhaust Stack</t>
  </si>
  <si>
    <t>Komin kotła odzysknicowego HRSG12</t>
  </si>
  <si>
    <t>Komin kotłów pomocniczych dwuprzewodowy</t>
  </si>
  <si>
    <t>Auxiliairy Boiler Dual Exhaust Stack</t>
  </si>
  <si>
    <t>Komin kotłów pomocniczych trójprzewodowy</t>
  </si>
  <si>
    <t>Auxiliairy Boiler Tridae Exhaust Stack</t>
  </si>
  <si>
    <t>Chłodnia wentylatorowa wody chłodzącej A</t>
  </si>
  <si>
    <t>Cooling Tower A</t>
  </si>
  <si>
    <t>Chłodnia wentylatorowa wody chłodzącej B</t>
  </si>
  <si>
    <t>Cooling Tower B</t>
  </si>
  <si>
    <t xml:space="preserve">Rurociąg wody pitnej </t>
  </si>
  <si>
    <t>Fresh Water Import Pipeline</t>
  </si>
  <si>
    <t xml:space="preserve">Rurociąg  wody surowej </t>
  </si>
  <si>
    <t>Raw Water Import Pipeline</t>
  </si>
  <si>
    <t>Stacja rozdzielcza 110kV</t>
  </si>
  <si>
    <t>110 kV Switch Yard</t>
  </si>
  <si>
    <t>Linia elektroenergetyczna 110kV OHL-2; OHL-3</t>
  </si>
  <si>
    <t>110kV OHL-2 Over Head Line</t>
  </si>
  <si>
    <t>Kanalizacja sanitarna z przepompownią</t>
  </si>
  <si>
    <t>Sanitary Waste System with Pumps</t>
  </si>
  <si>
    <t>Kanalizacja deszczowo - przemysłowa z przepompownią</t>
  </si>
  <si>
    <t>Industrial-rain water sewage system  with pump station</t>
  </si>
  <si>
    <t>Układ pary wysokoprężnej HP</t>
  </si>
  <si>
    <t>HP Stem System</t>
  </si>
  <si>
    <t>Układ pary średnioprężnej IP</t>
  </si>
  <si>
    <t>IP Steam System</t>
  </si>
  <si>
    <t>Układ pary niskoprężnej LP</t>
  </si>
  <si>
    <t>LP Steam System</t>
  </si>
  <si>
    <t>Układ kondensatu</t>
  </si>
  <si>
    <t>Condensate System</t>
  </si>
  <si>
    <t xml:space="preserve">Układ wody zasilającej </t>
  </si>
  <si>
    <t>Feed Water System</t>
  </si>
  <si>
    <t xml:space="preserve">Układ wody zasilającej kotłów pomocniczych </t>
  </si>
  <si>
    <t>Auxiliary Feed Water System</t>
  </si>
  <si>
    <t xml:space="preserve">Główny układ wody chłodzącej </t>
  </si>
  <si>
    <t>Main Cooling Water</t>
  </si>
  <si>
    <t xml:space="preserve">Pomocniczy układ wody chłodzącej </t>
  </si>
  <si>
    <t>Auxiliary Cooling Water</t>
  </si>
  <si>
    <t>Rurociąg gazowy</t>
  </si>
  <si>
    <t>Natural Gas Pipe Line</t>
  </si>
  <si>
    <t xml:space="preserve">Układ oleju opałowego z pompami i podgrzewaczami </t>
  </si>
  <si>
    <t>Distillate Fuel Oil System with Pumps &amp; Heaters</t>
  </si>
  <si>
    <t xml:space="preserve">Układ sprężonego powietrza </t>
  </si>
  <si>
    <t>Compress Air System</t>
  </si>
  <si>
    <t>Układ drenażowy skroplin budynku głównego i kotłów odzysknicowych oraz bud. kotłów pomocniczych</t>
  </si>
  <si>
    <t>Drainage System (Main Building, HRSG, Auxiliary Boilers Building)</t>
  </si>
  <si>
    <t>Rurociąg kondensatu zwrotnego</t>
  </si>
  <si>
    <t xml:space="preserve">Condensat - Return Pipe Line </t>
  </si>
  <si>
    <t xml:space="preserve">Drogi wewnątrzzakładowe </t>
  </si>
  <si>
    <t>Plant Road System</t>
  </si>
  <si>
    <t>31.05.2000; zwiększenie  29.09.2000 (37 997,87zł),12.2000 (23 238,19zł)</t>
  </si>
  <si>
    <t>Bocznica kolejowa</t>
  </si>
  <si>
    <t>Distillate Fuel Oil Railway Station</t>
  </si>
  <si>
    <t>Estakada rurociągów pary technologicznej i skroplin</t>
  </si>
  <si>
    <t>Over Head Pipe Bridges</t>
  </si>
  <si>
    <t>Ogrodzenie zakładu</t>
  </si>
  <si>
    <t>Plant Boundary Fence</t>
  </si>
  <si>
    <t>Zieleńce i teren wokół elektrociepłowni</t>
  </si>
  <si>
    <t>31.01.2001</t>
  </si>
  <si>
    <t>Kocioł parowy pomocniczy LP Nr 1</t>
  </si>
  <si>
    <t>Auxiliary Boilers LP No. 1</t>
  </si>
  <si>
    <t>Kocioł parowy pomocniczy LP Nr 2</t>
  </si>
  <si>
    <t>Auxiliary Boilers LP No. 2</t>
  </si>
  <si>
    <t>Kocioł parowy pomocniczy LP Nr 3</t>
  </si>
  <si>
    <t>Auxiliary Boilers LP No. 3</t>
  </si>
  <si>
    <t>Kocioł parowy pomocniczy LP Nr 4</t>
  </si>
  <si>
    <t>Auxiliary Boilers LP No. 4</t>
  </si>
  <si>
    <t>Kocioł parowy pomocniczy IP Nr 5</t>
  </si>
  <si>
    <t>Auxiliary Boilers IP No. 5</t>
  </si>
  <si>
    <t>Kocioł parowy odzysknicowy HRSG11</t>
  </si>
  <si>
    <t>HRSG 11 Boiler</t>
  </si>
  <si>
    <t>Kocioł parowy odzysknicowy HRSG12</t>
  </si>
  <si>
    <t>HRSG 12 Boiler</t>
  </si>
  <si>
    <t>Turbozespół parowy STG 40MWe</t>
  </si>
  <si>
    <t>Steam Turbine and Generator</t>
  </si>
  <si>
    <t>Agregat prądotwórczy 150kW</t>
  </si>
  <si>
    <t>Diesel Generator</t>
  </si>
  <si>
    <t xml:space="preserve">Turbozespół gazowy GTG1 40MWe </t>
  </si>
  <si>
    <t>GT11 and Generator</t>
  </si>
  <si>
    <t>Turbozespół gazowy GTG2 40MWe</t>
  </si>
  <si>
    <t>GT12 and Generator</t>
  </si>
  <si>
    <t>Pompa wody zasilającej Nr 1</t>
  </si>
  <si>
    <t>Main  Feed Water Pump No. 1</t>
  </si>
  <si>
    <t>Pompa wody zasilającej Nr 2</t>
  </si>
  <si>
    <t>Main  Feed Water Pump No. 2</t>
  </si>
  <si>
    <t>Pompa wody zasilającej kotłów pomocniczych LP Nr 1</t>
  </si>
  <si>
    <t>Auxiliary Boiler LP Feed Water Pump 1</t>
  </si>
  <si>
    <t>Pompa wody zasilającej kotłów pomocniczych LP Nr 2</t>
  </si>
  <si>
    <t>Auxiliary Boiler LP Feed Water Pump 2</t>
  </si>
  <si>
    <t>Pompa wody zasilającej kotłów pomocniczych LP Nr 3</t>
  </si>
  <si>
    <t>Auxiliary Boiler LP Feed Water Pump 3</t>
  </si>
  <si>
    <t>Pompa wody zasilającej kotła pomocniczego IP Nr 1</t>
  </si>
  <si>
    <t>Auxiliary Boiler IP Feed Water Pump 1</t>
  </si>
  <si>
    <t>Pompa wody zasilającej kotła pomocniczego IP Nr 2</t>
  </si>
  <si>
    <t>Auxiliary Boiler IP Feed Water Pump 2</t>
  </si>
  <si>
    <t>Główna pompa wody chłodzącej Nr 1</t>
  </si>
  <si>
    <t>Main Circ Cooling Water Pump 1</t>
  </si>
  <si>
    <t>Główna pompa wody chłodzącej Nr 2</t>
  </si>
  <si>
    <t>Main Circ Cooling Water Pump 2</t>
  </si>
  <si>
    <t>Główna pompa wody chłodzącej Nr 3</t>
  </si>
  <si>
    <t>Main Circ Cooling Water Pump 3</t>
  </si>
  <si>
    <t>Pomocnicza pompa wody chłodzącej Nr 1</t>
  </si>
  <si>
    <t>Aux. Circ Cooling Water Pump 1</t>
  </si>
  <si>
    <t>Pomocnicza pompa wody chłodzącej Nr 2</t>
  </si>
  <si>
    <t>Aux. Circ Cooling Water Pump 2</t>
  </si>
  <si>
    <t>Sprężarka Nr1</t>
  </si>
  <si>
    <t>Air Compressor 1</t>
  </si>
  <si>
    <t>Sprężarka Nr2</t>
  </si>
  <si>
    <t>Air Compressor 2</t>
  </si>
  <si>
    <t>Chłodnica wody zasilającej</t>
  </si>
  <si>
    <t>Boiler Feed Water Heat Exchanger</t>
  </si>
  <si>
    <t>Spawarka FALTIG 315AC/DC</t>
  </si>
  <si>
    <t>Welding Machine</t>
  </si>
  <si>
    <t>16.02.2000</t>
  </si>
  <si>
    <t>Spawarka FALTIG 2000DC</t>
  </si>
  <si>
    <t>D.C.S. Control System</t>
  </si>
  <si>
    <t>491-001</t>
  </si>
  <si>
    <t>Sieć komputerowa - Serwery wraz z urządzeniami przyłączonymi do serwerów</t>
  </si>
  <si>
    <t>Computer network (servers and other computer equipment)</t>
  </si>
  <si>
    <t>20.08.1998 + zwiększenia; ostatnie:20.11.2000</t>
  </si>
  <si>
    <t>491-002</t>
  </si>
  <si>
    <t>Zestaw komputerowy</t>
  </si>
  <si>
    <t>Computer</t>
  </si>
  <si>
    <t>07.10.1998</t>
  </si>
  <si>
    <t>491-003</t>
  </si>
  <si>
    <t>491-004</t>
  </si>
  <si>
    <t>491-005</t>
  </si>
  <si>
    <t>491-006</t>
  </si>
  <si>
    <t>Komputer przenośny - Notebook</t>
  </si>
  <si>
    <t>Notebook</t>
  </si>
  <si>
    <t>21.10.1998</t>
  </si>
  <si>
    <t>491-007</t>
  </si>
  <si>
    <t>07.12.1998</t>
  </si>
  <si>
    <t>491-008</t>
  </si>
  <si>
    <t>491-009</t>
  </si>
  <si>
    <t>491-010</t>
  </si>
  <si>
    <t>09.02.1999</t>
  </si>
  <si>
    <t>491-011</t>
  </si>
  <si>
    <t>491-012</t>
  </si>
  <si>
    <t>491-013</t>
  </si>
  <si>
    <t>25.02.1999</t>
  </si>
  <si>
    <t>491-014</t>
  </si>
  <si>
    <t>Aparat cyfrowy</t>
  </si>
  <si>
    <t>Camera</t>
  </si>
  <si>
    <t>21.04.1999</t>
  </si>
  <si>
    <t>491-015</t>
  </si>
  <si>
    <t>Skaner</t>
  </si>
  <si>
    <t>Scaner</t>
  </si>
  <si>
    <t xml:space="preserve"> 29.04.1999, zwiększenie 31.05.1999</t>
  </si>
  <si>
    <t>491-016</t>
  </si>
  <si>
    <t>06.12.1999</t>
  </si>
  <si>
    <t>491-017</t>
  </si>
  <si>
    <t>06.03.2000</t>
  </si>
  <si>
    <t>491-018</t>
  </si>
  <si>
    <t>491-019</t>
  </si>
  <si>
    <t>06.07.2000</t>
  </si>
  <si>
    <t>491-020</t>
  </si>
  <si>
    <t>System kontroli strażników - Seven Guard</t>
  </si>
  <si>
    <t>Security guards controlling system</t>
  </si>
  <si>
    <t>21.07.2000</t>
  </si>
  <si>
    <t>491-021</t>
  </si>
  <si>
    <t>16.08.2000</t>
  </si>
  <si>
    <t>491-022</t>
  </si>
  <si>
    <t>System komputerowego nadzoru DCS</t>
  </si>
  <si>
    <t>DCS Control System</t>
  </si>
  <si>
    <t xml:space="preserve">Zbiornik wody surowej </t>
  </si>
  <si>
    <t>Filtered Water Tank</t>
  </si>
  <si>
    <t>Zbiornik wody zdemineralizowanej A</t>
  </si>
  <si>
    <t>Demineralized Water Tank A</t>
  </si>
  <si>
    <t>Zbiornik wody zdemineralizowanej B</t>
  </si>
  <si>
    <t>Demineralized Water Tank B</t>
  </si>
  <si>
    <t>Zbiornik oleju opałowego A</t>
  </si>
  <si>
    <t>Distillate Fuel Oil Storage Tank A</t>
  </si>
  <si>
    <t>Zbiornik oleju opałowego B</t>
  </si>
  <si>
    <t>Distillate Fuel Oil Storage Tank B</t>
  </si>
  <si>
    <t>Zbiornik retencyjny ścieków przemysłowych i deszczowych</t>
  </si>
  <si>
    <t>Sewage Tank - Industrial/Rain Water</t>
  </si>
  <si>
    <t>Zbiornik wody zasilającej z odgazowywaczem</t>
  </si>
  <si>
    <t>Feedwater tank with dearator</t>
  </si>
  <si>
    <t>31.05.2001</t>
  </si>
  <si>
    <t>Zbiornik wody zasilającej kotłów pomocniczych z odgazowywaczem</t>
  </si>
  <si>
    <t>Auxiliary boiler feewater tank with dearator</t>
  </si>
  <si>
    <t>31.05.2002</t>
  </si>
  <si>
    <t>Rozdzielnia potrzeb własnych 6kV</t>
  </si>
  <si>
    <t>6kV Distribution System</t>
  </si>
  <si>
    <t>Zespół rozdzielni 0,4kV 10BB, 10BL, 10BH, 10,11,12 BJA</t>
  </si>
  <si>
    <t>0.4 kV Distribution System</t>
  </si>
  <si>
    <t>Rozdzielnia 230V 10BR</t>
  </si>
  <si>
    <t>230 V Distribution System</t>
  </si>
  <si>
    <t>Zespół rozdzielni prądu stałego</t>
  </si>
  <si>
    <t>D.C. Distribution System</t>
  </si>
  <si>
    <t>Zespół urządzeń łączności telefonicznej</t>
  </si>
  <si>
    <t>Telephone System</t>
  </si>
  <si>
    <t>Transformator blokowy 11/110kV 10BAT10</t>
  </si>
  <si>
    <t>Step Up Transformer 11/110kV 10BAT10</t>
  </si>
  <si>
    <t>Transformator blokowy 11/110kV 11BAT10</t>
  </si>
  <si>
    <t>Step Up Transformer 11/110kV 10BAT11</t>
  </si>
  <si>
    <t>Transformator blokowy 11/110kV 12BAT10</t>
  </si>
  <si>
    <t>Step Up Transformer 11/110kV 10BAT12</t>
  </si>
  <si>
    <t>Transformator potrzeb własnych 11/6kV</t>
  </si>
  <si>
    <t>Site Transformer 11/6kV</t>
  </si>
  <si>
    <t xml:space="preserve">Transformator 6/0,4kV </t>
  </si>
  <si>
    <t>Step Down Transformer 6/04 kV</t>
  </si>
  <si>
    <t xml:space="preserve">Transformator 6/04,kV </t>
  </si>
  <si>
    <t>Bateria akumulatorów</t>
  </si>
  <si>
    <t>Batteries</t>
  </si>
  <si>
    <t>Suwnica budynku głównego</t>
  </si>
  <si>
    <t>Main Building Over Head Crane</t>
  </si>
  <si>
    <t>Klimatyzator Supra</t>
  </si>
  <si>
    <t>Air Conditioning Unit</t>
  </si>
  <si>
    <t>12.07.1999</t>
  </si>
  <si>
    <t>Klimatyzator</t>
  </si>
  <si>
    <t>Water Treatment Equipment</t>
  </si>
  <si>
    <t>Zespół urządzeń stacji przygotowania wody włącznie z pompami i podgrzewaczami</t>
  </si>
  <si>
    <t>31.05.2000, zwiększenia 1) 18.10.00 (102 000,00zł), 2) 11.12.2000 (12 460,00 zł)</t>
  </si>
  <si>
    <t>Zespół urządzeń oczyszczania gazu</t>
  </si>
  <si>
    <t>Gas cleaning eqiupment</t>
  </si>
  <si>
    <t>Urządzenie projekcyjne - projektor multimedialny</t>
  </si>
  <si>
    <t>Projector</t>
  </si>
  <si>
    <t>29.03.1999</t>
  </si>
  <si>
    <t>Stały ogólnozakładowy układ wody ppoż. wraz z pompami oraz systemem detekcji i alarmowania</t>
  </si>
  <si>
    <t>Fire Fightinf System</t>
  </si>
  <si>
    <t>Samochód osobowy – Ford Mondeo REW 0171</t>
  </si>
  <si>
    <t>Vehicle - Ford Mondeo</t>
  </si>
  <si>
    <t>24.07.1998</t>
  </si>
  <si>
    <t>Samochód osobowy – Ford Mondeo REW 0172</t>
  </si>
  <si>
    <t>Samochód ciężarowy – Ford Mondeo REW 0374</t>
  </si>
  <si>
    <t>06.08.1998</t>
  </si>
  <si>
    <t>Samochód osobowy – Ford Mondeo REW 0463</t>
  </si>
  <si>
    <t>29.08.1998</t>
  </si>
  <si>
    <t xml:space="preserve">Samochód dostawczy – Citroen Dan-Mar </t>
  </si>
  <si>
    <t>Truck - Citroen</t>
  </si>
  <si>
    <t>08.03.1999</t>
  </si>
  <si>
    <t xml:space="preserve">Samochód osobowy – Ford Focus </t>
  </si>
  <si>
    <t>22.03.1999</t>
  </si>
  <si>
    <t xml:space="preserve">Podnośnik widłowy </t>
  </si>
  <si>
    <t>Forklift</t>
  </si>
  <si>
    <t>25.02.2000</t>
  </si>
  <si>
    <t>Przyczepa WCN2</t>
  </si>
  <si>
    <t>Trailer</t>
  </si>
  <si>
    <t>Samochód osobowy Alfa Romeo RLE400</t>
  </si>
  <si>
    <t>Vehicle - Alfa Romeo</t>
  </si>
  <si>
    <t>19.01.2001</t>
  </si>
  <si>
    <t>Samochód osobowy Alfa Romeo RLE398</t>
  </si>
  <si>
    <t>Samochód osobowy Alfa Romeo RLE399</t>
  </si>
  <si>
    <t>Samochód osobowy Alfa Romeo RLE397</t>
  </si>
  <si>
    <t>Średnicówka mikromertyczna</t>
  </si>
  <si>
    <t>Workshop Tool</t>
  </si>
  <si>
    <t>02.03.2000</t>
  </si>
  <si>
    <t>Kalibrator ciśnieniowy</t>
  </si>
  <si>
    <t>08.03.2000</t>
  </si>
  <si>
    <t>Wielofunkcyjny kalibrator</t>
  </si>
  <si>
    <t>Przenośny miernik drgań</t>
  </si>
  <si>
    <t>Gwintownica mechaniczna</t>
  </si>
  <si>
    <t>Suwmiarka</t>
  </si>
  <si>
    <t>10.05.2000</t>
  </si>
  <si>
    <t>Młot udarowo-obrotowy</t>
  </si>
  <si>
    <t>Komunikator Hart</t>
  </si>
  <si>
    <t>23.05.2000</t>
  </si>
  <si>
    <t>Spektofometr</t>
  </si>
  <si>
    <t>Chem Lab tool</t>
  </si>
  <si>
    <t>Waga analityczna</t>
  </si>
  <si>
    <t>Konduktometr</t>
  </si>
  <si>
    <t>26.04.2000</t>
  </si>
  <si>
    <t>pHmeter</t>
  </si>
  <si>
    <t>Pompa ciśnieniowo-próżniowa</t>
  </si>
  <si>
    <t>Suszarka SLM-250/M</t>
  </si>
  <si>
    <t>Kserokopiarka wielonakładowa</t>
  </si>
  <si>
    <t>Copy-fax machine</t>
  </si>
  <si>
    <t>17.09.1998</t>
  </si>
  <si>
    <t>Zabezpieczenie antywłamaniowe</t>
  </si>
  <si>
    <t>Security Alarm System</t>
  </si>
  <si>
    <t>23.09.1998</t>
  </si>
  <si>
    <t xml:space="preserve">Sieć strukturalna </t>
  </si>
  <si>
    <t>Network System</t>
  </si>
  <si>
    <t>23.09.1998, zwiększenia 10.12.1998</t>
  </si>
  <si>
    <t>Meble biurowe - recepcja</t>
  </si>
  <si>
    <t>Office furniture</t>
  </si>
  <si>
    <t>15.09.1998</t>
  </si>
  <si>
    <t>Meble kuchenne</t>
  </si>
  <si>
    <t>Kitchen furniture</t>
  </si>
  <si>
    <t>09.10.1998, zwiększenia 26.01.2000</t>
  </si>
  <si>
    <t>Szafa pieniężna</t>
  </si>
  <si>
    <t>Safe</t>
  </si>
  <si>
    <t>01.10.1998</t>
  </si>
  <si>
    <t>Liczarka Glory</t>
  </si>
  <si>
    <t>Notes counter</t>
  </si>
  <si>
    <t>22.10.1998</t>
  </si>
  <si>
    <t>Meble do magazynu</t>
  </si>
  <si>
    <t>Storehouse furniture</t>
  </si>
  <si>
    <t>18.10.1999, zwiększenia 19.05.2000</t>
  </si>
  <si>
    <t>Meble do archiwum</t>
  </si>
  <si>
    <t>Archive furniture</t>
  </si>
  <si>
    <t>18.10.1999</t>
  </si>
  <si>
    <t>Zestaw mebli biurowych</t>
  </si>
  <si>
    <t>26.10.1999, zwiększenie 13.04.2000</t>
  </si>
  <si>
    <t>Meble do warsztatu</t>
  </si>
  <si>
    <t>Workshop ferniture</t>
  </si>
  <si>
    <t>10.02.2000, zwiększenia 15.03.2000</t>
  </si>
  <si>
    <t>Regał na stacji olejowej</t>
  </si>
  <si>
    <t>Furniture</t>
  </si>
  <si>
    <t>17.03.2000</t>
  </si>
  <si>
    <t>Myjka ciśnieniowa</t>
  </si>
  <si>
    <t>Cleaning equipment</t>
  </si>
  <si>
    <t>09.06.2000</t>
  </si>
  <si>
    <t>Urządzenie szorujące</t>
  </si>
  <si>
    <t>Szorowarka</t>
  </si>
  <si>
    <t>Odkurzacz</t>
  </si>
  <si>
    <t>14.06.2000</t>
  </si>
  <si>
    <t>Szlaban</t>
  </si>
  <si>
    <t>Barrier</t>
  </si>
  <si>
    <t>16.06.2000</t>
  </si>
  <si>
    <t>Zestaw mebli do DCS</t>
  </si>
  <si>
    <t>DCS furniture</t>
  </si>
  <si>
    <t>08.08.2000</t>
  </si>
  <si>
    <t>Phmeter z elektordą</t>
  </si>
  <si>
    <t>Stojak na rowery</t>
  </si>
  <si>
    <t>Tool</t>
  </si>
  <si>
    <t>13.12.2000</t>
  </si>
  <si>
    <t>Wart niemat i prawne</t>
  </si>
  <si>
    <t>Program księgowy SUN</t>
  </si>
  <si>
    <t>Software - Sun System</t>
  </si>
  <si>
    <t>12.08.1998, ostatnie zwiększenie 21.09.1999</t>
  </si>
  <si>
    <t>Oprogramowanie sieciowe</t>
  </si>
  <si>
    <t>Network Software</t>
  </si>
  <si>
    <t>07.10.1998, ostatnie zwiększenie 14.07.2000</t>
  </si>
  <si>
    <t>Program księgowy SUN - nowa wersja</t>
  </si>
  <si>
    <t>Software - Accounting system SUN - new version</t>
  </si>
  <si>
    <t>31.12.2000</t>
  </si>
  <si>
    <t>Program IFS</t>
  </si>
  <si>
    <t>Software - International Financial System</t>
  </si>
  <si>
    <t>wskaźnik</t>
  </si>
  <si>
    <t>BOP - Operational Parts</t>
  </si>
  <si>
    <t>Teleservising</t>
  </si>
  <si>
    <t>Florczak Jacek</t>
  </si>
  <si>
    <t>Bonus</t>
  </si>
  <si>
    <t>4.Current Year Profit/(Loss)</t>
  </si>
  <si>
    <t>Materiały biurowe (wraz z Platt's)</t>
  </si>
  <si>
    <t>Energia elektr. na potrzeby własne</t>
  </si>
  <si>
    <t>Materiay eksploatacyjne</t>
  </si>
  <si>
    <t>Materiały BHP i P.Poż</t>
  </si>
  <si>
    <t>Woda przemysłowa</t>
  </si>
  <si>
    <t>Kondensat pary</t>
  </si>
  <si>
    <t>Koszty transportu</t>
  </si>
  <si>
    <t>Odprowadzanie ścieków przemysłowych</t>
  </si>
  <si>
    <t>403-030</t>
  </si>
  <si>
    <t>Służebność gruntowa</t>
  </si>
  <si>
    <t>Opłata przesyłowa</t>
  </si>
  <si>
    <t>Usł. Prawne - Cameron Mc Kenna</t>
  </si>
  <si>
    <t>Usł. Prawne - White &amp; Case</t>
  </si>
  <si>
    <t>Usł. Finansowe- Arthur Andersen</t>
  </si>
  <si>
    <t>Koszt audytu</t>
  </si>
  <si>
    <t>Obsługa SunSystems</t>
  </si>
  <si>
    <t xml:space="preserve">Obsługa Systemu IFS </t>
  </si>
  <si>
    <t>Usługi płacowe</t>
  </si>
  <si>
    <t>Usługi BHP</t>
  </si>
  <si>
    <t>Usługi - utyliz, wywóz odpadów</t>
  </si>
  <si>
    <t>Usługi techniczne</t>
  </si>
  <si>
    <t>425010</t>
  </si>
  <si>
    <t>Turbina parowa-umowa</t>
  </si>
  <si>
    <t>Turbiny gazowe-umowa</t>
  </si>
  <si>
    <t>BOP maintenance</t>
  </si>
  <si>
    <t>Remonty nieplanowe</t>
  </si>
  <si>
    <t>Materiały eksploatacyjne</t>
  </si>
  <si>
    <t>Office materials and equipment (incl. Platt's)</t>
  </si>
  <si>
    <t>DONATIONS</t>
  </si>
  <si>
    <t>DOTACJE I DAROWIZNY</t>
  </si>
  <si>
    <t>Dotacje i darowizny</t>
  </si>
  <si>
    <t>MWh according to Dispatch Profile</t>
  </si>
  <si>
    <t>BUDGET 2002</t>
  </si>
  <si>
    <t>Elektrociepłownia</t>
  </si>
  <si>
    <t>Nowa Sarzyna Sp. z o. o.</t>
  </si>
  <si>
    <t>ul. Ks. J. Popiełuszki 2</t>
  </si>
  <si>
    <t>37-310 Nowa Sarzyna</t>
  </si>
  <si>
    <t>tel. (0-17) 24 11 000</t>
  </si>
  <si>
    <t>fax (0-17) 24 11 196</t>
  </si>
  <si>
    <t>Bank interest</t>
  </si>
  <si>
    <t>Bank charges</t>
  </si>
  <si>
    <t>MAINTENACE IN $</t>
  </si>
  <si>
    <t>MAINTENACE IN PLN</t>
  </si>
  <si>
    <t>SUMMARY $</t>
  </si>
  <si>
    <t>Gas Turbine Agreements</t>
  </si>
  <si>
    <t>Medical services</t>
  </si>
  <si>
    <t>Social fund</t>
  </si>
  <si>
    <t xml:space="preserve">Consulting PLN </t>
  </si>
  <si>
    <t>Consulting $</t>
  </si>
  <si>
    <t>Consulting Costs $</t>
  </si>
  <si>
    <t>Consulting PLN</t>
  </si>
  <si>
    <t>Services PLN</t>
  </si>
  <si>
    <t>Plant Insurance  PLN</t>
  </si>
  <si>
    <t>Plant Insurance  $</t>
  </si>
  <si>
    <t>419-125/130</t>
  </si>
  <si>
    <t>Enron &amp; Polpac</t>
  </si>
  <si>
    <t>Usługi telekom.- Enron Poland &amp; Polpac</t>
  </si>
  <si>
    <t>Exchange losses</t>
  </si>
  <si>
    <t>Exchange losses - WestLB</t>
  </si>
  <si>
    <t>Exchange losses - EPI</t>
  </si>
  <si>
    <t>No</t>
  </si>
  <si>
    <t>Item</t>
  </si>
  <si>
    <t>Quantity</t>
  </si>
  <si>
    <t>Price</t>
  </si>
  <si>
    <t>Payment</t>
  </si>
  <si>
    <t>Month</t>
  </si>
  <si>
    <t>Mechanical</t>
  </si>
  <si>
    <t>1.</t>
  </si>
  <si>
    <t>ST LP bearing lift</t>
  </si>
  <si>
    <t>set</t>
  </si>
  <si>
    <t>JUN</t>
  </si>
  <si>
    <t>B</t>
  </si>
  <si>
    <t>Elektrical</t>
  </si>
  <si>
    <t>Radiotelephones EX 5pcs/set</t>
  </si>
  <si>
    <t>MAR</t>
  </si>
  <si>
    <t>2.</t>
  </si>
  <si>
    <t>Electrical EX measuring equipment</t>
  </si>
  <si>
    <t>C</t>
  </si>
  <si>
    <t>Chemical</t>
  </si>
  <si>
    <t>Instalation for  instr. resins regeneration</t>
  </si>
  <si>
    <t>Modernisation of demin lines</t>
  </si>
  <si>
    <t>D</t>
  </si>
  <si>
    <t>ENS - Computers</t>
  </si>
  <si>
    <t>Desktops</t>
  </si>
  <si>
    <t>sets</t>
  </si>
  <si>
    <t>JAN</t>
  </si>
  <si>
    <t>Notebooks</t>
  </si>
  <si>
    <t>3.</t>
  </si>
  <si>
    <t>Software</t>
  </si>
  <si>
    <t>ENS-Equipment</t>
  </si>
  <si>
    <t>Digital camera</t>
  </si>
  <si>
    <t>pc</t>
  </si>
  <si>
    <t>PLN/USD</t>
  </si>
  <si>
    <t>USD/EUR</t>
  </si>
  <si>
    <t>USD/GBP</t>
  </si>
  <si>
    <t>ExR</t>
  </si>
  <si>
    <t>Gas Turbine  Agreements</t>
  </si>
  <si>
    <t xml:space="preserve"> </t>
  </si>
  <si>
    <t>1. Variable factors</t>
  </si>
  <si>
    <t xml:space="preserve">1. US Dollar/ Polish Zloty Exchange Rate </t>
  </si>
  <si>
    <t xml:space="preserve">2. Rate of inflation  in Poland </t>
  </si>
  <si>
    <t>3. Applicable interest rate (USD LIBOR)</t>
  </si>
  <si>
    <t>4. Applicable rate of corporate tax rate</t>
  </si>
  <si>
    <t>2. Plans of production and materials usage</t>
  </si>
  <si>
    <t>3. Sales budget</t>
  </si>
  <si>
    <t>4. Direct materials budget</t>
  </si>
  <si>
    <t>5. Repairs and Maintenence Budget</t>
  </si>
  <si>
    <t>6. Financial Cost Budget</t>
  </si>
  <si>
    <t>6.2. SWAP</t>
  </si>
  <si>
    <t>6.3. Credit repayments</t>
  </si>
  <si>
    <t>Technical services</t>
  </si>
  <si>
    <t>7. Fixed cost budget</t>
  </si>
  <si>
    <t xml:space="preserve">7.1. Salary and Labour </t>
  </si>
  <si>
    <t>7.2. Depreciation</t>
  </si>
  <si>
    <t>7.3. Oveheads</t>
  </si>
  <si>
    <t>8. Capital expenditure budget</t>
  </si>
  <si>
    <t>9. Donations</t>
  </si>
  <si>
    <t>13. Budget Profit and Loss Account in US Dollars</t>
  </si>
  <si>
    <t>14. O&amp;M Budget in US Dollars</t>
  </si>
  <si>
    <t>CONTENTS:</t>
  </si>
  <si>
    <t xml:space="preserve">4.1. Gas </t>
  </si>
  <si>
    <t xml:space="preserve">4.2. Other materials </t>
  </si>
  <si>
    <t xml:space="preserve">4.3. Site services </t>
  </si>
  <si>
    <t>12. Budget Cash Flow in PLN</t>
  </si>
  <si>
    <t>ELEKTROCIEPŁOWNIA NOWA SARZYNA SP. Z O.O.</t>
  </si>
  <si>
    <t>VARIABLE FACTORS (1)</t>
  </si>
  <si>
    <t>PLANS (2)</t>
  </si>
  <si>
    <t>SALES BUDGET 2002 (3)</t>
  </si>
  <si>
    <t>1. GAS COST ACCORDING TO FSA</t>
  </si>
  <si>
    <t>2. GAS COST ACCORDING TO PGNiG TARIFF</t>
  </si>
  <si>
    <t>DIRECT MATERIALS BUDGET 2002 (4)</t>
  </si>
  <si>
    <t>GAS (4.1.)</t>
  </si>
  <si>
    <t>DIRECT MATERIALS BUDGET 2000 (4)</t>
  </si>
  <si>
    <t>OTHER MATERIALS (4.2.)</t>
  </si>
  <si>
    <t xml:space="preserve">Oil </t>
  </si>
  <si>
    <t xml:space="preserve">Operational materials </t>
  </si>
  <si>
    <t xml:space="preserve">Safety materials </t>
  </si>
  <si>
    <t xml:space="preserve">Workhouse materials </t>
  </si>
  <si>
    <t xml:space="preserve">Other materials </t>
  </si>
  <si>
    <t>Imported Energy</t>
  </si>
  <si>
    <t>CPI - 3% per year</t>
  </si>
  <si>
    <t>5. Indices for prices indexation</t>
  </si>
  <si>
    <t>Polish Wage Index - 8% per year</t>
  </si>
  <si>
    <t>Oil prices (HFO, LFO) for the period November 2001 - December 2002 are being kept on the basis of April-September 2001</t>
  </si>
  <si>
    <t>Dollar ExR = 2,25 zł/USD</t>
  </si>
  <si>
    <t>Polish PPI - 3% per year</t>
  </si>
  <si>
    <t>Energy Despatch Profile</t>
  </si>
  <si>
    <t>despatch profile MWh</t>
  </si>
  <si>
    <t>Based on schedule time agreement with PSE</t>
  </si>
  <si>
    <t>Heat Despatch Profile</t>
  </si>
  <si>
    <t>ZAKŁADY CHEMICZNE ORGANIKA-SARZYNA S.A.</t>
  </si>
  <si>
    <t>Dispatch profile for the year 2002 estimated on the base of historical data and Minimum Purchase Obligation.</t>
  </si>
  <si>
    <t>MIASTO NOWA SARZYNA</t>
  </si>
  <si>
    <t>consumption mln m3n</t>
  </si>
  <si>
    <t>OTHER MATERIALS (Polish Zloty)</t>
  </si>
  <si>
    <t>GAS</t>
  </si>
  <si>
    <t xml:space="preserve">SITE SERVICES </t>
  </si>
  <si>
    <t>Oil (zł)</t>
  </si>
  <si>
    <t>Chemicals (zł)</t>
  </si>
  <si>
    <t>Operational materials (zł)</t>
  </si>
  <si>
    <t>Safety materials (zł)</t>
  </si>
  <si>
    <t>Workhouse materials (zł)</t>
  </si>
  <si>
    <t>Other materials (zł)</t>
  </si>
  <si>
    <t>Imported Energy (zł)</t>
  </si>
  <si>
    <t>Total (zł)</t>
  </si>
  <si>
    <t>SALARIES AND LABOUR (7.1)</t>
  </si>
  <si>
    <t>GT Services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</si>
</sst>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80" formatCode="#,##0.0000"/>
    <numFmt numFmtId="182" formatCode="0.00000"/>
    <numFmt numFmtId="184" formatCode="#,##0_};\(#,##0\)"/>
    <numFmt numFmtId="185" formatCode="#,##0.00_};\(#,##0.00\)"/>
    <numFmt numFmtId="186" formatCode="0.0000"/>
    <numFmt numFmtId="187" formatCode="0.00000%"/>
    <numFmt numFmtId="188" formatCode="#,##0.0"/>
    <numFmt numFmtId="189" formatCode="0.0%"/>
    <numFmt numFmtId="190" formatCode="yyyy\-mm\-dd"/>
    <numFmt numFmtId="191" formatCode="#,##0.000000"/>
  </numFmts>
  <fonts count="56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0"/>
      <name val="Times New Roman CE"/>
      <family val="1"/>
      <charset val="238"/>
    </font>
    <font>
      <i/>
      <sz val="10"/>
      <name val="Times New Roman CE"/>
      <family val="1"/>
      <charset val="238"/>
    </font>
    <font>
      <b/>
      <i/>
      <u/>
      <sz val="10"/>
      <name val="Times New Roman CE"/>
      <family val="1"/>
      <charset val="238"/>
    </font>
    <font>
      <b/>
      <sz val="11"/>
      <name val="Times New Roman CE"/>
      <family val="1"/>
      <charset val="238"/>
    </font>
    <font>
      <b/>
      <u/>
      <sz val="10"/>
      <name val="Arial CE"/>
      <family val="2"/>
      <charset val="238"/>
    </font>
    <font>
      <u/>
      <sz val="10"/>
      <name val="Arial CE"/>
      <family val="2"/>
      <charset val="238"/>
    </font>
    <font>
      <b/>
      <sz val="10"/>
      <name val="Arial CE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 CE"/>
      <charset val="238"/>
    </font>
    <font>
      <b/>
      <sz val="11"/>
      <name val="Arial CE"/>
      <family val="2"/>
      <charset val="238"/>
    </font>
    <font>
      <b/>
      <sz val="11"/>
      <name val="Arial"/>
      <family val="2"/>
      <charset val="238"/>
    </font>
    <font>
      <sz val="10"/>
      <name val="Arial CE"/>
      <charset val="238"/>
    </font>
    <font>
      <sz val="8"/>
      <color indexed="81"/>
      <name val="Tahoma"/>
      <charset val="238"/>
    </font>
    <font>
      <b/>
      <sz val="8"/>
      <color indexed="81"/>
      <name val="Tahoma"/>
      <charset val="238"/>
    </font>
    <font>
      <sz val="11"/>
      <name val="Arial"/>
      <family val="2"/>
      <charset val="238"/>
    </font>
    <font>
      <b/>
      <sz val="12"/>
      <name val="Arial CE"/>
      <family val="2"/>
      <charset val="238"/>
    </font>
    <font>
      <b/>
      <u/>
      <sz val="10"/>
      <name val="Arial"/>
      <family val="2"/>
      <charset val="238"/>
    </font>
    <font>
      <sz val="10"/>
      <color indexed="81"/>
      <name val="Tahoma"/>
      <charset val="238"/>
    </font>
    <font>
      <b/>
      <sz val="10"/>
      <color indexed="81"/>
      <name val="Tahoma"/>
      <charset val="238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Arial CE"/>
      <family val="2"/>
      <charset val="238"/>
    </font>
    <font>
      <b/>
      <sz val="16"/>
      <name val="Arial CE"/>
      <family val="2"/>
      <charset val="238"/>
    </font>
    <font>
      <sz val="9"/>
      <name val="Arial CE"/>
      <family val="2"/>
      <charset val="238"/>
    </font>
    <font>
      <sz val="10"/>
      <name val="Arial CE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9"/>
      <name val="Times New Roman CE"/>
      <family val="1"/>
      <charset val="238"/>
    </font>
    <font>
      <b/>
      <sz val="18"/>
      <name val="Times New Roman CE"/>
      <family val="1"/>
      <charset val="238"/>
    </font>
    <font>
      <b/>
      <sz val="9"/>
      <name val="Times New Roman CE"/>
      <family val="1"/>
      <charset val="238"/>
    </font>
    <font>
      <b/>
      <sz val="9"/>
      <color indexed="10"/>
      <name val="Times New Roman CE"/>
      <family val="1"/>
      <charset val="238"/>
    </font>
    <font>
      <b/>
      <sz val="14"/>
      <name val="Times New Roman CE"/>
      <family val="1"/>
      <charset val="238"/>
    </font>
    <font>
      <sz val="9"/>
      <color indexed="16"/>
      <name val="Times New Roman CE"/>
      <family val="1"/>
      <charset val="238"/>
    </font>
    <font>
      <b/>
      <sz val="9"/>
      <color indexed="16"/>
      <name val="Times New Roman CE"/>
      <family val="1"/>
      <charset val="238"/>
    </font>
    <font>
      <sz val="9"/>
      <color indexed="17"/>
      <name val="Times New Roman CE"/>
      <family val="1"/>
      <charset val="238"/>
    </font>
    <font>
      <b/>
      <sz val="9"/>
      <color indexed="17"/>
      <name val="Times New Roman CE"/>
      <family val="1"/>
      <charset val="238"/>
    </font>
    <font>
      <sz val="9"/>
      <color indexed="62"/>
      <name val="Times New Roman CE"/>
      <family val="1"/>
      <charset val="238"/>
    </font>
    <font>
      <b/>
      <sz val="9"/>
      <color indexed="62"/>
      <name val="Times New Roman CE"/>
      <family val="1"/>
      <charset val="238"/>
    </font>
    <font>
      <sz val="9"/>
      <color indexed="53"/>
      <name val="Times New Roman CE"/>
      <family val="1"/>
      <charset val="238"/>
    </font>
    <font>
      <b/>
      <sz val="9"/>
      <color indexed="53"/>
      <name val="Times New Roman CE"/>
      <family val="1"/>
      <charset val="238"/>
    </font>
    <font>
      <sz val="9"/>
      <color indexed="12"/>
      <name val="Times New Roman CE"/>
      <family val="1"/>
      <charset val="238"/>
    </font>
    <font>
      <b/>
      <sz val="9"/>
      <color indexed="12"/>
      <name val="Times New Roman CE"/>
      <family val="1"/>
      <charset val="238"/>
    </font>
    <font>
      <sz val="9"/>
      <color indexed="20"/>
      <name val="Times New Roman CE"/>
      <family val="1"/>
      <charset val="238"/>
    </font>
    <font>
      <b/>
      <sz val="9"/>
      <color indexed="20"/>
      <name val="Times New Roman CE"/>
      <family val="1"/>
      <charset val="238"/>
    </font>
    <font>
      <b/>
      <sz val="10"/>
      <name val="Times New Roman CE"/>
      <family val="1"/>
      <charset val="238"/>
    </font>
    <font>
      <sz val="10"/>
      <color indexed="10"/>
      <name val="Arial CE"/>
      <charset val="238"/>
    </font>
    <font>
      <b/>
      <sz val="48"/>
      <name val="Arial CE"/>
      <family val="2"/>
      <charset val="238"/>
    </font>
    <font>
      <sz val="10"/>
      <name val="Arial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/>
    <xf numFmtId="0" fontId="3" fillId="0" borderId="0" xfId="0" applyFont="1"/>
    <xf numFmtId="4" fontId="0" fillId="0" borderId="0" xfId="0" applyNumberFormat="1"/>
    <xf numFmtId="3" fontId="2" fillId="0" borderId="0" xfId="0" applyNumberFormat="1" applyFont="1" applyBorder="1"/>
    <xf numFmtId="3" fontId="2" fillId="0" borderId="0" xfId="0" applyNumberFormat="1" applyFont="1"/>
    <xf numFmtId="180" fontId="0" fillId="0" borderId="0" xfId="0" applyNumberFormat="1"/>
    <xf numFmtId="0" fontId="0" fillId="0" borderId="0" xfId="0" applyFill="1"/>
    <xf numFmtId="3" fontId="2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3" fontId="2" fillId="0" borderId="0" xfId="0" applyNumberFormat="1" applyFont="1" applyAlignment="1">
      <alignment horizontal="center"/>
    </xf>
    <xf numFmtId="3" fontId="0" fillId="0" borderId="0" xfId="0" applyNumberFormat="1" applyFill="1"/>
    <xf numFmtId="3" fontId="3" fillId="0" borderId="0" xfId="0" applyNumberFormat="1" applyFont="1" applyAlignment="1">
      <alignment horizontal="right"/>
    </xf>
    <xf numFmtId="3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0" borderId="0" xfId="0" applyFill="1" applyAlignment="1">
      <alignment horizontal="center"/>
    </xf>
    <xf numFmtId="0" fontId="4" fillId="0" borderId="0" xfId="2" applyFont="1"/>
    <xf numFmtId="185" fontId="4" fillId="0" borderId="0" xfId="1" applyNumberFormat="1" applyFont="1"/>
    <xf numFmtId="182" fontId="4" fillId="0" borderId="0" xfId="1" applyNumberFormat="1" applyFont="1"/>
    <xf numFmtId="186" fontId="4" fillId="0" borderId="0" xfId="1" applyNumberFormat="1" applyFont="1"/>
    <xf numFmtId="0" fontId="5" fillId="0" borderId="0" xfId="2" applyFont="1" applyAlignment="1"/>
    <xf numFmtId="0" fontId="4" fillId="0" borderId="0" xfId="2" applyFont="1" applyAlignment="1"/>
    <xf numFmtId="0" fontId="6" fillId="0" borderId="0" xfId="2" applyFont="1" applyAlignment="1"/>
    <xf numFmtId="185" fontId="4" fillId="0" borderId="0" xfId="1" applyNumberFormat="1" applyFont="1" applyFill="1"/>
    <xf numFmtId="0" fontId="5" fillId="0" borderId="0" xfId="0" applyFont="1" applyAlignment="1"/>
    <xf numFmtId="0" fontId="4" fillId="0" borderId="0" xfId="0" applyFont="1"/>
    <xf numFmtId="0" fontId="7" fillId="0" borderId="0" xfId="0" applyFont="1"/>
    <xf numFmtId="180" fontId="4" fillId="0" borderId="0" xfId="1" applyNumberFormat="1" applyFont="1"/>
    <xf numFmtId="180" fontId="4" fillId="0" borderId="0" xfId="1" applyNumberFormat="1" applyFont="1" applyFill="1"/>
    <xf numFmtId="187" fontId="0" fillId="2" borderId="0" xfId="0" applyNumberFormat="1" applyFill="1"/>
    <xf numFmtId="187" fontId="0" fillId="0" borderId="0" xfId="0" applyNumberFormat="1"/>
    <xf numFmtId="3" fontId="0" fillId="0" borderId="0" xfId="0" applyNumberFormat="1" applyFill="1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4" fontId="0" fillId="0" borderId="0" xfId="0" applyNumberFormat="1" applyFill="1" applyBorder="1"/>
    <xf numFmtId="0" fontId="2" fillId="0" borderId="0" xfId="0" applyFont="1" applyBorder="1" applyAlignment="1">
      <alignment horizontal="center"/>
    </xf>
    <xf numFmtId="3" fontId="3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8" fillId="0" borderId="0" xfId="0" applyFont="1" applyBorder="1"/>
    <xf numFmtId="3" fontId="3" fillId="2" borderId="0" xfId="0" applyNumberFormat="1" applyFont="1" applyFill="1" applyAlignment="1">
      <alignment horizontal="right"/>
    </xf>
    <xf numFmtId="0" fontId="12" fillId="0" borderId="2" xfId="0" applyFont="1" applyFill="1" applyBorder="1"/>
    <xf numFmtId="0" fontId="11" fillId="0" borderId="2" xfId="0" applyFont="1" applyFill="1" applyBorder="1"/>
    <xf numFmtId="3" fontId="0" fillId="0" borderId="3" xfId="0" applyNumberFormat="1" applyBorder="1"/>
    <xf numFmtId="49" fontId="11" fillId="0" borderId="0" xfId="0" applyNumberFormat="1" applyFont="1" applyBorder="1"/>
    <xf numFmtId="0" fontId="11" fillId="0" borderId="0" xfId="0" applyFont="1" applyBorder="1"/>
    <xf numFmtId="49" fontId="12" fillId="0" borderId="0" xfId="0" applyNumberFormat="1" applyFont="1" applyBorder="1"/>
    <xf numFmtId="0" fontId="12" fillId="0" borderId="0" xfId="0" applyFont="1" applyBorder="1"/>
    <xf numFmtId="0" fontId="0" fillId="0" borderId="0" xfId="0" applyBorder="1" applyAlignment="1">
      <alignment horizontal="right"/>
    </xf>
    <xf numFmtId="0" fontId="12" fillId="0" borderId="0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left"/>
    </xf>
    <xf numFmtId="49" fontId="13" fillId="0" borderId="0" xfId="0" applyNumberFormat="1" applyFont="1" applyBorder="1"/>
    <xf numFmtId="49" fontId="14" fillId="0" borderId="0" xfId="0" applyNumberFormat="1" applyFont="1" applyBorder="1"/>
    <xf numFmtId="0" fontId="12" fillId="3" borderId="0" xfId="0" applyFont="1" applyFill="1" applyBorder="1"/>
    <xf numFmtId="49" fontId="12" fillId="0" borderId="0" xfId="0" applyNumberFormat="1" applyFont="1" applyFill="1" applyBorder="1"/>
    <xf numFmtId="3" fontId="2" fillId="0" borderId="0" xfId="0" applyNumberFormat="1" applyFont="1" applyFill="1"/>
    <xf numFmtId="0" fontId="2" fillId="0" borderId="0" xfId="0" applyFont="1" applyFill="1"/>
    <xf numFmtId="1" fontId="0" fillId="0" borderId="0" xfId="0" applyNumberFormat="1" applyFill="1"/>
    <xf numFmtId="0" fontId="16" fillId="0" borderId="0" xfId="0" applyFont="1" applyFill="1"/>
    <xf numFmtId="0" fontId="16" fillId="0" borderId="0" xfId="0" applyFont="1"/>
    <xf numFmtId="0" fontId="17" fillId="0" borderId="0" xfId="0" applyFont="1"/>
    <xf numFmtId="49" fontId="18" fillId="0" borderId="0" xfId="0" applyNumberFormat="1" applyFont="1" applyBorder="1"/>
    <xf numFmtId="49" fontId="11" fillId="0" borderId="0" xfId="0" applyNumberFormat="1" applyFont="1" applyFill="1" applyBorder="1"/>
    <xf numFmtId="0" fontId="19" fillId="0" borderId="0" xfId="0" applyFont="1" applyFill="1"/>
    <xf numFmtId="3" fontId="3" fillId="0" borderId="0" xfId="0" applyNumberFormat="1" applyFont="1" applyFill="1"/>
    <xf numFmtId="0" fontId="3" fillId="0" borderId="0" xfId="0" applyFont="1" applyFill="1"/>
    <xf numFmtId="3" fontId="16" fillId="0" borderId="0" xfId="0" applyNumberFormat="1" applyFont="1" applyFill="1"/>
    <xf numFmtId="0" fontId="2" fillId="0" borderId="4" xfId="0" applyFont="1" applyBorder="1" applyAlignment="1">
      <alignment horizontal="center"/>
    </xf>
    <xf numFmtId="0" fontId="0" fillId="0" borderId="5" xfId="0" applyBorder="1"/>
    <xf numFmtId="3" fontId="0" fillId="0" borderId="5" xfId="0" applyNumberFormat="1" applyFill="1" applyBorder="1"/>
    <xf numFmtId="3" fontId="16" fillId="0" borderId="5" xfId="0" applyNumberFormat="1" applyFont="1" applyFill="1" applyBorder="1"/>
    <xf numFmtId="0" fontId="0" fillId="0" borderId="5" xfId="0" applyFill="1" applyBorder="1"/>
    <xf numFmtId="3" fontId="2" fillId="0" borderId="5" xfId="0" applyNumberFormat="1" applyFont="1" applyFill="1" applyBorder="1"/>
    <xf numFmtId="3" fontId="3" fillId="0" borderId="5" xfId="0" applyNumberFormat="1" applyFont="1" applyFill="1" applyBorder="1"/>
    <xf numFmtId="3" fontId="2" fillId="0" borderId="6" xfId="0" applyNumberFormat="1" applyFont="1" applyFill="1" applyBorder="1"/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15" fillId="0" borderId="0" xfId="0" applyFont="1" applyFill="1"/>
    <xf numFmtId="0" fontId="18" fillId="0" borderId="0" xfId="0" applyFont="1" applyFill="1"/>
    <xf numFmtId="3" fontId="18" fillId="0" borderId="0" xfId="0" applyNumberFormat="1" applyFont="1" applyFill="1"/>
    <xf numFmtId="0" fontId="22" fillId="0" borderId="0" xfId="0" applyFont="1" applyFill="1"/>
    <xf numFmtId="49" fontId="11" fillId="0" borderId="2" xfId="0" applyNumberFormat="1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0" fontId="23" fillId="0" borderId="0" xfId="0" applyFont="1" applyFill="1"/>
    <xf numFmtId="0" fontId="0" fillId="0" borderId="0" xfId="0" applyFill="1" applyAlignment="1">
      <alignment horizontal="left"/>
    </xf>
    <xf numFmtId="3" fontId="3" fillId="0" borderId="0" xfId="0" applyNumberFormat="1" applyFont="1"/>
    <xf numFmtId="184" fontId="3" fillId="0" borderId="0" xfId="0" applyNumberFormat="1" applyFont="1"/>
    <xf numFmtId="0" fontId="3" fillId="0" borderId="0" xfId="0" applyFont="1" applyAlignment="1">
      <alignment horizontal="right"/>
    </xf>
    <xf numFmtId="180" fontId="3" fillId="0" borderId="0" xfId="0" applyNumberFormat="1" applyFont="1" applyAlignment="1">
      <alignment horizontal="right"/>
    </xf>
    <xf numFmtId="0" fontId="31" fillId="0" borderId="0" xfId="0" applyFont="1"/>
    <xf numFmtId="180" fontId="31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right"/>
    </xf>
    <xf numFmtId="4" fontId="2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right"/>
    </xf>
    <xf numFmtId="0" fontId="32" fillId="0" borderId="0" xfId="0" applyFont="1"/>
    <xf numFmtId="0" fontId="19" fillId="0" borderId="0" xfId="0" applyFont="1"/>
    <xf numFmtId="0" fontId="2" fillId="0" borderId="0" xfId="0" applyFont="1" applyFill="1" applyAlignment="1">
      <alignment wrapText="1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/>
    <xf numFmtId="3" fontId="22" fillId="0" borderId="0" xfId="0" applyNumberFormat="1" applyFont="1" applyFill="1"/>
    <xf numFmtId="0" fontId="0" fillId="0" borderId="0" xfId="0" applyFill="1" applyBorder="1"/>
    <xf numFmtId="3" fontId="2" fillId="0" borderId="0" xfId="0" applyNumberFormat="1" applyFont="1" applyFill="1" applyBorder="1"/>
    <xf numFmtId="3" fontId="3" fillId="0" borderId="0" xfId="0" applyNumberFormat="1" applyFont="1" applyFill="1" applyBorder="1"/>
    <xf numFmtId="0" fontId="16" fillId="0" borderId="0" xfId="0" applyFont="1" applyFill="1" applyBorder="1"/>
    <xf numFmtId="0" fontId="32" fillId="0" borderId="0" xfId="0" applyFont="1" applyFill="1"/>
    <xf numFmtId="0" fontId="19" fillId="0" borderId="0" xfId="0" applyFont="1" applyFill="1" applyAlignment="1">
      <alignment wrapText="1"/>
    </xf>
    <xf numFmtId="0" fontId="34" fillId="0" borderId="0" xfId="0" applyFont="1" applyFill="1" applyAlignment="1">
      <alignment wrapText="1"/>
    </xf>
    <xf numFmtId="3" fontId="19" fillId="0" borderId="0" xfId="0" applyNumberFormat="1" applyFont="1" applyFill="1"/>
    <xf numFmtId="4" fontId="19" fillId="0" borderId="0" xfId="0" applyNumberFormat="1" applyFont="1" applyFill="1"/>
    <xf numFmtId="3" fontId="32" fillId="0" borderId="0" xfId="0" applyNumberFormat="1" applyFont="1" applyFill="1"/>
    <xf numFmtId="0" fontId="19" fillId="0" borderId="0" xfId="0" applyFont="1" applyFill="1" applyAlignment="1">
      <alignment horizontal="center"/>
    </xf>
    <xf numFmtId="3" fontId="19" fillId="0" borderId="0" xfId="0" applyNumberFormat="1" applyFont="1" applyFill="1" applyBorder="1"/>
    <xf numFmtId="3" fontId="19" fillId="0" borderId="0" xfId="0" applyNumberFormat="1" applyFont="1"/>
    <xf numFmtId="4" fontId="19" fillId="0" borderId="0" xfId="0" applyNumberFormat="1" applyFont="1"/>
    <xf numFmtId="2" fontId="0" fillId="4" borderId="7" xfId="0" applyNumberFormat="1" applyFill="1" applyBorder="1"/>
    <xf numFmtId="0" fontId="0" fillId="4" borderId="7" xfId="0" applyFill="1" applyBorder="1"/>
    <xf numFmtId="187" fontId="0" fillId="4" borderId="7" xfId="0" applyNumberFormat="1" applyFill="1" applyBorder="1"/>
    <xf numFmtId="3" fontId="2" fillId="2" borderId="0" xfId="0" applyNumberFormat="1" applyFont="1" applyFill="1"/>
    <xf numFmtId="187" fontId="0" fillId="0" borderId="0" xfId="0" applyNumberFormat="1" applyFill="1"/>
    <xf numFmtId="186" fontId="0" fillId="4" borderId="7" xfId="0" applyNumberFormat="1" applyFill="1" applyBorder="1"/>
    <xf numFmtId="0" fontId="2" fillId="0" borderId="0" xfId="0" applyFont="1" applyBorder="1"/>
    <xf numFmtId="0" fontId="8" fillId="0" borderId="0" xfId="0" applyFont="1" applyAlignment="1">
      <alignment horizontal="right"/>
    </xf>
    <xf numFmtId="0" fontId="24" fillId="0" borderId="0" xfId="0" applyFont="1" applyBorder="1" applyAlignment="1">
      <alignment horizontal="left"/>
    </xf>
    <xf numFmtId="0" fontId="2" fillId="0" borderId="1" xfId="0" applyFont="1" applyBorder="1"/>
    <xf numFmtId="0" fontId="11" fillId="0" borderId="1" xfId="0" applyFont="1" applyBorder="1"/>
    <xf numFmtId="0" fontId="16" fillId="0" borderId="1" xfId="0" applyFont="1" applyBorder="1"/>
    <xf numFmtId="0" fontId="3" fillId="0" borderId="0" xfId="0" applyFont="1" applyBorder="1"/>
    <xf numFmtId="0" fontId="23" fillId="0" borderId="0" xfId="0" applyFont="1"/>
    <xf numFmtId="3" fontId="12" fillId="0" borderId="0" xfId="0" applyNumberFormat="1" applyFont="1" applyBorder="1"/>
    <xf numFmtId="3" fontId="12" fillId="0" borderId="0" xfId="0" applyNumberFormat="1" applyFont="1" applyFill="1" applyBorder="1"/>
    <xf numFmtId="0" fontId="35" fillId="0" borderId="0" xfId="0" applyFont="1" applyFill="1" applyAlignment="1">
      <alignment horizontal="left" vertical="center" wrapText="1"/>
    </xf>
    <xf numFmtId="4" fontId="37" fillId="0" borderId="0" xfId="0" applyNumberFormat="1" applyFont="1" applyFill="1" applyBorder="1" applyAlignment="1">
      <alignment horizontal="right" vertical="center"/>
    </xf>
    <xf numFmtId="4" fontId="38" fillId="0" borderId="0" xfId="0" applyNumberFormat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 wrapText="1"/>
    </xf>
    <xf numFmtId="189" fontId="35" fillId="0" borderId="0" xfId="0" applyNumberFormat="1" applyFont="1" applyFill="1" applyBorder="1" applyAlignment="1">
      <alignment horizontal="center" vertical="center"/>
    </xf>
    <xf numFmtId="4" fontId="35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left" vertical="center" wrapText="1"/>
    </xf>
    <xf numFmtId="189" fontId="35" fillId="0" borderId="2" xfId="0" applyNumberFormat="1" applyFont="1" applyFill="1" applyBorder="1" applyAlignment="1">
      <alignment horizontal="center" vertical="center" wrapText="1"/>
    </xf>
    <xf numFmtId="4" fontId="35" fillId="0" borderId="2" xfId="0" applyNumberFormat="1" applyFont="1" applyFill="1" applyBorder="1" applyAlignment="1">
      <alignment horizontal="center" vertical="center" wrapText="1"/>
    </xf>
    <xf numFmtId="4" fontId="37" fillId="0" borderId="8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3" fontId="40" fillId="0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189" fontId="40" fillId="0" borderId="2" xfId="0" applyNumberFormat="1" applyFont="1" applyFill="1" applyBorder="1" applyAlignment="1">
      <alignment horizontal="center" vertical="center"/>
    </xf>
    <xf numFmtId="4" fontId="40" fillId="0" borderId="9" xfId="0" applyNumberFormat="1" applyFont="1" applyFill="1" applyBorder="1" applyAlignment="1">
      <alignment horizontal="center" vertical="center" wrapText="1"/>
    </xf>
    <xf numFmtId="3" fontId="42" fillId="0" borderId="2" xfId="0" applyNumberFormat="1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left" vertical="center" wrapText="1"/>
    </xf>
    <xf numFmtId="189" fontId="42" fillId="0" borderId="2" xfId="0" applyNumberFormat="1" applyFont="1" applyFill="1" applyBorder="1" applyAlignment="1">
      <alignment horizontal="center" vertical="center"/>
    </xf>
    <xf numFmtId="4" fontId="42" fillId="0" borderId="9" xfId="0" applyNumberFormat="1" applyFont="1" applyFill="1" applyBorder="1" applyAlignment="1">
      <alignment horizontal="center" vertical="center" wrapText="1"/>
    </xf>
    <xf numFmtId="3" fontId="44" fillId="0" borderId="2" xfId="0" applyNumberFormat="1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left" vertical="center" wrapText="1"/>
    </xf>
    <xf numFmtId="189" fontId="44" fillId="0" borderId="2" xfId="0" applyNumberFormat="1" applyFont="1" applyFill="1" applyBorder="1" applyAlignment="1">
      <alignment horizontal="center" vertical="center"/>
    </xf>
    <xf numFmtId="4" fontId="44" fillId="0" borderId="9" xfId="0" applyNumberFormat="1" applyFont="1" applyFill="1" applyBorder="1" applyAlignment="1">
      <alignment horizontal="center" vertical="center" wrapText="1"/>
    </xf>
    <xf numFmtId="3" fontId="46" fillId="0" borderId="2" xfId="0" applyNumberFormat="1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left" vertical="center" wrapText="1"/>
    </xf>
    <xf numFmtId="189" fontId="46" fillId="0" borderId="2" xfId="0" applyNumberFormat="1" applyFont="1" applyFill="1" applyBorder="1" applyAlignment="1">
      <alignment horizontal="center" vertical="center"/>
    </xf>
    <xf numFmtId="4" fontId="46" fillId="0" borderId="9" xfId="0" applyNumberFormat="1" applyFont="1" applyFill="1" applyBorder="1" applyAlignment="1">
      <alignment horizontal="center" vertical="center" wrapText="1"/>
    </xf>
    <xf numFmtId="3" fontId="48" fillId="0" borderId="2" xfId="0" applyNumberFormat="1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left" vertical="center" wrapText="1"/>
    </xf>
    <xf numFmtId="189" fontId="48" fillId="0" borderId="2" xfId="0" applyNumberFormat="1" applyFont="1" applyFill="1" applyBorder="1" applyAlignment="1">
      <alignment horizontal="center" vertical="center"/>
    </xf>
    <xf numFmtId="4" fontId="48" fillId="0" borderId="9" xfId="0" applyNumberFormat="1" applyFont="1" applyFill="1" applyBorder="1" applyAlignment="1">
      <alignment horizontal="center" vertical="center" wrapText="1"/>
    </xf>
    <xf numFmtId="3" fontId="50" fillId="0" borderId="2" xfId="0" applyNumberFormat="1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left" vertical="center" wrapText="1"/>
    </xf>
    <xf numFmtId="189" fontId="50" fillId="0" borderId="2" xfId="0" applyNumberFormat="1" applyFont="1" applyFill="1" applyBorder="1" applyAlignment="1">
      <alignment horizontal="center" vertical="center"/>
    </xf>
    <xf numFmtId="4" fontId="50" fillId="0" borderId="9" xfId="0" applyNumberFormat="1" applyFont="1" applyFill="1" applyBorder="1" applyAlignment="1">
      <alignment horizontal="center" vertical="center" wrapText="1"/>
    </xf>
    <xf numFmtId="0" fontId="50" fillId="0" borderId="9" xfId="0" applyFont="1" applyFill="1" applyBorder="1" applyAlignment="1">
      <alignment horizontal="center" vertical="center"/>
    </xf>
    <xf numFmtId="190" fontId="50" fillId="0" borderId="9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3" fontId="42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 wrapText="1"/>
    </xf>
    <xf numFmtId="4" fontId="52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Border="1" applyAlignment="1">
      <alignment horizontal="right"/>
    </xf>
    <xf numFmtId="3" fontId="19" fillId="0" borderId="0" xfId="0" applyNumberFormat="1" applyFont="1" applyBorder="1"/>
    <xf numFmtId="3" fontId="16" fillId="0" borderId="0" xfId="0" applyNumberFormat="1" applyFont="1"/>
    <xf numFmtId="0" fontId="53" fillId="0" borderId="0" xfId="0" applyFont="1" applyBorder="1"/>
    <xf numFmtId="0" fontId="16" fillId="0" borderId="0" xfId="0" applyFont="1" applyBorder="1"/>
    <xf numFmtId="3" fontId="3" fillId="0" borderId="0" xfId="0" applyNumberFormat="1" applyFont="1" applyBorder="1"/>
    <xf numFmtId="0" fontId="19" fillId="0" borderId="0" xfId="0" applyFont="1" applyBorder="1"/>
    <xf numFmtId="0" fontId="12" fillId="0" borderId="1" xfId="0" applyFont="1" applyBorder="1"/>
    <xf numFmtId="3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5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1" xfId="0" applyFont="1" applyBorder="1" applyAlignment="1">
      <alignment horizontal="left"/>
    </xf>
    <xf numFmtId="0" fontId="24" fillId="0" borderId="0" xfId="0" applyFont="1" applyFill="1" applyBorder="1"/>
    <xf numFmtId="3" fontId="2" fillId="0" borderId="1" xfId="0" applyNumberFormat="1" applyFont="1" applyFill="1" applyBorder="1" applyAlignment="1">
      <alignment horizontal="right"/>
    </xf>
    <xf numFmtId="0" fontId="23" fillId="0" borderId="0" xfId="0" applyFont="1" applyBorder="1"/>
    <xf numFmtId="3" fontId="23" fillId="0" borderId="0" xfId="0" applyNumberFormat="1" applyFont="1" applyBorder="1"/>
    <xf numFmtId="3" fontId="23" fillId="0" borderId="0" xfId="0" applyNumberFormat="1" applyFont="1"/>
    <xf numFmtId="3" fontId="23" fillId="0" borderId="1" xfId="0" applyNumberFormat="1" applyFont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3" fontId="16" fillId="0" borderId="1" xfId="0" applyNumberFormat="1" applyFont="1" applyBorder="1"/>
    <xf numFmtId="3" fontId="16" fillId="0" borderId="1" xfId="0" applyNumberFormat="1" applyFont="1" applyFill="1" applyBorder="1"/>
    <xf numFmtId="0" fontId="11" fillId="3" borderId="0" xfId="0" applyFont="1" applyFill="1" applyBorder="1"/>
    <xf numFmtId="3" fontId="16" fillId="2" borderId="0" xfId="0" applyNumberFormat="1" applyFont="1" applyFill="1"/>
    <xf numFmtId="0" fontId="2" fillId="0" borderId="0" xfId="0" applyFont="1" applyFill="1" applyAlignment="1">
      <alignment horizontal="left" wrapText="1"/>
    </xf>
    <xf numFmtId="187" fontId="0" fillId="0" borderId="0" xfId="0" applyNumberFormat="1" applyFill="1" applyBorder="1"/>
    <xf numFmtId="9" fontId="0" fillId="0" borderId="0" xfId="0" applyNumberFormat="1"/>
    <xf numFmtId="3" fontId="0" fillId="0" borderId="1" xfId="0" applyNumberFormat="1" applyFill="1" applyBorder="1"/>
    <xf numFmtId="0" fontId="29" fillId="0" borderId="0" xfId="0" applyFont="1" applyAlignment="1">
      <alignment horizontal="left" indent="1"/>
    </xf>
    <xf numFmtId="0" fontId="29" fillId="0" borderId="0" xfId="0" applyFont="1"/>
    <xf numFmtId="0" fontId="30" fillId="0" borderId="0" xfId="0" applyFont="1" applyFill="1"/>
    <xf numFmtId="0" fontId="29" fillId="0" borderId="0" xfId="0" applyFont="1" applyAlignment="1"/>
    <xf numFmtId="0" fontId="33" fillId="4" borderId="10" xfId="0" applyFont="1" applyFill="1" applyBorder="1"/>
    <xf numFmtId="3" fontId="33" fillId="4" borderId="10" xfId="0" applyNumberFormat="1" applyFont="1" applyFill="1" applyBorder="1"/>
    <xf numFmtId="0" fontId="33" fillId="4" borderId="11" xfId="0" applyFont="1" applyFill="1" applyBorder="1"/>
    <xf numFmtId="3" fontId="33" fillId="4" borderId="11" xfId="0" applyNumberFormat="1" applyFont="1" applyFill="1" applyBorder="1"/>
    <xf numFmtId="0" fontId="18" fillId="4" borderId="10" xfId="0" applyFont="1" applyFill="1" applyBorder="1"/>
    <xf numFmtId="3" fontId="18" fillId="4" borderId="10" xfId="0" applyNumberFormat="1" applyFont="1" applyFill="1" applyBorder="1"/>
    <xf numFmtId="0" fontId="18" fillId="4" borderId="11" xfId="0" applyFont="1" applyFill="1" applyBorder="1"/>
    <xf numFmtId="3" fontId="18" fillId="4" borderId="11" xfId="0" applyNumberFormat="1" applyFont="1" applyFill="1" applyBorder="1"/>
    <xf numFmtId="0" fontId="2" fillId="0" borderId="10" xfId="0" applyFont="1" applyFill="1" applyBorder="1"/>
    <xf numFmtId="3" fontId="2" fillId="0" borderId="10" xfId="0" applyNumberFormat="1" applyFont="1" applyFill="1" applyBorder="1"/>
    <xf numFmtId="0" fontId="2" fillId="0" borderId="11" xfId="0" applyFont="1" applyFill="1" applyBorder="1"/>
    <xf numFmtId="3" fontId="2" fillId="0" borderId="11" xfId="0" applyNumberFormat="1" applyFont="1" applyFill="1" applyBorder="1"/>
    <xf numFmtId="0" fontId="19" fillId="0" borderId="10" xfId="0" applyFont="1" applyFill="1" applyBorder="1"/>
    <xf numFmtId="3" fontId="19" fillId="0" borderId="10" xfId="0" applyNumberFormat="1" applyFont="1" applyFill="1" applyBorder="1"/>
    <xf numFmtId="0" fontId="19" fillId="0" borderId="11" xfId="0" applyFont="1" applyFill="1" applyBorder="1"/>
    <xf numFmtId="3" fontId="19" fillId="0" borderId="11" xfId="0" applyNumberFormat="1" applyFont="1" applyFill="1" applyBorder="1"/>
    <xf numFmtId="0" fontId="2" fillId="0" borderId="0" xfId="0" applyFont="1" applyFill="1" applyBorder="1" applyAlignment="1">
      <alignment horizontal="left" wrapText="1"/>
    </xf>
    <xf numFmtId="0" fontId="17" fillId="4" borderId="10" xfId="0" applyFont="1" applyFill="1" applyBorder="1"/>
    <xf numFmtId="3" fontId="17" fillId="4" borderId="10" xfId="0" applyNumberFormat="1" applyFont="1" applyFill="1" applyBorder="1"/>
    <xf numFmtId="184" fontId="17" fillId="4" borderId="10" xfId="0" applyNumberFormat="1" applyFont="1" applyFill="1" applyBorder="1"/>
    <xf numFmtId="0" fontId="17" fillId="4" borderId="0" xfId="0" applyFont="1" applyFill="1"/>
    <xf numFmtId="3" fontId="17" fillId="4" borderId="0" xfId="0" applyNumberFormat="1" applyFont="1" applyFill="1"/>
    <xf numFmtId="184" fontId="17" fillId="4" borderId="0" xfId="0" applyNumberFormat="1" applyFont="1" applyFill="1"/>
    <xf numFmtId="0" fontId="17" fillId="4" borderId="11" xfId="0" applyFont="1" applyFill="1" applyBorder="1"/>
    <xf numFmtId="3" fontId="17" fillId="4" borderId="11" xfId="0" applyNumberFormat="1" applyFont="1" applyFill="1" applyBorder="1"/>
    <xf numFmtId="184" fontId="17" fillId="4" borderId="11" xfId="0" applyNumberFormat="1" applyFont="1" applyFill="1" applyBorder="1"/>
    <xf numFmtId="0" fontId="17" fillId="0" borderId="1" xfId="0" applyFont="1" applyBorder="1"/>
    <xf numFmtId="3" fontId="17" fillId="0" borderId="1" xfId="0" applyNumberFormat="1" applyFont="1" applyBorder="1"/>
    <xf numFmtId="184" fontId="17" fillId="0" borderId="1" xfId="0" applyNumberFormat="1" applyFont="1" applyBorder="1"/>
    <xf numFmtId="0" fontId="17" fillId="0" borderId="10" xfId="0" applyFont="1" applyBorder="1"/>
    <xf numFmtId="4" fontId="2" fillId="0" borderId="10" xfId="0" applyNumberFormat="1" applyFont="1" applyBorder="1" applyAlignment="1">
      <alignment horizontal="right"/>
    </xf>
    <xf numFmtId="184" fontId="17" fillId="0" borderId="10" xfId="0" applyNumberFormat="1" applyFont="1" applyBorder="1"/>
    <xf numFmtId="0" fontId="16" fillId="0" borderId="10" xfId="0" applyFont="1" applyBorder="1"/>
    <xf numFmtId="0" fontId="17" fillId="0" borderId="11" xfId="0" applyFont="1" applyBorder="1"/>
    <xf numFmtId="4" fontId="2" fillId="0" borderId="11" xfId="0" applyNumberFormat="1" applyFont="1" applyBorder="1" applyAlignment="1">
      <alignment horizontal="right"/>
    </xf>
    <xf numFmtId="184" fontId="17" fillId="0" borderId="11" xfId="0" applyNumberFormat="1" applyFont="1" applyBorder="1"/>
    <xf numFmtId="0" fontId="16" fillId="0" borderId="11" xfId="0" applyFont="1" applyBorder="1"/>
    <xf numFmtId="0" fontId="30" fillId="0" borderId="0" xfId="0" applyFont="1" applyBorder="1"/>
    <xf numFmtId="0" fontId="15" fillId="0" borderId="0" xfId="0" applyFont="1" applyBorder="1" applyAlignment="1">
      <alignment horizontal="left" indent="1"/>
    </xf>
    <xf numFmtId="0" fontId="17" fillId="0" borderId="0" xfId="0" applyFont="1" applyBorder="1"/>
    <xf numFmtId="0" fontId="3" fillId="0" borderId="0" xfId="0" applyFont="1" applyFill="1" applyBorder="1"/>
    <xf numFmtId="4" fontId="0" fillId="0" borderId="0" xfId="0" applyNumberFormat="1" applyBorder="1"/>
    <xf numFmtId="3" fontId="16" fillId="0" borderId="11" xfId="0" applyNumberFormat="1" applyFont="1" applyFill="1" applyBorder="1"/>
    <xf numFmtId="0" fontId="16" fillId="0" borderId="10" xfId="0" applyFont="1" applyFill="1" applyBorder="1"/>
    <xf numFmtId="3" fontId="2" fillId="0" borderId="10" xfId="0" applyNumberFormat="1" applyFont="1" applyBorder="1"/>
    <xf numFmtId="3" fontId="2" fillId="0" borderId="11" xfId="0" applyNumberFormat="1" applyFont="1" applyBorder="1"/>
    <xf numFmtId="0" fontId="3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9" fillId="0" borderId="0" xfId="0" applyFont="1" applyFill="1"/>
    <xf numFmtId="187" fontId="0" fillId="0" borderId="12" xfId="0" applyNumberFormat="1" applyFill="1" applyBorder="1"/>
    <xf numFmtId="187" fontId="2" fillId="0" borderId="0" xfId="0" applyNumberFormat="1" applyFont="1" applyFill="1" applyAlignment="1">
      <alignment horizontal="center"/>
    </xf>
    <xf numFmtId="3" fontId="2" fillId="0" borderId="12" xfId="0" applyNumberFormat="1" applyFont="1" applyFill="1" applyBorder="1"/>
    <xf numFmtId="0" fontId="3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9" xfId="0" applyFill="1" applyBorder="1"/>
    <xf numFmtId="4" fontId="0" fillId="0" borderId="0" xfId="0" applyNumberFormat="1" applyFill="1"/>
    <xf numFmtId="4" fontId="0" fillId="0" borderId="13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quotePrefix="1" applyNumberFormat="1" applyFill="1" applyAlignment="1">
      <alignment horizontal="center"/>
    </xf>
    <xf numFmtId="4" fontId="3" fillId="0" borderId="0" xfId="0" applyNumberFormat="1" applyFont="1" applyFill="1"/>
    <xf numFmtId="0" fontId="2" fillId="0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0" fontId="0" fillId="0" borderId="0" xfId="0" applyNumberFormat="1" applyFill="1"/>
    <xf numFmtId="0" fontId="36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center" vertical="center"/>
    </xf>
    <xf numFmtId="189" fontId="35" fillId="0" borderId="0" xfId="0" applyNumberFormat="1" applyFont="1" applyFill="1" applyAlignment="1">
      <alignment horizontal="center" vertical="center"/>
    </xf>
    <xf numFmtId="4" fontId="41" fillId="0" borderId="14" xfId="0" applyNumberFormat="1" applyFont="1" applyFill="1" applyBorder="1" applyAlignment="1">
      <alignment horizontal="right" vertical="center"/>
    </xf>
    <xf numFmtId="4" fontId="43" fillId="0" borderId="14" xfId="0" applyNumberFormat="1" applyFont="1" applyFill="1" applyBorder="1" applyAlignment="1">
      <alignment horizontal="right" vertical="center"/>
    </xf>
    <xf numFmtId="4" fontId="45" fillId="0" borderId="14" xfId="0" applyNumberFormat="1" applyFont="1" applyFill="1" applyBorder="1" applyAlignment="1">
      <alignment horizontal="right" vertical="center"/>
    </xf>
    <xf numFmtId="4" fontId="47" fillId="0" borderId="14" xfId="0" applyNumberFormat="1" applyFont="1" applyFill="1" applyBorder="1" applyAlignment="1">
      <alignment horizontal="right" vertical="center"/>
    </xf>
    <xf numFmtId="4" fontId="49" fillId="0" borderId="14" xfId="0" applyNumberFormat="1" applyFont="1" applyFill="1" applyBorder="1" applyAlignment="1">
      <alignment horizontal="right" vertical="center"/>
    </xf>
    <xf numFmtId="4" fontId="51" fillId="0" borderId="14" xfId="0" applyNumberFormat="1" applyFont="1" applyFill="1" applyBorder="1" applyAlignment="1">
      <alignment horizontal="right" vertical="center"/>
    </xf>
    <xf numFmtId="0" fontId="23" fillId="0" borderId="15" xfId="0" applyFont="1" applyFill="1" applyBorder="1"/>
    <xf numFmtId="0" fontId="23" fillId="0" borderId="16" xfId="0" applyFont="1" applyFill="1" applyBorder="1"/>
    <xf numFmtId="180" fontId="0" fillId="4" borderId="7" xfId="0" applyNumberFormat="1" applyFill="1" applyBorder="1"/>
    <xf numFmtId="0" fontId="0" fillId="0" borderId="0" xfId="0" applyFill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29" fillId="0" borderId="0" xfId="0" applyFont="1" applyBorder="1"/>
    <xf numFmtId="0" fontId="11" fillId="0" borderId="0" xfId="0" applyFont="1" applyBorder="1" applyAlignment="1">
      <alignment horizontal="left"/>
    </xf>
    <xf numFmtId="3" fontId="16" fillId="0" borderId="0" xfId="0" applyNumberFormat="1" applyFont="1" applyBorder="1"/>
    <xf numFmtId="0" fontId="2" fillId="0" borderId="1" xfId="0" applyFont="1" applyBorder="1" applyAlignment="1">
      <alignment horizontal="right"/>
    </xf>
    <xf numFmtId="3" fontId="11" fillId="0" borderId="1" xfId="0" applyNumberFormat="1" applyFont="1" applyFill="1" applyBorder="1"/>
    <xf numFmtId="3" fontId="11" fillId="0" borderId="1" xfId="0" applyNumberFormat="1" applyFont="1" applyBorder="1"/>
    <xf numFmtId="0" fontId="19" fillId="0" borderId="1" xfId="0" applyFont="1" applyBorder="1"/>
    <xf numFmtId="49" fontId="11" fillId="0" borderId="1" xfId="0" applyNumberFormat="1" applyFont="1" applyBorder="1"/>
    <xf numFmtId="0" fontId="3" fillId="0" borderId="1" xfId="0" applyFont="1" applyBorder="1"/>
    <xf numFmtId="3" fontId="29" fillId="0" borderId="1" xfId="0" applyNumberFormat="1" applyFont="1" applyBorder="1"/>
    <xf numFmtId="0" fontId="29" fillId="0" borderId="1" xfId="0" applyFont="1" applyBorder="1" applyAlignment="1">
      <alignment horizontal="right"/>
    </xf>
    <xf numFmtId="0" fontId="0" fillId="0" borderId="1" xfId="0" applyBorder="1"/>
    <xf numFmtId="0" fontId="23" fillId="0" borderId="1" xfId="0" applyFont="1" applyBorder="1"/>
    <xf numFmtId="0" fontId="32" fillId="0" borderId="0" xfId="0" applyFont="1" applyBorder="1"/>
    <xf numFmtId="0" fontId="19" fillId="0" borderId="0" xfId="0" applyFont="1" applyAlignment="1">
      <alignment horizontal="right"/>
    </xf>
    <xf numFmtId="0" fontId="19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188" fontId="0" fillId="0" borderId="0" xfId="0" applyNumberFormat="1" applyFill="1"/>
    <xf numFmtId="188" fontId="2" fillId="0" borderId="0" xfId="0" applyNumberFormat="1" applyFont="1" applyFill="1"/>
    <xf numFmtId="188" fontId="2" fillId="0" borderId="1" xfId="0" applyNumberFormat="1" applyFont="1" applyFill="1" applyBorder="1"/>
    <xf numFmtId="0" fontId="17" fillId="0" borderId="1" xfId="0" applyFont="1" applyFill="1" applyBorder="1"/>
    <xf numFmtId="188" fontId="17" fillId="0" borderId="1" xfId="0" applyNumberFormat="1" applyFont="1" applyFill="1" applyBorder="1"/>
    <xf numFmtId="0" fontId="28" fillId="0" borderId="0" xfId="0" applyFont="1" applyFill="1" applyAlignment="1">
      <alignment horizontal="centerContinuous"/>
    </xf>
    <xf numFmtId="3" fontId="0" fillId="0" borderId="0" xfId="0" applyNumberFormat="1" applyFill="1" applyBorder="1" applyAlignment="1">
      <alignment horizontal="center"/>
    </xf>
    <xf numFmtId="0" fontId="27" fillId="0" borderId="0" xfId="0" applyFont="1" applyFill="1"/>
    <xf numFmtId="3" fontId="2" fillId="0" borderId="0" xfId="0" applyNumberFormat="1" applyFont="1" applyFill="1" applyBorder="1" applyAlignment="1">
      <alignment horizontal="center"/>
    </xf>
    <xf numFmtId="188" fontId="0" fillId="0" borderId="0" xfId="0" applyNumberFormat="1" applyFill="1" applyBorder="1"/>
    <xf numFmtId="188" fontId="0" fillId="0" borderId="12" xfId="0" applyNumberFormat="1" applyFill="1" applyBorder="1"/>
    <xf numFmtId="188" fontId="0" fillId="0" borderId="0" xfId="0" applyNumberFormat="1" applyFill="1" applyBorder="1" applyAlignment="1">
      <alignment horizontal="center"/>
    </xf>
    <xf numFmtId="188" fontId="10" fillId="0" borderId="12" xfId="0" applyNumberFormat="1" applyFont="1" applyFill="1" applyBorder="1"/>
    <xf numFmtId="188" fontId="10" fillId="0" borderId="0" xfId="0" applyNumberFormat="1" applyFont="1" applyFill="1" applyBorder="1"/>
    <xf numFmtId="188" fontId="2" fillId="0" borderId="0" xfId="0" applyNumberFormat="1" applyFont="1" applyFill="1" applyBorder="1" applyAlignment="1">
      <alignment horizontal="center"/>
    </xf>
    <xf numFmtId="188" fontId="2" fillId="0" borderId="0" xfId="0" applyNumberFormat="1" applyFont="1" applyFill="1" applyAlignment="1">
      <alignment horizontal="center"/>
    </xf>
    <xf numFmtId="188" fontId="0" fillId="0" borderId="0" xfId="0" applyNumberFormat="1" applyFill="1" applyAlignment="1">
      <alignment horizontal="center"/>
    </xf>
    <xf numFmtId="0" fontId="10" fillId="0" borderId="0" xfId="0" applyFont="1" applyFill="1"/>
    <xf numFmtId="0" fontId="19" fillId="0" borderId="0" xfId="0" applyFont="1" applyFill="1" applyAlignment="1">
      <alignment horizontal="right"/>
    </xf>
    <xf numFmtId="0" fontId="19" fillId="0" borderId="0" xfId="0" applyFont="1" applyFill="1" applyBorder="1"/>
    <xf numFmtId="0" fontId="17" fillId="0" borderId="0" xfId="0" applyFont="1" applyFill="1" applyBorder="1"/>
    <xf numFmtId="0" fontId="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" fillId="0" borderId="1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/>
    <xf numFmtId="4" fontId="3" fillId="0" borderId="21" xfId="0" applyNumberFormat="1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4" fontId="3" fillId="0" borderId="23" xfId="0" applyNumberFormat="1" applyFont="1" applyFill="1" applyBorder="1" applyAlignment="1">
      <alignment vertical="top"/>
    </xf>
    <xf numFmtId="4" fontId="3" fillId="0" borderId="24" xfId="0" applyNumberFormat="1" applyFont="1" applyFill="1" applyBorder="1" applyAlignment="1">
      <alignment vertical="top"/>
    </xf>
    <xf numFmtId="4" fontId="2" fillId="0" borderId="25" xfId="0" applyNumberFormat="1" applyFont="1" applyFill="1" applyBorder="1" applyAlignment="1">
      <alignment vertical="top"/>
    </xf>
    <xf numFmtId="4" fontId="2" fillId="0" borderId="26" xfId="0" applyNumberFormat="1" applyFont="1" applyFill="1" applyBorder="1" applyAlignment="1">
      <alignment vertical="top"/>
    </xf>
    <xf numFmtId="4" fontId="2" fillId="0" borderId="27" xfId="0" applyNumberFormat="1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Fill="1" applyBorder="1" applyAlignment="1">
      <alignment vertical="top" wrapText="1"/>
    </xf>
    <xf numFmtId="1" fontId="3" fillId="0" borderId="30" xfId="0" applyNumberFormat="1" applyFont="1" applyFill="1" applyBorder="1" applyAlignment="1">
      <alignment vertical="top"/>
    </xf>
    <xf numFmtId="0" fontId="3" fillId="0" borderId="18" xfId="0" applyFont="1" applyFill="1" applyBorder="1" applyAlignment="1">
      <alignment vertical="top"/>
    </xf>
    <xf numFmtId="4" fontId="3" fillId="0" borderId="28" xfId="0" applyNumberFormat="1" applyFont="1" applyFill="1" applyBorder="1" applyAlignment="1">
      <alignment vertical="top"/>
    </xf>
    <xf numFmtId="4" fontId="3" fillId="0" borderId="29" xfId="0" applyNumberFormat="1" applyFont="1" applyFill="1" applyBorder="1" applyAlignment="1">
      <alignment vertical="top"/>
    </xf>
    <xf numFmtId="4" fontId="3" fillId="0" borderId="12" xfId="0" applyNumberFormat="1" applyFont="1" applyFill="1" applyBorder="1" applyAlignment="1">
      <alignment vertical="top"/>
    </xf>
    <xf numFmtId="0" fontId="3" fillId="0" borderId="31" xfId="0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vertical="top"/>
    </xf>
    <xf numFmtId="0" fontId="3" fillId="0" borderId="32" xfId="0" applyFont="1" applyFill="1" applyBorder="1" applyAlignment="1">
      <alignment vertical="top"/>
    </xf>
    <xf numFmtId="4" fontId="2" fillId="0" borderId="28" xfId="0" applyNumberFormat="1" applyFont="1" applyFill="1" applyBorder="1" applyAlignment="1">
      <alignment vertical="top"/>
    </xf>
    <xf numFmtId="4" fontId="2" fillId="0" borderId="12" xfId="0" applyNumberFormat="1" applyFont="1" applyFill="1" applyBorder="1" applyAlignment="1">
      <alignment vertical="top"/>
    </xf>
    <xf numFmtId="0" fontId="3" fillId="0" borderId="19" xfId="0" applyFont="1" applyFill="1" applyBorder="1" applyAlignment="1">
      <alignment horizontal="left"/>
    </xf>
    <xf numFmtId="0" fontId="3" fillId="0" borderId="29" xfId="0" applyFont="1" applyFill="1" applyBorder="1"/>
    <xf numFmtId="1" fontId="3" fillId="0" borderId="9" xfId="0" applyNumberFormat="1" applyFont="1" applyFill="1" applyBorder="1" applyAlignment="1">
      <alignment vertical="top"/>
    </xf>
    <xf numFmtId="1" fontId="3" fillId="0" borderId="0" xfId="0" applyNumberFormat="1" applyFont="1" applyFill="1" applyBorder="1" applyAlignment="1">
      <alignment vertical="top"/>
    </xf>
    <xf numFmtId="0" fontId="3" fillId="0" borderId="20" xfId="0" applyFont="1" applyFill="1" applyBorder="1" applyAlignment="1">
      <alignment vertical="top"/>
    </xf>
    <xf numFmtId="0" fontId="3" fillId="0" borderId="17" xfId="0" applyFont="1" applyFill="1" applyBorder="1"/>
    <xf numFmtId="0" fontId="3" fillId="0" borderId="29" xfId="0" applyFont="1" applyFill="1" applyBorder="1" applyAlignment="1">
      <alignment vertical="top"/>
    </xf>
    <xf numFmtId="0" fontId="2" fillId="0" borderId="28" xfId="0" applyFont="1" applyFill="1" applyBorder="1"/>
    <xf numFmtId="0" fontId="2" fillId="0" borderId="29" xfId="0" applyFont="1" applyFill="1" applyBorder="1" applyAlignment="1">
      <alignment vertical="top"/>
    </xf>
    <xf numFmtId="0" fontId="3" fillId="0" borderId="33" xfId="0" applyFont="1" applyFill="1" applyBorder="1" applyAlignment="1">
      <alignment vertical="top"/>
    </xf>
    <xf numFmtId="4" fontId="3" fillId="0" borderId="17" xfId="0" applyNumberFormat="1" applyFont="1" applyFill="1" applyBorder="1" applyAlignment="1">
      <alignment vertical="top"/>
    </xf>
    <xf numFmtId="4" fontId="3" fillId="0" borderId="33" xfId="0" applyNumberFormat="1" applyFont="1" applyFill="1" applyBorder="1" applyAlignment="1">
      <alignment vertical="top"/>
    </xf>
    <xf numFmtId="4" fontId="3" fillId="0" borderId="10" xfId="0" applyNumberFormat="1" applyFont="1" applyFill="1" applyBorder="1" applyAlignment="1">
      <alignment vertical="top"/>
    </xf>
    <xf numFmtId="0" fontId="2" fillId="0" borderId="28" xfId="0" applyFont="1" applyFill="1" applyBorder="1" applyAlignment="1">
      <alignment horizontal="left"/>
    </xf>
    <xf numFmtId="0" fontId="2" fillId="0" borderId="32" xfId="0" applyFont="1" applyFill="1" applyBorder="1"/>
    <xf numFmtId="4" fontId="2" fillId="0" borderId="19" xfId="0" applyNumberFormat="1" applyFont="1" applyFill="1" applyBorder="1" applyAlignment="1">
      <alignment vertical="top"/>
    </xf>
    <xf numFmtId="4" fontId="2" fillId="0" borderId="13" xfId="0" applyNumberFormat="1" applyFont="1" applyFill="1" applyBorder="1" applyAlignment="1">
      <alignment vertical="top"/>
    </xf>
    <xf numFmtId="4" fontId="2" fillId="0" borderId="31" xfId="0" applyNumberFormat="1" applyFont="1" applyFill="1" applyBorder="1" applyAlignment="1">
      <alignment vertical="top"/>
    </xf>
    <xf numFmtId="0" fontId="3" fillId="0" borderId="34" xfId="0" applyFont="1" applyFill="1" applyBorder="1" applyAlignment="1">
      <alignment horizontal="center"/>
    </xf>
    <xf numFmtId="0" fontId="3" fillId="0" borderId="15" xfId="0" applyFont="1" applyFill="1" applyBorder="1"/>
    <xf numFmtId="0" fontId="2" fillId="0" borderId="35" xfId="0" applyFont="1" applyFill="1" applyBorder="1"/>
    <xf numFmtId="4" fontId="2" fillId="0" borderId="35" xfId="0" applyNumberFormat="1" applyFont="1" applyFill="1" applyBorder="1"/>
    <xf numFmtId="0" fontId="3" fillId="0" borderId="16" xfId="0" applyFont="1" applyFill="1" applyBorder="1"/>
    <xf numFmtId="0" fontId="2" fillId="0" borderId="0" xfId="0" applyFont="1" applyFill="1" applyAlignment="1">
      <alignment horizontal="right"/>
    </xf>
    <xf numFmtId="2" fontId="3" fillId="0" borderId="0" xfId="0" applyNumberFormat="1" applyFont="1" applyFill="1"/>
    <xf numFmtId="3" fontId="2" fillId="0" borderId="1" xfId="0" applyNumberFormat="1" applyFont="1" applyFill="1" applyBorder="1" applyAlignment="1">
      <alignment horizontal="center"/>
    </xf>
    <xf numFmtId="0" fontId="32" fillId="0" borderId="0" xfId="0" applyFont="1" applyFill="1" applyBorder="1"/>
    <xf numFmtId="0" fontId="0" fillId="0" borderId="1" xfId="0" applyFill="1" applyBorder="1"/>
    <xf numFmtId="0" fontId="55" fillId="0" borderId="0" xfId="0" applyFont="1"/>
    <xf numFmtId="0" fontId="2" fillId="4" borderId="0" xfId="0" applyFont="1" applyFill="1"/>
    <xf numFmtId="0" fontId="55" fillId="4" borderId="0" xfId="0" applyFont="1" applyFill="1"/>
    <xf numFmtId="0" fontId="55" fillId="0" borderId="0" xfId="0" applyFont="1" applyBorder="1"/>
    <xf numFmtId="0" fontId="55" fillId="0" borderId="0" xfId="0" applyFont="1" applyFill="1" applyBorder="1"/>
    <xf numFmtId="0" fontId="1" fillId="4" borderId="0" xfId="0" applyFont="1" applyFill="1"/>
    <xf numFmtId="0" fontId="1" fillId="0" borderId="0" xfId="0" applyFont="1" applyFill="1"/>
    <xf numFmtId="0" fontId="11" fillId="0" borderId="0" xfId="0" applyFont="1" applyFill="1"/>
    <xf numFmtId="3" fontId="1" fillId="0" borderId="0" xfId="0" applyNumberFormat="1" applyFont="1" applyFill="1"/>
    <xf numFmtId="3" fontId="12" fillId="0" borderId="0" xfId="0" applyNumberFormat="1" applyFont="1" applyFill="1"/>
    <xf numFmtId="0" fontId="11" fillId="4" borderId="0" xfId="0" applyFont="1" applyFill="1"/>
    <xf numFmtId="0" fontId="2" fillId="4" borderId="0" xfId="0" applyFont="1" applyFill="1" applyAlignment="1">
      <alignment horizontal="left"/>
    </xf>
    <xf numFmtId="3" fontId="55" fillId="0" borderId="0" xfId="0" applyNumberFormat="1" applyFont="1" applyFill="1"/>
    <xf numFmtId="3" fontId="55" fillId="0" borderId="0" xfId="0" applyNumberFormat="1" applyFont="1"/>
    <xf numFmtId="0" fontId="11" fillId="4" borderId="0" xfId="0" applyFont="1" applyFill="1" applyBorder="1" applyAlignment="1">
      <alignment horizontal="left"/>
    </xf>
    <xf numFmtId="0" fontId="55" fillId="0" borderId="0" xfId="0" applyFont="1" applyFill="1"/>
    <xf numFmtId="1" fontId="11" fillId="0" borderId="1" xfId="0" applyNumberFormat="1" applyFont="1" applyFill="1" applyBorder="1"/>
    <xf numFmtId="3" fontId="55" fillId="0" borderId="0" xfId="0" applyNumberFormat="1" applyFont="1" applyFill="1" applyBorder="1"/>
    <xf numFmtId="4" fontId="55" fillId="0" borderId="0" xfId="0" applyNumberFormat="1" applyFont="1" applyFill="1" applyBorder="1"/>
    <xf numFmtId="191" fontId="11" fillId="0" borderId="1" xfId="0" applyNumberFormat="1" applyFont="1" applyFill="1" applyBorder="1"/>
    <xf numFmtId="0" fontId="5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9" fillId="4" borderId="4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wrapText="1"/>
    </xf>
    <xf numFmtId="0" fontId="2" fillId="0" borderId="20" xfId="0" applyFont="1" applyFill="1" applyBorder="1" applyAlignment="1">
      <alignment horizontal="left" wrapText="1"/>
    </xf>
    <xf numFmtId="0" fontId="30" fillId="4" borderId="4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3" fontId="42" fillId="0" borderId="2" xfId="0" applyNumberFormat="1" applyFont="1" applyFill="1" applyBorder="1" applyAlignment="1">
      <alignment horizontal="center" vertical="center" textRotation="90"/>
    </xf>
    <xf numFmtId="0" fontId="2" fillId="0" borderId="36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ensbud2000master for tarif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0</xdr:row>
          <xdr:rowOff>0</xdr:rowOff>
        </xdr:from>
        <xdr:to>
          <xdr:col>1</xdr:col>
          <xdr:colOff>514350</xdr:colOff>
          <xdr:row>5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F7C4DAEC-4517-B81A-9DD9-41A40B0A2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view="pageBreakPreview" zoomScale="75" zoomScaleNormal="100" workbookViewId="0">
      <selection activeCell="L16" sqref="L16"/>
    </sheetView>
  </sheetViews>
  <sheetFormatPr defaultRowHeight="12.75"/>
  <sheetData>
    <row r="1" spans="1:9" ht="15">
      <c r="D1" s="72"/>
    </row>
    <row r="2" spans="1:9">
      <c r="G2" t="s">
        <v>1215</v>
      </c>
    </row>
    <row r="3" spans="1:9">
      <c r="G3" t="s">
        <v>1216</v>
      </c>
    </row>
    <row r="4" spans="1:9">
      <c r="G4" t="s">
        <v>1217</v>
      </c>
    </row>
    <row r="5" spans="1:9">
      <c r="G5" t="s">
        <v>1218</v>
      </c>
    </row>
    <row r="6" spans="1:9">
      <c r="G6" t="s">
        <v>1219</v>
      </c>
    </row>
    <row r="7" spans="1:9">
      <c r="G7" t="s">
        <v>1220</v>
      </c>
    </row>
    <row r="12" spans="1:9" ht="20.45" customHeight="1">
      <c r="A12" s="414" t="s">
        <v>1306</v>
      </c>
      <c r="B12" s="414"/>
      <c r="C12" s="414"/>
      <c r="D12" s="414"/>
      <c r="E12" s="414"/>
      <c r="F12" s="414"/>
      <c r="G12" s="414"/>
      <c r="H12" s="414"/>
      <c r="I12" s="414"/>
    </row>
    <row r="13" spans="1:9" ht="60">
      <c r="A13" s="413" t="s">
        <v>1214</v>
      </c>
      <c r="B13" s="413"/>
      <c r="C13" s="413"/>
      <c r="D13" s="413"/>
      <c r="E13" s="413"/>
      <c r="F13" s="413"/>
      <c r="G13" s="413"/>
      <c r="H13" s="413"/>
      <c r="I13" s="413"/>
    </row>
    <row r="14" spans="1:9" ht="16.899999999999999" customHeight="1">
      <c r="B14" s="196"/>
    </row>
    <row r="15" spans="1:9" ht="16.899999999999999" customHeight="1">
      <c r="B15" s="196"/>
    </row>
    <row r="16" spans="1:9" ht="16.899999999999999" customHeight="1">
      <c r="B16" s="196"/>
    </row>
    <row r="19" spans="1:1" ht="20.25">
      <c r="A19" s="111" t="s">
        <v>1301</v>
      </c>
    </row>
    <row r="21" spans="1:1">
      <c r="A21" s="2" t="s">
        <v>1280</v>
      </c>
    </row>
    <row r="22" spans="1:1">
      <c r="A22" s="2" t="s">
        <v>1285</v>
      </c>
    </row>
    <row r="23" spans="1:1">
      <c r="A23" s="2" t="s">
        <v>1286</v>
      </c>
    </row>
    <row r="24" spans="1:1">
      <c r="A24" s="2" t="s">
        <v>1287</v>
      </c>
    </row>
    <row r="25" spans="1:1">
      <c r="A25" t="s">
        <v>1302</v>
      </c>
    </row>
    <row r="26" spans="1:1">
      <c r="A26" t="s">
        <v>1303</v>
      </c>
    </row>
    <row r="27" spans="1:1">
      <c r="A27" t="s">
        <v>1304</v>
      </c>
    </row>
    <row r="28" spans="1:1">
      <c r="A28" s="2" t="s">
        <v>1288</v>
      </c>
    </row>
    <row r="29" spans="1:1">
      <c r="A29" s="2" t="s">
        <v>1289</v>
      </c>
    </row>
    <row r="30" spans="1:1">
      <c r="A30" t="s">
        <v>46</v>
      </c>
    </row>
    <row r="31" spans="1:1">
      <c r="A31" t="s">
        <v>1290</v>
      </c>
    </row>
    <row r="32" spans="1:1">
      <c r="A32" t="s">
        <v>1291</v>
      </c>
    </row>
    <row r="33" spans="1:1">
      <c r="A33" s="2" t="s">
        <v>1293</v>
      </c>
    </row>
    <row r="34" spans="1:1">
      <c r="A34" t="s">
        <v>1294</v>
      </c>
    </row>
    <row r="35" spans="1:1">
      <c r="A35" t="s">
        <v>1295</v>
      </c>
    </row>
    <row r="36" spans="1:1">
      <c r="A36" t="s">
        <v>1296</v>
      </c>
    </row>
    <row r="37" spans="1:1">
      <c r="A37" s="2" t="s">
        <v>1297</v>
      </c>
    </row>
    <row r="38" spans="1:1">
      <c r="A38" s="2" t="s">
        <v>1298</v>
      </c>
    </row>
    <row r="39" spans="1:1">
      <c r="A39" s="2" t="s">
        <v>47</v>
      </c>
    </row>
    <row r="40" spans="1:1">
      <c r="A40" s="2" t="s">
        <v>34</v>
      </c>
    </row>
    <row r="41" spans="1:1">
      <c r="A41" s="2" t="s">
        <v>1305</v>
      </c>
    </row>
    <row r="42" spans="1:1">
      <c r="A42" s="2" t="s">
        <v>1299</v>
      </c>
    </row>
    <row r="43" spans="1:1">
      <c r="A43" s="2" t="s">
        <v>1300</v>
      </c>
    </row>
  </sheetData>
  <mergeCells count="2">
    <mergeCell ref="A13:I13"/>
    <mergeCell ref="A12:I12"/>
  </mergeCells>
  <pageMargins left="0.39370078740157483" right="0.39370078740157483" top="0.39370078740157483" bottom="0.39370078740157483" header="0.51181102362204722" footer="0.51181102362204722"/>
  <pageSetup paperSize="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5121" r:id="rId4">
          <objectPr defaultSize="0" autoPict="0" r:id="rId5">
            <anchor moveWithCells="1">
              <from>
                <xdr:col>0</xdr:col>
                <xdr:colOff>209550</xdr:colOff>
                <xdr:row>0</xdr:row>
                <xdr:rowOff>0</xdr:rowOff>
              </from>
              <to>
                <xdr:col>1</xdr:col>
                <xdr:colOff>514350</xdr:colOff>
                <xdr:row>5</xdr:row>
                <xdr:rowOff>85725</xdr:rowOff>
              </to>
            </anchor>
          </objectPr>
        </oleObject>
      </mc:Choice>
      <mc:Fallback>
        <oleObject progId="Word.Picture.8" shapeId="5121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P44"/>
  <sheetViews>
    <sheetView view="pageBreakPreview" topLeftCell="B3" zoomScale="75" zoomScaleNormal="75" workbookViewId="0">
      <selection activeCell="D25" sqref="D25"/>
    </sheetView>
  </sheetViews>
  <sheetFormatPr defaultRowHeight="12.75"/>
  <cols>
    <col min="1" max="1" width="8.5703125" hidden="1" customWidth="1"/>
    <col min="2" max="2" width="29.28515625" customWidth="1"/>
    <col min="3" max="14" width="12.7109375" bestFit="1" customWidth="1"/>
    <col min="15" max="15" width="50.28515625" customWidth="1"/>
    <col min="16" max="16" width="23.140625" customWidth="1"/>
    <col min="17" max="19" width="12.7109375" bestFit="1" customWidth="1"/>
    <col min="20" max="20" width="12.7109375" customWidth="1"/>
    <col min="21" max="21" width="12.7109375" bestFit="1" customWidth="1"/>
    <col min="22" max="23" width="12.7109375" customWidth="1"/>
    <col min="24" max="28" width="12.7109375" bestFit="1" customWidth="1"/>
    <col min="30" max="30" width="19.28515625" customWidth="1"/>
    <col min="31" max="42" width="12.7109375" bestFit="1" customWidth="1"/>
  </cols>
  <sheetData>
    <row r="1" spans="2:42">
      <c r="B1" s="2" t="str">
        <f>Factors!A1</f>
        <v>ENS BUDGET - YEAR 2002</v>
      </c>
    </row>
    <row r="2" spans="2:42" ht="22.15" customHeight="1">
      <c r="B2" s="111" t="s">
        <v>5</v>
      </c>
    </row>
    <row r="3" spans="2:42" ht="18">
      <c r="B3" s="219" t="s">
        <v>7</v>
      </c>
      <c r="P3" s="2">
        <v>2003</v>
      </c>
      <c r="Q3" s="2"/>
      <c r="R3" s="2"/>
      <c r="S3" s="2"/>
      <c r="U3" s="2"/>
      <c r="V3" s="2"/>
      <c r="W3" s="2"/>
      <c r="AD3" s="2">
        <v>2004</v>
      </c>
    </row>
    <row r="4" spans="2:42">
      <c r="P4" s="2"/>
      <c r="Q4" s="2"/>
      <c r="R4" s="2"/>
      <c r="S4" s="2"/>
      <c r="U4" s="2"/>
      <c r="V4" s="2"/>
      <c r="W4" s="2"/>
      <c r="AD4" s="2"/>
    </row>
    <row r="5" spans="2:42">
      <c r="P5" s="2"/>
      <c r="Q5" s="2"/>
      <c r="R5" s="2"/>
      <c r="S5" s="2"/>
      <c r="U5" s="2"/>
      <c r="V5" s="2"/>
      <c r="W5" s="2"/>
      <c r="AD5" s="2"/>
    </row>
    <row r="6" spans="2:42">
      <c r="B6" s="2" t="s">
        <v>45</v>
      </c>
      <c r="C6" s="16" t="s">
        <v>50</v>
      </c>
      <c r="D6" s="16" t="s">
        <v>51</v>
      </c>
      <c r="E6" s="16" t="s">
        <v>52</v>
      </c>
      <c r="F6" s="16" t="s">
        <v>53</v>
      </c>
      <c r="G6" s="16" t="s">
        <v>54</v>
      </c>
      <c r="H6" s="16" t="s">
        <v>55</v>
      </c>
      <c r="I6" s="16" t="s">
        <v>56</v>
      </c>
      <c r="J6" s="16" t="s">
        <v>57</v>
      </c>
      <c r="K6" s="16" t="s">
        <v>58</v>
      </c>
      <c r="L6" s="16" t="s">
        <v>59</v>
      </c>
      <c r="M6" s="16" t="s">
        <v>60</v>
      </c>
      <c r="N6" s="16" t="s">
        <v>61</v>
      </c>
      <c r="P6" s="1" t="s">
        <v>144</v>
      </c>
      <c r="Q6" s="16" t="s">
        <v>50</v>
      </c>
      <c r="R6" s="16" t="s">
        <v>51</v>
      </c>
      <c r="S6" s="16" t="s">
        <v>52</v>
      </c>
      <c r="T6" s="16" t="s">
        <v>53</v>
      </c>
      <c r="U6" s="16" t="s">
        <v>54</v>
      </c>
      <c r="V6" s="16" t="s">
        <v>55</v>
      </c>
      <c r="W6" s="16" t="s">
        <v>56</v>
      </c>
      <c r="X6" s="16" t="s">
        <v>57</v>
      </c>
      <c r="Y6" s="16" t="s">
        <v>58</v>
      </c>
      <c r="Z6" s="16" t="s">
        <v>59</v>
      </c>
      <c r="AA6" s="16" t="s">
        <v>60</v>
      </c>
      <c r="AB6" s="16" t="s">
        <v>61</v>
      </c>
      <c r="AD6" s="1" t="s">
        <v>144</v>
      </c>
      <c r="AE6" s="16" t="s">
        <v>50</v>
      </c>
      <c r="AF6" s="16" t="s">
        <v>51</v>
      </c>
      <c r="AG6" s="16" t="s">
        <v>52</v>
      </c>
      <c r="AH6" s="16" t="s">
        <v>53</v>
      </c>
      <c r="AI6" s="16" t="s">
        <v>54</v>
      </c>
      <c r="AJ6" s="16" t="s">
        <v>55</v>
      </c>
      <c r="AK6" s="16" t="s">
        <v>56</v>
      </c>
      <c r="AL6" s="16" t="s">
        <v>57</v>
      </c>
      <c r="AM6" s="16" t="s">
        <v>58</v>
      </c>
      <c r="AN6" s="16" t="s">
        <v>59</v>
      </c>
      <c r="AO6" s="16" t="s">
        <v>60</v>
      </c>
      <c r="AP6" s="16" t="s">
        <v>61</v>
      </c>
    </row>
    <row r="7" spans="2:42">
      <c r="B7" s="1" t="s">
        <v>132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P7" s="1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D7" s="1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2:42">
      <c r="B8" t="s">
        <v>80</v>
      </c>
      <c r="C8">
        <v>31</v>
      </c>
      <c r="D8">
        <v>28</v>
      </c>
      <c r="E8">
        <v>31</v>
      </c>
      <c r="F8">
        <v>30</v>
      </c>
      <c r="G8">
        <v>31</v>
      </c>
      <c r="H8">
        <v>30</v>
      </c>
      <c r="I8">
        <v>31</v>
      </c>
      <c r="J8">
        <v>31</v>
      </c>
      <c r="K8">
        <v>30</v>
      </c>
      <c r="L8">
        <v>31</v>
      </c>
      <c r="M8">
        <v>30</v>
      </c>
      <c r="N8">
        <v>31</v>
      </c>
      <c r="O8">
        <f>SUM(C8:N8)</f>
        <v>365</v>
      </c>
      <c r="P8" t="s">
        <v>80</v>
      </c>
      <c r="Q8">
        <v>31</v>
      </c>
      <c r="R8">
        <v>28</v>
      </c>
      <c r="S8">
        <v>31</v>
      </c>
      <c r="T8">
        <v>30</v>
      </c>
      <c r="U8">
        <v>31</v>
      </c>
      <c r="V8">
        <v>30</v>
      </c>
      <c r="W8">
        <v>31</v>
      </c>
      <c r="X8">
        <v>31</v>
      </c>
      <c r="Y8">
        <v>30</v>
      </c>
      <c r="Z8">
        <v>31</v>
      </c>
      <c r="AA8">
        <v>30</v>
      </c>
      <c r="AB8">
        <v>31</v>
      </c>
      <c r="AD8" t="s">
        <v>80</v>
      </c>
      <c r="AE8">
        <v>31</v>
      </c>
      <c r="AF8">
        <v>28</v>
      </c>
      <c r="AG8">
        <v>31</v>
      </c>
      <c r="AH8">
        <v>30</v>
      </c>
      <c r="AI8">
        <v>31</v>
      </c>
      <c r="AJ8">
        <v>30</v>
      </c>
      <c r="AK8">
        <v>31</v>
      </c>
      <c r="AL8">
        <v>31</v>
      </c>
      <c r="AM8">
        <v>30</v>
      </c>
      <c r="AN8">
        <v>31</v>
      </c>
      <c r="AO8">
        <v>30</v>
      </c>
      <c r="AP8">
        <v>31</v>
      </c>
    </row>
    <row r="10" spans="2:42" s="9" customFormat="1">
      <c r="B10" s="9" t="s">
        <v>134</v>
      </c>
      <c r="C10" s="17">
        <v>106907110</v>
      </c>
      <c r="D10" s="17">
        <v>106907110</v>
      </c>
      <c r="E10" s="17">
        <v>106907110</v>
      </c>
      <c r="F10" s="17">
        <v>104453027</v>
      </c>
      <c r="G10" s="17">
        <v>104453027</v>
      </c>
      <c r="H10" s="17">
        <v>104453027</v>
      </c>
      <c r="I10" s="17">
        <v>104453027</v>
      </c>
      <c r="J10" s="17">
        <v>104453027</v>
      </c>
      <c r="K10" s="17">
        <v>104453027</v>
      </c>
      <c r="L10" s="17">
        <v>101900239</v>
      </c>
      <c r="M10" s="17">
        <v>101900239</v>
      </c>
      <c r="N10" s="17">
        <v>101900239</v>
      </c>
      <c r="P10" s="9" t="s">
        <v>134</v>
      </c>
      <c r="Q10" s="17">
        <v>101900239</v>
      </c>
      <c r="R10" s="17">
        <v>101900239</v>
      </c>
      <c r="S10" s="17">
        <v>101900239</v>
      </c>
      <c r="T10" s="17">
        <v>99244880</v>
      </c>
      <c r="U10" s="17">
        <v>99244880</v>
      </c>
      <c r="V10" s="17">
        <v>99244880</v>
      </c>
      <c r="W10" s="17">
        <v>99244880</v>
      </c>
      <c r="X10" s="17">
        <v>99244880</v>
      </c>
      <c r="Y10" s="17">
        <v>99244880</v>
      </c>
      <c r="Z10" s="17">
        <v>96482856</v>
      </c>
      <c r="AA10" s="17">
        <v>96482856</v>
      </c>
      <c r="AB10" s="17">
        <v>96482856</v>
      </c>
      <c r="AD10" s="9" t="s">
        <v>134</v>
      </c>
      <c r="AE10" s="17">
        <v>96482856</v>
      </c>
      <c r="AF10" s="17">
        <v>96482856</v>
      </c>
      <c r="AG10" s="17">
        <v>96482856</v>
      </c>
      <c r="AH10" s="17">
        <v>93609733</v>
      </c>
      <c r="AI10" s="17">
        <v>93609733</v>
      </c>
      <c r="AJ10" s="17">
        <v>93609733</v>
      </c>
      <c r="AK10" s="17">
        <v>93609733</v>
      </c>
      <c r="AL10" s="17">
        <v>93609733</v>
      </c>
      <c r="AM10" s="17">
        <v>93609733</v>
      </c>
      <c r="AN10" s="17">
        <v>90621189</v>
      </c>
      <c r="AO10" s="17">
        <v>90621189</v>
      </c>
      <c r="AP10" s="17">
        <v>90621189</v>
      </c>
    </row>
    <row r="12" spans="2:42">
      <c r="B12" t="s">
        <v>210</v>
      </c>
      <c r="C12" s="131">
        <v>6.2799999999999995E-2</v>
      </c>
      <c r="D12" s="38">
        <f>C12</f>
        <v>6.2799999999999995E-2</v>
      </c>
      <c r="E12" s="38">
        <f t="shared" ref="E12:N12" si="0">D12</f>
        <v>6.2799999999999995E-2</v>
      </c>
      <c r="F12" s="38">
        <f t="shared" si="0"/>
        <v>6.2799999999999995E-2</v>
      </c>
      <c r="G12" s="38">
        <f t="shared" si="0"/>
        <v>6.2799999999999995E-2</v>
      </c>
      <c r="H12" s="38">
        <f t="shared" si="0"/>
        <v>6.2799999999999995E-2</v>
      </c>
      <c r="I12" s="38">
        <f t="shared" si="0"/>
        <v>6.2799999999999995E-2</v>
      </c>
      <c r="J12" s="38">
        <f t="shared" si="0"/>
        <v>6.2799999999999995E-2</v>
      </c>
      <c r="K12" s="38">
        <f t="shared" si="0"/>
        <v>6.2799999999999995E-2</v>
      </c>
      <c r="L12" s="38">
        <f t="shared" si="0"/>
        <v>6.2799999999999995E-2</v>
      </c>
      <c r="M12" s="38">
        <f t="shared" si="0"/>
        <v>6.2799999999999995E-2</v>
      </c>
      <c r="N12" s="38">
        <f t="shared" si="0"/>
        <v>6.2799999999999995E-2</v>
      </c>
      <c r="P12" t="s">
        <v>210</v>
      </c>
      <c r="Q12" s="37">
        <v>6.2799999999999995E-2</v>
      </c>
      <c r="R12" s="38">
        <f>Q12</f>
        <v>6.2799999999999995E-2</v>
      </c>
      <c r="S12" s="38">
        <f t="shared" ref="S12:AB12" si="1">R12</f>
        <v>6.2799999999999995E-2</v>
      </c>
      <c r="T12" s="38">
        <f t="shared" si="1"/>
        <v>6.2799999999999995E-2</v>
      </c>
      <c r="U12" s="38">
        <f t="shared" si="1"/>
        <v>6.2799999999999995E-2</v>
      </c>
      <c r="V12" s="38">
        <f t="shared" si="1"/>
        <v>6.2799999999999995E-2</v>
      </c>
      <c r="W12" s="38">
        <f t="shared" si="1"/>
        <v>6.2799999999999995E-2</v>
      </c>
      <c r="X12" s="38">
        <f t="shared" si="1"/>
        <v>6.2799999999999995E-2</v>
      </c>
      <c r="Y12" s="38">
        <f t="shared" si="1"/>
        <v>6.2799999999999995E-2</v>
      </c>
      <c r="Z12" s="38">
        <f t="shared" si="1"/>
        <v>6.2799999999999995E-2</v>
      </c>
      <c r="AA12" s="38">
        <f t="shared" si="1"/>
        <v>6.2799999999999995E-2</v>
      </c>
      <c r="AB12" s="38">
        <f t="shared" si="1"/>
        <v>6.2799999999999995E-2</v>
      </c>
      <c r="AD12" t="s">
        <v>210</v>
      </c>
      <c r="AE12" s="37">
        <v>6.2799999999999995E-2</v>
      </c>
      <c r="AF12" s="38">
        <f>AE12</f>
        <v>6.2799999999999995E-2</v>
      </c>
      <c r="AG12" s="38">
        <f t="shared" ref="AG12:AP12" si="2">AF12</f>
        <v>6.2799999999999995E-2</v>
      </c>
      <c r="AH12" s="38">
        <f t="shared" si="2"/>
        <v>6.2799999999999995E-2</v>
      </c>
      <c r="AI12" s="38">
        <f t="shared" si="2"/>
        <v>6.2799999999999995E-2</v>
      </c>
      <c r="AJ12" s="38">
        <f t="shared" si="2"/>
        <v>6.2799999999999995E-2</v>
      </c>
      <c r="AK12" s="38">
        <f t="shared" si="2"/>
        <v>6.2799999999999995E-2</v>
      </c>
      <c r="AL12" s="38">
        <f t="shared" si="2"/>
        <v>6.2799999999999995E-2</v>
      </c>
      <c r="AM12" s="38">
        <f t="shared" si="2"/>
        <v>6.2799999999999995E-2</v>
      </c>
      <c r="AN12" s="38">
        <f t="shared" si="2"/>
        <v>6.2799999999999995E-2</v>
      </c>
      <c r="AO12" s="38">
        <f t="shared" si="2"/>
        <v>6.2799999999999995E-2</v>
      </c>
      <c r="AP12" s="38">
        <f t="shared" si="2"/>
        <v>6.2799999999999995E-2</v>
      </c>
    </row>
    <row r="13" spans="2:42">
      <c r="B13" t="s">
        <v>69</v>
      </c>
      <c r="C13" s="38">
        <f>Factors!C25</f>
        <v>2.5000000000000001E-2</v>
      </c>
      <c r="D13" s="38">
        <f>Factors!D25</f>
        <v>2.5000000000000001E-2</v>
      </c>
      <c r="E13" s="38">
        <f>Factors!E25</f>
        <v>2.5000000000000001E-2</v>
      </c>
      <c r="F13" s="38">
        <f>Factors!F25</f>
        <v>2.5000000000000001E-2</v>
      </c>
      <c r="G13" s="38">
        <f>Factors!G25</f>
        <v>2.5000000000000001E-2</v>
      </c>
      <c r="H13" s="38">
        <f>Factors!H25</f>
        <v>2.5000000000000001E-2</v>
      </c>
      <c r="I13" s="38">
        <f>Factors!I25</f>
        <v>2.5000000000000001E-2</v>
      </c>
      <c r="J13" s="38">
        <f>Factors!J25</f>
        <v>2.5000000000000001E-2</v>
      </c>
      <c r="K13" s="38">
        <f>Factors!K25</f>
        <v>2.5000000000000001E-2</v>
      </c>
      <c r="L13" s="38">
        <f>Factors!L25</f>
        <v>2.5000000000000001E-2</v>
      </c>
      <c r="M13" s="38">
        <f>Factors!M25</f>
        <v>2.5000000000000001E-2</v>
      </c>
      <c r="N13" s="38">
        <f>Factors!N25</f>
        <v>2.5000000000000001E-2</v>
      </c>
      <c r="P13" t="s">
        <v>69</v>
      </c>
      <c r="Q13" s="38">
        <f>Factors!R25</f>
        <v>2.5000000000000001E-2</v>
      </c>
      <c r="R13" s="38">
        <f>Factors!S25</f>
        <v>2.5000000000000001E-2</v>
      </c>
      <c r="S13" s="38">
        <f>Factors!T25</f>
        <v>2.5000000000000001E-2</v>
      </c>
      <c r="T13" s="38">
        <f>Factors!U25</f>
        <v>2.5000000000000001E-2</v>
      </c>
      <c r="U13" s="38">
        <f>Factors!V25</f>
        <v>2.5000000000000001E-2</v>
      </c>
      <c r="V13" s="38">
        <f>Factors!W25</f>
        <v>2.5000000000000001E-2</v>
      </c>
      <c r="W13" s="38">
        <f>Factors!X25</f>
        <v>2.5000000000000001E-2</v>
      </c>
      <c r="X13" s="38">
        <f>Factors!Y25</f>
        <v>2.5000000000000001E-2</v>
      </c>
      <c r="Y13" s="38">
        <f>Factors!Z25</f>
        <v>2.5000000000000001E-2</v>
      </c>
      <c r="Z13" s="38">
        <f>Factors!AA25</f>
        <v>2.5000000000000001E-2</v>
      </c>
      <c r="AA13" s="38">
        <f>Factors!AB25</f>
        <v>2.5000000000000001E-2</v>
      </c>
      <c r="AB13" s="38">
        <f>Factors!AC25</f>
        <v>2.5000000000000001E-2</v>
      </c>
      <c r="AD13" t="s">
        <v>69</v>
      </c>
      <c r="AE13" s="38">
        <f>Factors!AG25</f>
        <v>2.5000000000000001E-2</v>
      </c>
      <c r="AF13" s="38">
        <f>Factors!AH25</f>
        <v>2.5000000000000001E-2</v>
      </c>
      <c r="AG13" s="38">
        <f>Factors!AI25</f>
        <v>2.5000000000000001E-2</v>
      </c>
      <c r="AH13" s="38">
        <f>Factors!AJ25</f>
        <v>2.5000000000000001E-2</v>
      </c>
      <c r="AI13" s="38">
        <f>Factors!AK25</f>
        <v>2.5000000000000001E-2</v>
      </c>
      <c r="AJ13" s="38">
        <f>Factors!AL25</f>
        <v>2.5000000000000001E-2</v>
      </c>
      <c r="AK13" s="38">
        <f>Factors!AM25</f>
        <v>2.5000000000000001E-2</v>
      </c>
      <c r="AL13" s="38">
        <f>Factors!AN25</f>
        <v>2.5000000000000001E-2</v>
      </c>
      <c r="AM13" s="38">
        <f>Factors!AO25</f>
        <v>2.5000000000000001E-2</v>
      </c>
      <c r="AN13" s="38">
        <f>Factors!AP25</f>
        <v>2.5000000000000001E-2</v>
      </c>
      <c r="AO13" s="38">
        <f>Factors!AQ25</f>
        <v>2.5000000000000001E-2</v>
      </c>
      <c r="AP13" s="38">
        <f>Factors!AR25</f>
        <v>2.5000000000000001E-2</v>
      </c>
    </row>
    <row r="15" spans="2:42">
      <c r="B15" t="s">
        <v>135</v>
      </c>
      <c r="P15" t="s">
        <v>135</v>
      </c>
      <c r="AD15" t="s">
        <v>135</v>
      </c>
    </row>
    <row r="16" spans="2:42">
      <c r="B16" t="s">
        <v>136</v>
      </c>
      <c r="C16" s="3">
        <f>C10*C12/360*30*-1</f>
        <v>-559480.54233333329</v>
      </c>
      <c r="D16" s="3">
        <f t="shared" ref="D16:N16" si="3">D10*D12/360*30*-1</f>
        <v>-559480.54233333329</v>
      </c>
      <c r="E16" s="3">
        <f t="shared" si="3"/>
        <v>-559480.54233333329</v>
      </c>
      <c r="F16" s="3">
        <f t="shared" si="3"/>
        <v>-546637.5079666666</v>
      </c>
      <c r="G16" s="3">
        <f t="shared" si="3"/>
        <v>-546637.5079666666</v>
      </c>
      <c r="H16" s="3">
        <f t="shared" si="3"/>
        <v>-546637.5079666666</v>
      </c>
      <c r="I16" s="3">
        <f t="shared" si="3"/>
        <v>-546637.5079666666</v>
      </c>
      <c r="J16" s="3">
        <f t="shared" si="3"/>
        <v>-546637.5079666666</v>
      </c>
      <c r="K16" s="3">
        <f t="shared" si="3"/>
        <v>-546637.5079666666</v>
      </c>
      <c r="L16" s="3">
        <f t="shared" si="3"/>
        <v>-533277.91743333323</v>
      </c>
      <c r="M16" s="3">
        <f t="shared" si="3"/>
        <v>-533277.91743333323</v>
      </c>
      <c r="N16" s="3">
        <f t="shared" si="3"/>
        <v>-533277.91743333323</v>
      </c>
      <c r="P16" t="s">
        <v>136</v>
      </c>
      <c r="Q16" s="3">
        <f>Q10*Q12/360*30*-1</f>
        <v>-533277.91743333323</v>
      </c>
      <c r="R16" s="3">
        <f t="shared" ref="R16:AB16" si="4">R10*R12/360*30*-1</f>
        <v>-533277.91743333323</v>
      </c>
      <c r="S16" s="3">
        <f t="shared" si="4"/>
        <v>-533277.91743333323</v>
      </c>
      <c r="T16" s="3">
        <f t="shared" si="4"/>
        <v>-519381.53866666666</v>
      </c>
      <c r="U16" s="3">
        <f t="shared" si="4"/>
        <v>-519381.53866666666</v>
      </c>
      <c r="V16" s="3">
        <f t="shared" si="4"/>
        <v>-519381.53866666666</v>
      </c>
      <c r="W16" s="3">
        <f t="shared" si="4"/>
        <v>-519381.53866666666</v>
      </c>
      <c r="X16" s="3">
        <f t="shared" si="4"/>
        <v>-519381.53866666666</v>
      </c>
      <c r="Y16" s="3">
        <f t="shared" si="4"/>
        <v>-519381.53866666666</v>
      </c>
      <c r="Z16" s="3">
        <f t="shared" si="4"/>
        <v>-504926.9463999999</v>
      </c>
      <c r="AA16" s="3">
        <f t="shared" si="4"/>
        <v>-504926.9463999999</v>
      </c>
      <c r="AB16" s="3">
        <f t="shared" si="4"/>
        <v>-504926.9463999999</v>
      </c>
      <c r="AD16" t="s">
        <v>136</v>
      </c>
      <c r="AE16" s="3">
        <f>AE10*AE12/360*30*-1</f>
        <v>-504926.9463999999</v>
      </c>
      <c r="AF16" s="3">
        <f t="shared" ref="AF16:AP16" si="5">AF10*AF12/360*30*-1</f>
        <v>-504926.9463999999</v>
      </c>
      <c r="AG16" s="3">
        <f t="shared" si="5"/>
        <v>-504926.9463999999</v>
      </c>
      <c r="AH16" s="3">
        <f t="shared" si="5"/>
        <v>-489890.93603333324</v>
      </c>
      <c r="AI16" s="3">
        <f t="shared" si="5"/>
        <v>-489890.93603333324</v>
      </c>
      <c r="AJ16" s="3">
        <f t="shared" si="5"/>
        <v>-489890.93603333324</v>
      </c>
      <c r="AK16" s="3">
        <f t="shared" si="5"/>
        <v>-489890.93603333324</v>
      </c>
      <c r="AL16" s="3">
        <f t="shared" si="5"/>
        <v>-489890.93603333324</v>
      </c>
      <c r="AM16" s="3">
        <f t="shared" si="5"/>
        <v>-489890.93603333324</v>
      </c>
      <c r="AN16" s="3">
        <f t="shared" si="5"/>
        <v>-474250.88909999997</v>
      </c>
      <c r="AO16" s="3">
        <f t="shared" si="5"/>
        <v>-474250.88909999997</v>
      </c>
      <c r="AP16" s="3">
        <f t="shared" si="5"/>
        <v>-474250.88909999997</v>
      </c>
    </row>
    <row r="17" spans="1:42">
      <c r="B17" t="s">
        <v>137</v>
      </c>
      <c r="C17" s="3">
        <f>C10*C13*C8/360</f>
        <v>230147.25069444443</v>
      </c>
      <c r="D17" s="3">
        <f t="shared" ref="D17:N17" si="6">D10*D13*D8/360</f>
        <v>207874.93611111111</v>
      </c>
      <c r="E17" s="3">
        <f t="shared" si="6"/>
        <v>230147.25069444443</v>
      </c>
      <c r="F17" s="3">
        <f t="shared" si="6"/>
        <v>217610.47291666671</v>
      </c>
      <c r="G17" s="3">
        <f t="shared" si="6"/>
        <v>224864.15534722226</v>
      </c>
      <c r="H17" s="3">
        <f t="shared" si="6"/>
        <v>217610.47291666671</v>
      </c>
      <c r="I17" s="3">
        <f t="shared" si="6"/>
        <v>224864.15534722226</v>
      </c>
      <c r="J17" s="3">
        <f t="shared" si="6"/>
        <v>224864.15534722226</v>
      </c>
      <c r="K17" s="3">
        <f t="shared" si="6"/>
        <v>217610.47291666671</v>
      </c>
      <c r="L17" s="3">
        <f t="shared" si="6"/>
        <v>219368.57006944448</v>
      </c>
      <c r="M17" s="3">
        <f t="shared" si="6"/>
        <v>212292.16458333333</v>
      </c>
      <c r="N17" s="3">
        <f t="shared" si="6"/>
        <v>219368.57006944448</v>
      </c>
      <c r="P17" t="s">
        <v>137</v>
      </c>
      <c r="Q17" s="3">
        <f>Q10*Q13*Q8/360</f>
        <v>219368.57006944448</v>
      </c>
      <c r="R17" s="3">
        <f t="shared" ref="R17:AB17" si="7">R10*R13*R8/360</f>
        <v>198139.35361111112</v>
      </c>
      <c r="S17" s="3">
        <f t="shared" si="7"/>
        <v>219368.57006944448</v>
      </c>
      <c r="T17" s="3">
        <f t="shared" si="7"/>
        <v>206760.16666666666</v>
      </c>
      <c r="U17" s="3">
        <f t="shared" si="7"/>
        <v>213652.17222222223</v>
      </c>
      <c r="V17" s="3">
        <f t="shared" si="7"/>
        <v>206760.16666666666</v>
      </c>
      <c r="W17" s="3">
        <f t="shared" si="7"/>
        <v>213652.17222222223</v>
      </c>
      <c r="X17" s="3">
        <f t="shared" si="7"/>
        <v>213652.17222222223</v>
      </c>
      <c r="Y17" s="3">
        <f t="shared" si="7"/>
        <v>206760.16666666666</v>
      </c>
      <c r="Z17" s="3">
        <f t="shared" si="7"/>
        <v>207706.14833333332</v>
      </c>
      <c r="AA17" s="3">
        <f t="shared" si="7"/>
        <v>201005.95</v>
      </c>
      <c r="AB17" s="3">
        <f t="shared" si="7"/>
        <v>207706.14833333332</v>
      </c>
      <c r="AD17" t="s">
        <v>137</v>
      </c>
      <c r="AE17" s="3">
        <f>AE10*AE13*AE8/360</f>
        <v>207706.14833333332</v>
      </c>
      <c r="AF17" s="3">
        <f t="shared" ref="AF17:AP17" si="8">AF10*AF13*AF8/360</f>
        <v>187605.55333333334</v>
      </c>
      <c r="AG17" s="3">
        <f t="shared" si="8"/>
        <v>207706.14833333332</v>
      </c>
      <c r="AH17" s="3">
        <f t="shared" si="8"/>
        <v>195020.27708333332</v>
      </c>
      <c r="AI17" s="3">
        <f t="shared" si="8"/>
        <v>201520.95298611111</v>
      </c>
      <c r="AJ17" s="3">
        <f t="shared" si="8"/>
        <v>195020.27708333332</v>
      </c>
      <c r="AK17" s="3">
        <f t="shared" si="8"/>
        <v>201520.95298611111</v>
      </c>
      <c r="AL17" s="3">
        <f t="shared" si="8"/>
        <v>201520.95298611111</v>
      </c>
      <c r="AM17" s="3">
        <f t="shared" si="8"/>
        <v>195020.27708333332</v>
      </c>
      <c r="AN17" s="3">
        <f t="shared" si="8"/>
        <v>195087.28187500002</v>
      </c>
      <c r="AO17" s="3">
        <f t="shared" si="8"/>
        <v>188794.14374999999</v>
      </c>
      <c r="AP17" s="3">
        <f t="shared" si="8"/>
        <v>195087.28187500002</v>
      </c>
    </row>
    <row r="18" spans="1:4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3.5" thickBot="1">
      <c r="B19" s="133" t="s">
        <v>140</v>
      </c>
      <c r="C19" s="10">
        <f>SUM(C16:C18)</f>
        <v>-329333.29163888888</v>
      </c>
      <c r="D19" s="10">
        <f t="shared" ref="D19:N19" si="9">SUM(D16:D18)</f>
        <v>-351605.60622222221</v>
      </c>
      <c r="E19" s="10">
        <f t="shared" si="9"/>
        <v>-329333.29163888888</v>
      </c>
      <c r="F19" s="10">
        <f t="shared" si="9"/>
        <v>-329027.03504999989</v>
      </c>
      <c r="G19" s="10">
        <f t="shared" si="9"/>
        <v>-321773.35261944437</v>
      </c>
      <c r="H19" s="10">
        <f t="shared" si="9"/>
        <v>-329027.03504999989</v>
      </c>
      <c r="I19" s="10">
        <f t="shared" si="9"/>
        <v>-321773.35261944437</v>
      </c>
      <c r="J19" s="10">
        <f t="shared" si="9"/>
        <v>-321773.35261944437</v>
      </c>
      <c r="K19" s="10">
        <f t="shared" si="9"/>
        <v>-329027.03504999989</v>
      </c>
      <c r="L19" s="10">
        <f t="shared" si="9"/>
        <v>-313909.34736388875</v>
      </c>
      <c r="M19" s="10">
        <f t="shared" si="9"/>
        <v>-320985.75284999993</v>
      </c>
      <c r="N19" s="10">
        <f t="shared" si="9"/>
        <v>-313909.34736388875</v>
      </c>
      <c r="P19" t="s">
        <v>140</v>
      </c>
      <c r="Q19" s="3">
        <f t="shared" ref="Q19:AB19" si="10">SUM(Q16:Q18)</f>
        <v>-313909.34736388875</v>
      </c>
      <c r="R19" s="3">
        <f t="shared" si="10"/>
        <v>-335138.56382222212</v>
      </c>
      <c r="S19" s="3">
        <f t="shared" si="10"/>
        <v>-313909.34736388875</v>
      </c>
      <c r="T19" s="3">
        <f t="shared" si="10"/>
        <v>-312621.37199999997</v>
      </c>
      <c r="U19" s="3">
        <f t="shared" si="10"/>
        <v>-305729.3664444444</v>
      </c>
      <c r="V19" s="3">
        <f t="shared" si="10"/>
        <v>-312621.37199999997</v>
      </c>
      <c r="W19" s="3">
        <f t="shared" si="10"/>
        <v>-305729.3664444444</v>
      </c>
      <c r="X19" s="3">
        <f t="shared" si="10"/>
        <v>-305729.3664444444</v>
      </c>
      <c r="Y19" s="3">
        <f t="shared" si="10"/>
        <v>-312621.37199999997</v>
      </c>
      <c r="Z19" s="3">
        <f t="shared" si="10"/>
        <v>-297220.79806666658</v>
      </c>
      <c r="AA19" s="3">
        <f t="shared" si="10"/>
        <v>-303920.99639999989</v>
      </c>
      <c r="AB19" s="3">
        <f t="shared" si="10"/>
        <v>-297220.79806666658</v>
      </c>
      <c r="AD19" t="s">
        <v>140</v>
      </c>
      <c r="AE19" s="3">
        <f t="shared" ref="AE19:AP19" si="11">SUM(AE16:AE18)</f>
        <v>-297220.79806666658</v>
      </c>
      <c r="AF19" s="3">
        <f t="shared" si="11"/>
        <v>-317321.39306666655</v>
      </c>
      <c r="AG19" s="3">
        <f t="shared" si="11"/>
        <v>-297220.79806666658</v>
      </c>
      <c r="AH19" s="3">
        <f t="shared" si="11"/>
        <v>-294870.65894999995</v>
      </c>
      <c r="AI19" s="3">
        <f t="shared" si="11"/>
        <v>-288369.98304722214</v>
      </c>
      <c r="AJ19" s="3">
        <f t="shared" si="11"/>
        <v>-294870.65894999995</v>
      </c>
      <c r="AK19" s="3">
        <f t="shared" si="11"/>
        <v>-288369.98304722214</v>
      </c>
      <c r="AL19" s="3">
        <f t="shared" si="11"/>
        <v>-288369.98304722214</v>
      </c>
      <c r="AM19" s="3">
        <f t="shared" si="11"/>
        <v>-294870.65894999995</v>
      </c>
      <c r="AN19" s="3">
        <f t="shared" si="11"/>
        <v>-279163.60722499993</v>
      </c>
      <c r="AO19" s="3">
        <f t="shared" si="11"/>
        <v>-285456.74534999998</v>
      </c>
      <c r="AP19" s="3">
        <f t="shared" si="11"/>
        <v>-279163.60722499993</v>
      </c>
    </row>
    <row r="20" spans="1:42" ht="13.5" thickTop="1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>
      <c r="B21" t="s">
        <v>138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t="s">
        <v>138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D21" t="s">
        <v>138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>
      <c r="B22" t="s">
        <v>136</v>
      </c>
      <c r="C22" s="3"/>
      <c r="D22" s="3"/>
      <c r="E22" s="3">
        <f>SUM(C16:E16)-C28</f>
        <v>-3356883.2539999997</v>
      </c>
      <c r="F22" s="3"/>
      <c r="G22" s="3"/>
      <c r="H22" s="3"/>
      <c r="I22" s="3"/>
      <c r="J22" s="3"/>
      <c r="K22" s="3">
        <f>SUM(F16:K16)</f>
        <v>-3279825.0477999994</v>
      </c>
      <c r="L22" s="3"/>
      <c r="M22" s="3"/>
      <c r="N22" s="3"/>
      <c r="P22" t="s">
        <v>136</v>
      </c>
      <c r="Q22" s="3"/>
      <c r="R22" s="3"/>
      <c r="S22" s="3">
        <f>SUM(Q16:S16)-Q28</f>
        <v>-3199667.5045999996</v>
      </c>
      <c r="T22" s="3"/>
      <c r="U22" s="3"/>
      <c r="V22" s="3"/>
      <c r="W22" s="3"/>
      <c r="X22" s="3"/>
      <c r="Y22" s="3">
        <f>SUM(T16:Y16)</f>
        <v>-3116289.2319999998</v>
      </c>
      <c r="Z22" s="3"/>
      <c r="AA22" s="3"/>
      <c r="AB22" s="3"/>
      <c r="AD22" t="s">
        <v>136</v>
      </c>
      <c r="AE22" s="3"/>
      <c r="AF22" s="3"/>
      <c r="AG22" s="3">
        <f>SUM(AE16:AG16)-AE28</f>
        <v>-3029561.6783999996</v>
      </c>
      <c r="AH22" s="3"/>
      <c r="AI22" s="3"/>
      <c r="AJ22" s="3"/>
      <c r="AK22" s="3"/>
      <c r="AL22" s="3"/>
      <c r="AM22" s="3">
        <f>SUM(AH16:AM16)</f>
        <v>-2939345.6161999996</v>
      </c>
      <c r="AN22" s="3"/>
      <c r="AO22" s="3"/>
      <c r="AP22" s="3"/>
    </row>
    <row r="23" spans="1:42">
      <c r="B23" t="s">
        <v>137</v>
      </c>
      <c r="C23" s="3">
        <f t="shared" ref="C23:N23" si="12">C17</f>
        <v>230147.25069444443</v>
      </c>
      <c r="D23" s="3">
        <f t="shared" si="12"/>
        <v>207874.93611111111</v>
      </c>
      <c r="E23" s="3">
        <f t="shared" si="12"/>
        <v>230147.25069444443</v>
      </c>
      <c r="F23" s="3">
        <f t="shared" si="12"/>
        <v>217610.47291666671</v>
      </c>
      <c r="G23" s="3">
        <f t="shared" si="12"/>
        <v>224864.15534722226</v>
      </c>
      <c r="H23" s="3">
        <f t="shared" si="12"/>
        <v>217610.47291666671</v>
      </c>
      <c r="I23" s="3">
        <f t="shared" si="12"/>
        <v>224864.15534722226</v>
      </c>
      <c r="J23" s="3">
        <f t="shared" si="12"/>
        <v>224864.15534722226</v>
      </c>
      <c r="K23" s="3">
        <f t="shared" si="12"/>
        <v>217610.47291666671</v>
      </c>
      <c r="L23" s="3">
        <f t="shared" si="12"/>
        <v>219368.57006944448</v>
      </c>
      <c r="M23" s="3">
        <f t="shared" si="12"/>
        <v>212292.16458333333</v>
      </c>
      <c r="N23" s="3">
        <f t="shared" si="12"/>
        <v>219368.57006944448</v>
      </c>
      <c r="P23" t="s">
        <v>137</v>
      </c>
      <c r="Q23" s="3">
        <f t="shared" ref="Q23:AB23" si="13">Q17</f>
        <v>219368.57006944448</v>
      </c>
      <c r="R23" s="3">
        <f t="shared" si="13"/>
        <v>198139.35361111112</v>
      </c>
      <c r="S23" s="3">
        <f t="shared" si="13"/>
        <v>219368.57006944448</v>
      </c>
      <c r="T23" s="3">
        <f t="shared" si="13"/>
        <v>206760.16666666666</v>
      </c>
      <c r="U23" s="3">
        <f t="shared" si="13"/>
        <v>213652.17222222223</v>
      </c>
      <c r="V23" s="3">
        <f t="shared" si="13"/>
        <v>206760.16666666666</v>
      </c>
      <c r="W23" s="3">
        <f t="shared" si="13"/>
        <v>213652.17222222223</v>
      </c>
      <c r="X23" s="3">
        <f t="shared" si="13"/>
        <v>213652.17222222223</v>
      </c>
      <c r="Y23" s="3">
        <f t="shared" si="13"/>
        <v>206760.16666666666</v>
      </c>
      <c r="Z23" s="3">
        <f t="shared" si="13"/>
        <v>207706.14833333332</v>
      </c>
      <c r="AA23" s="3">
        <f t="shared" si="13"/>
        <v>201005.95</v>
      </c>
      <c r="AB23" s="3">
        <f t="shared" si="13"/>
        <v>207706.14833333332</v>
      </c>
      <c r="AD23" t="s">
        <v>137</v>
      </c>
      <c r="AE23" s="3">
        <f t="shared" ref="AE23:AP23" si="14">AE17</f>
        <v>207706.14833333332</v>
      </c>
      <c r="AF23" s="3">
        <f t="shared" si="14"/>
        <v>187605.55333333334</v>
      </c>
      <c r="AG23" s="3">
        <f t="shared" si="14"/>
        <v>207706.14833333332</v>
      </c>
      <c r="AH23" s="3">
        <f t="shared" si="14"/>
        <v>195020.27708333332</v>
      </c>
      <c r="AI23" s="3">
        <f t="shared" si="14"/>
        <v>201520.95298611111</v>
      </c>
      <c r="AJ23" s="3">
        <f t="shared" si="14"/>
        <v>195020.27708333332</v>
      </c>
      <c r="AK23" s="3">
        <f t="shared" si="14"/>
        <v>201520.95298611111</v>
      </c>
      <c r="AL23" s="3">
        <f t="shared" si="14"/>
        <v>201520.95298611111</v>
      </c>
      <c r="AM23" s="3">
        <f t="shared" si="14"/>
        <v>195020.27708333332</v>
      </c>
      <c r="AN23" s="3">
        <f t="shared" si="14"/>
        <v>195087.28187500002</v>
      </c>
      <c r="AO23" s="3">
        <f t="shared" si="14"/>
        <v>188794.14374999999</v>
      </c>
      <c r="AP23" s="3">
        <f t="shared" si="14"/>
        <v>195087.28187500002</v>
      </c>
    </row>
    <row r="25" spans="1:42" ht="54.6" customHeight="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>
      <c r="B26" s="2" t="s">
        <v>43</v>
      </c>
      <c r="C26" s="16" t="s">
        <v>50</v>
      </c>
      <c r="D26" s="16" t="s">
        <v>51</v>
      </c>
      <c r="E26" s="16" t="s">
        <v>52</v>
      </c>
      <c r="F26" s="16" t="s">
        <v>53</v>
      </c>
      <c r="G26" s="16" t="s">
        <v>54</v>
      </c>
      <c r="H26" s="16" t="s">
        <v>55</v>
      </c>
      <c r="I26" s="16" t="s">
        <v>56</v>
      </c>
      <c r="J26" s="16" t="s">
        <v>57</v>
      </c>
      <c r="K26" s="16" t="s">
        <v>58</v>
      </c>
      <c r="L26" s="16" t="s">
        <v>59</v>
      </c>
      <c r="M26" s="16" t="s">
        <v>60</v>
      </c>
      <c r="N26" s="16" t="s">
        <v>61</v>
      </c>
      <c r="P26" t="s">
        <v>142</v>
      </c>
      <c r="Q26" s="16" t="s">
        <v>50</v>
      </c>
      <c r="R26" s="16" t="s">
        <v>51</v>
      </c>
      <c r="S26" s="16" t="s">
        <v>52</v>
      </c>
      <c r="T26" s="16" t="s">
        <v>53</v>
      </c>
      <c r="U26" s="16" t="s">
        <v>54</v>
      </c>
      <c r="V26" s="16" t="s">
        <v>55</v>
      </c>
      <c r="W26" s="16" t="s">
        <v>56</v>
      </c>
      <c r="X26" s="16" t="s">
        <v>57</v>
      </c>
      <c r="Y26" s="16" t="s">
        <v>58</v>
      </c>
      <c r="Z26" s="16" t="s">
        <v>59</v>
      </c>
      <c r="AA26" s="16" t="s">
        <v>60</v>
      </c>
      <c r="AB26" s="16" t="s">
        <v>61</v>
      </c>
      <c r="AD26" t="s">
        <v>142</v>
      </c>
      <c r="AE26" s="16" t="s">
        <v>50</v>
      </c>
      <c r="AF26" s="16" t="s">
        <v>51</v>
      </c>
      <c r="AG26" s="16" t="s">
        <v>52</v>
      </c>
      <c r="AH26" s="16" t="s">
        <v>53</v>
      </c>
      <c r="AI26" s="16" t="s">
        <v>54</v>
      </c>
      <c r="AJ26" s="16" t="s">
        <v>55</v>
      </c>
      <c r="AK26" s="16" t="s">
        <v>56</v>
      </c>
      <c r="AL26" s="16" t="s">
        <v>57</v>
      </c>
      <c r="AM26" s="16" t="s">
        <v>58</v>
      </c>
      <c r="AN26" s="16" t="s">
        <v>59</v>
      </c>
      <c r="AO26" s="16" t="s">
        <v>60</v>
      </c>
      <c r="AP26" s="16" t="s">
        <v>61</v>
      </c>
    </row>
    <row r="27" spans="1:42">
      <c r="B27" s="12" t="s">
        <v>44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12" t="s">
        <v>144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D27" s="12" t="s">
        <v>144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>
      <c r="B28" s="2" t="s">
        <v>139</v>
      </c>
      <c r="C28" s="7">
        <f>C16*-3</f>
        <v>1678441.6269999999</v>
      </c>
      <c r="D28" s="7">
        <f t="shared" ref="D28:N28" si="15">C33</f>
        <v>2237922.1693333331</v>
      </c>
      <c r="E28" s="7">
        <f t="shared" si="15"/>
        <v>2797402.7116666664</v>
      </c>
      <c r="F28" s="7">
        <f t="shared" si="15"/>
        <v>0</v>
      </c>
      <c r="G28" s="7">
        <f t="shared" si="15"/>
        <v>546637.5079666666</v>
      </c>
      <c r="H28" s="7">
        <f t="shared" si="15"/>
        <v>1093275.0159333332</v>
      </c>
      <c r="I28" s="7">
        <f t="shared" si="15"/>
        <v>1639912.5238999997</v>
      </c>
      <c r="J28" s="7">
        <f t="shared" si="15"/>
        <v>2186550.0318666664</v>
      </c>
      <c r="K28" s="7">
        <f t="shared" si="15"/>
        <v>2733187.5398333333</v>
      </c>
      <c r="L28" s="7">
        <f t="shared" si="15"/>
        <v>0</v>
      </c>
      <c r="M28" s="7">
        <f t="shared" si="15"/>
        <v>533277.91743333323</v>
      </c>
      <c r="N28" s="7">
        <f t="shared" si="15"/>
        <v>1066555.8348666665</v>
      </c>
      <c r="P28" s="2" t="s">
        <v>139</v>
      </c>
      <c r="Q28" s="7">
        <f>N33</f>
        <v>1599833.7522999998</v>
      </c>
      <c r="R28" s="7">
        <f t="shared" ref="R28:AB28" si="16">Q33</f>
        <v>2133111.6697333329</v>
      </c>
      <c r="S28" s="7">
        <f t="shared" si="16"/>
        <v>2666389.5871666661</v>
      </c>
      <c r="T28" s="7">
        <f t="shared" si="16"/>
        <v>0</v>
      </c>
      <c r="U28" s="7">
        <f t="shared" si="16"/>
        <v>519381.5386666666</v>
      </c>
      <c r="V28" s="7">
        <f t="shared" si="16"/>
        <v>1038763.0773333332</v>
      </c>
      <c r="W28" s="7">
        <f t="shared" si="16"/>
        <v>1558144.6159999999</v>
      </c>
      <c r="X28" s="7">
        <f t="shared" si="16"/>
        <v>2077526.1546666664</v>
      </c>
      <c r="Y28" s="7">
        <f t="shared" si="16"/>
        <v>2596907.6933333329</v>
      </c>
      <c r="Z28" s="7">
        <f t="shared" si="16"/>
        <v>0</v>
      </c>
      <c r="AA28" s="7">
        <f t="shared" si="16"/>
        <v>504926.9463999999</v>
      </c>
      <c r="AB28" s="7">
        <f t="shared" si="16"/>
        <v>1009853.8927999998</v>
      </c>
      <c r="AD28" s="2" t="s">
        <v>139</v>
      </c>
      <c r="AE28" s="7">
        <f>AB33</f>
        <v>1514780.8391999998</v>
      </c>
      <c r="AF28" s="7">
        <f t="shared" ref="AF28:AP28" si="17">AE33</f>
        <v>2019707.7855999996</v>
      </c>
      <c r="AG28" s="7">
        <f t="shared" si="17"/>
        <v>2524634.7319999994</v>
      </c>
      <c r="AH28" s="7">
        <f t="shared" si="17"/>
        <v>0</v>
      </c>
      <c r="AI28" s="7">
        <f t="shared" si="17"/>
        <v>489890.9360333333</v>
      </c>
      <c r="AJ28" s="7">
        <f t="shared" si="17"/>
        <v>979781.8720666666</v>
      </c>
      <c r="AK28" s="7">
        <f t="shared" si="17"/>
        <v>1469672.8080999998</v>
      </c>
      <c r="AL28" s="7">
        <f t="shared" si="17"/>
        <v>1959563.744133333</v>
      </c>
      <c r="AM28" s="7">
        <f t="shared" si="17"/>
        <v>2449454.6801666659</v>
      </c>
      <c r="AN28" s="7">
        <f t="shared" si="17"/>
        <v>0</v>
      </c>
      <c r="AO28" s="7">
        <f t="shared" si="17"/>
        <v>474250.88909999991</v>
      </c>
      <c r="AP28" s="7">
        <f t="shared" si="17"/>
        <v>948501.77819999983</v>
      </c>
    </row>
    <row r="29" spans="1:42">
      <c r="A29" s="63" t="s">
        <v>451</v>
      </c>
      <c r="B29" t="s">
        <v>141</v>
      </c>
      <c r="C29" s="3">
        <f>C19*-1</f>
        <v>329333.29163888888</v>
      </c>
      <c r="D29" s="3">
        <f t="shared" ref="D29:N29" si="18">D19*-1</f>
        <v>351605.60622222221</v>
      </c>
      <c r="E29" s="3">
        <f t="shared" si="18"/>
        <v>329333.29163888888</v>
      </c>
      <c r="F29" s="3">
        <f t="shared" si="18"/>
        <v>329027.03504999989</v>
      </c>
      <c r="G29" s="3">
        <f t="shared" si="18"/>
        <v>321773.35261944437</v>
      </c>
      <c r="H29" s="3">
        <f t="shared" si="18"/>
        <v>329027.03504999989</v>
      </c>
      <c r="I29" s="3">
        <f t="shared" si="18"/>
        <v>321773.35261944437</v>
      </c>
      <c r="J29" s="3">
        <f t="shared" si="18"/>
        <v>321773.35261944437</v>
      </c>
      <c r="K29" s="3">
        <f t="shared" si="18"/>
        <v>329027.03504999989</v>
      </c>
      <c r="L29" s="3">
        <f t="shared" si="18"/>
        <v>313909.34736388875</v>
      </c>
      <c r="M29" s="3">
        <f t="shared" si="18"/>
        <v>320985.75284999993</v>
      </c>
      <c r="N29" s="3">
        <f t="shared" si="18"/>
        <v>313909.34736388875</v>
      </c>
      <c r="P29" t="s">
        <v>141</v>
      </c>
      <c r="Q29" s="3">
        <f>Q19*-1</f>
        <v>313909.34736388875</v>
      </c>
      <c r="R29" s="3">
        <f t="shared" ref="R29:AB29" si="19">R19*-1</f>
        <v>335138.56382222212</v>
      </c>
      <c r="S29" s="3">
        <f t="shared" si="19"/>
        <v>313909.34736388875</v>
      </c>
      <c r="T29" s="3">
        <f t="shared" si="19"/>
        <v>312621.37199999997</v>
      </c>
      <c r="U29" s="3">
        <f t="shared" si="19"/>
        <v>305729.3664444444</v>
      </c>
      <c r="V29" s="3">
        <f t="shared" si="19"/>
        <v>312621.37199999997</v>
      </c>
      <c r="W29" s="3">
        <f t="shared" si="19"/>
        <v>305729.3664444444</v>
      </c>
      <c r="X29" s="3">
        <f t="shared" si="19"/>
        <v>305729.3664444444</v>
      </c>
      <c r="Y29" s="3">
        <f t="shared" si="19"/>
        <v>312621.37199999997</v>
      </c>
      <c r="Z29" s="3">
        <f t="shared" si="19"/>
        <v>297220.79806666658</v>
      </c>
      <c r="AA29" s="3">
        <f t="shared" si="19"/>
        <v>303920.99639999989</v>
      </c>
      <c r="AB29" s="3">
        <f t="shared" si="19"/>
        <v>297220.79806666658</v>
      </c>
      <c r="AD29" t="s">
        <v>141</v>
      </c>
      <c r="AE29" s="3">
        <f>AE19*-1</f>
        <v>297220.79806666658</v>
      </c>
      <c r="AF29" s="3">
        <f t="shared" ref="AF29:AP29" si="20">AF19*-1</f>
        <v>317321.39306666655</v>
      </c>
      <c r="AG29" s="3">
        <f t="shared" si="20"/>
        <v>297220.79806666658</v>
      </c>
      <c r="AH29" s="3">
        <f t="shared" si="20"/>
        <v>294870.65894999995</v>
      </c>
      <c r="AI29" s="3">
        <f t="shared" si="20"/>
        <v>288369.98304722214</v>
      </c>
      <c r="AJ29" s="3">
        <f t="shared" si="20"/>
        <v>294870.65894999995</v>
      </c>
      <c r="AK29" s="3">
        <f t="shared" si="20"/>
        <v>288369.98304722214</v>
      </c>
      <c r="AL29" s="3">
        <f t="shared" si="20"/>
        <v>288369.98304722214</v>
      </c>
      <c r="AM29" s="3">
        <f t="shared" si="20"/>
        <v>294870.65894999995</v>
      </c>
      <c r="AN29" s="3">
        <f t="shared" si="20"/>
        <v>279163.60722499993</v>
      </c>
      <c r="AO29" s="3">
        <f t="shared" si="20"/>
        <v>285456.74534999998</v>
      </c>
      <c r="AP29" s="3">
        <f t="shared" si="20"/>
        <v>279163.60722499993</v>
      </c>
    </row>
    <row r="30" spans="1:42">
      <c r="B30" t="s">
        <v>137</v>
      </c>
      <c r="C30" s="3">
        <f>C23</f>
        <v>230147.25069444443</v>
      </c>
      <c r="D30" s="3">
        <f t="shared" ref="D30:N30" si="21">D23</f>
        <v>207874.93611111111</v>
      </c>
      <c r="E30" s="3">
        <f t="shared" si="21"/>
        <v>230147.25069444443</v>
      </c>
      <c r="F30" s="3">
        <f t="shared" si="21"/>
        <v>217610.47291666671</v>
      </c>
      <c r="G30" s="3">
        <f t="shared" si="21"/>
        <v>224864.15534722226</v>
      </c>
      <c r="H30" s="3">
        <f t="shared" si="21"/>
        <v>217610.47291666671</v>
      </c>
      <c r="I30" s="3">
        <f t="shared" si="21"/>
        <v>224864.15534722226</v>
      </c>
      <c r="J30" s="3">
        <f t="shared" si="21"/>
        <v>224864.15534722226</v>
      </c>
      <c r="K30" s="3">
        <f t="shared" si="21"/>
        <v>217610.47291666671</v>
      </c>
      <c r="L30" s="3">
        <f t="shared" si="21"/>
        <v>219368.57006944448</v>
      </c>
      <c r="M30" s="3">
        <f t="shared" si="21"/>
        <v>212292.16458333333</v>
      </c>
      <c r="N30" s="3">
        <f t="shared" si="21"/>
        <v>219368.57006944448</v>
      </c>
      <c r="P30" t="s">
        <v>137</v>
      </c>
      <c r="Q30" s="3">
        <f>Q23</f>
        <v>219368.57006944448</v>
      </c>
      <c r="R30" s="3">
        <f t="shared" ref="R30:AB30" si="22">R23</f>
        <v>198139.35361111112</v>
      </c>
      <c r="S30" s="3">
        <f t="shared" si="22"/>
        <v>219368.57006944448</v>
      </c>
      <c r="T30" s="3">
        <f t="shared" si="22"/>
        <v>206760.16666666666</v>
      </c>
      <c r="U30" s="3">
        <f t="shared" si="22"/>
        <v>213652.17222222223</v>
      </c>
      <c r="V30" s="3">
        <f t="shared" si="22"/>
        <v>206760.16666666666</v>
      </c>
      <c r="W30" s="3">
        <f t="shared" si="22"/>
        <v>213652.17222222223</v>
      </c>
      <c r="X30" s="3">
        <f t="shared" si="22"/>
        <v>213652.17222222223</v>
      </c>
      <c r="Y30" s="3">
        <f t="shared" si="22"/>
        <v>206760.16666666666</v>
      </c>
      <c r="Z30" s="3">
        <f t="shared" si="22"/>
        <v>207706.14833333332</v>
      </c>
      <c r="AA30" s="3">
        <f t="shared" si="22"/>
        <v>201005.95</v>
      </c>
      <c r="AB30" s="3">
        <f t="shared" si="22"/>
        <v>207706.14833333332</v>
      </c>
      <c r="AD30" t="s">
        <v>137</v>
      </c>
      <c r="AE30" s="3">
        <f>AE23</f>
        <v>207706.14833333332</v>
      </c>
      <c r="AF30" s="3">
        <f t="shared" ref="AF30:AP30" si="23">AF23</f>
        <v>187605.55333333334</v>
      </c>
      <c r="AG30" s="3">
        <f t="shared" si="23"/>
        <v>207706.14833333332</v>
      </c>
      <c r="AH30" s="3">
        <f t="shared" si="23"/>
        <v>195020.27708333332</v>
      </c>
      <c r="AI30" s="3">
        <f t="shared" si="23"/>
        <v>201520.95298611111</v>
      </c>
      <c r="AJ30" s="3">
        <f t="shared" si="23"/>
        <v>195020.27708333332</v>
      </c>
      <c r="AK30" s="3">
        <f t="shared" si="23"/>
        <v>201520.95298611111</v>
      </c>
      <c r="AL30" s="3">
        <f t="shared" si="23"/>
        <v>201520.95298611111</v>
      </c>
      <c r="AM30" s="3">
        <f t="shared" si="23"/>
        <v>195020.27708333332</v>
      </c>
      <c r="AN30" s="3">
        <f t="shared" si="23"/>
        <v>195087.28187500002</v>
      </c>
      <c r="AO30" s="3">
        <f t="shared" si="23"/>
        <v>188794.14374999999</v>
      </c>
      <c r="AP30" s="3">
        <f t="shared" si="23"/>
        <v>195087.28187500002</v>
      </c>
    </row>
    <row r="31" spans="1:42">
      <c r="B31" t="s">
        <v>136</v>
      </c>
      <c r="C31" s="3">
        <f>C22</f>
        <v>0</v>
      </c>
      <c r="D31" s="3">
        <f t="shared" ref="D31:N31" si="24">D22</f>
        <v>0</v>
      </c>
      <c r="E31" s="3">
        <f t="shared" si="24"/>
        <v>-3356883.2539999997</v>
      </c>
      <c r="F31" s="3">
        <f t="shared" si="24"/>
        <v>0</v>
      </c>
      <c r="G31" s="3">
        <f t="shared" si="24"/>
        <v>0</v>
      </c>
      <c r="H31" s="3">
        <f t="shared" si="24"/>
        <v>0</v>
      </c>
      <c r="I31" s="3">
        <f t="shared" si="24"/>
        <v>0</v>
      </c>
      <c r="J31" s="3">
        <f t="shared" si="24"/>
        <v>0</v>
      </c>
      <c r="K31" s="3">
        <f t="shared" si="24"/>
        <v>-3279825.0477999994</v>
      </c>
      <c r="L31" s="3">
        <f t="shared" si="24"/>
        <v>0</v>
      </c>
      <c r="M31" s="3">
        <f t="shared" si="24"/>
        <v>0</v>
      </c>
      <c r="N31" s="3">
        <f t="shared" si="24"/>
        <v>0</v>
      </c>
      <c r="P31" t="s">
        <v>136</v>
      </c>
      <c r="Q31" s="3">
        <f>Q22</f>
        <v>0</v>
      </c>
      <c r="R31" s="3">
        <f t="shared" ref="R31:AB31" si="25">R22</f>
        <v>0</v>
      </c>
      <c r="S31" s="3">
        <f t="shared" si="25"/>
        <v>-3199667.5045999996</v>
      </c>
      <c r="T31" s="3">
        <f t="shared" si="25"/>
        <v>0</v>
      </c>
      <c r="U31" s="3">
        <f t="shared" si="25"/>
        <v>0</v>
      </c>
      <c r="V31" s="3">
        <f t="shared" si="25"/>
        <v>0</v>
      </c>
      <c r="W31" s="3">
        <f t="shared" si="25"/>
        <v>0</v>
      </c>
      <c r="X31" s="3">
        <f t="shared" si="25"/>
        <v>0</v>
      </c>
      <c r="Y31" s="3">
        <f t="shared" si="25"/>
        <v>-3116289.2319999998</v>
      </c>
      <c r="Z31" s="3">
        <f t="shared" si="25"/>
        <v>0</v>
      </c>
      <c r="AA31" s="3">
        <f t="shared" si="25"/>
        <v>0</v>
      </c>
      <c r="AB31" s="3">
        <f t="shared" si="25"/>
        <v>0</v>
      </c>
      <c r="AD31" t="s">
        <v>136</v>
      </c>
      <c r="AE31" s="3">
        <f>AE22</f>
        <v>0</v>
      </c>
      <c r="AF31" s="3">
        <f t="shared" ref="AF31:AP31" si="26">AF22</f>
        <v>0</v>
      </c>
      <c r="AG31" s="3">
        <f t="shared" si="26"/>
        <v>-3029561.6783999996</v>
      </c>
      <c r="AH31" s="3">
        <f t="shared" si="26"/>
        <v>0</v>
      </c>
      <c r="AI31" s="3">
        <f t="shared" si="26"/>
        <v>0</v>
      </c>
      <c r="AJ31" s="3">
        <f t="shared" si="26"/>
        <v>0</v>
      </c>
      <c r="AK31" s="3">
        <f t="shared" si="26"/>
        <v>0</v>
      </c>
      <c r="AL31" s="3">
        <f t="shared" si="26"/>
        <v>0</v>
      </c>
      <c r="AM31" s="3">
        <f t="shared" si="26"/>
        <v>-2939345.6161999996</v>
      </c>
      <c r="AN31" s="3">
        <f t="shared" si="26"/>
        <v>0</v>
      </c>
      <c r="AO31" s="3">
        <f t="shared" si="26"/>
        <v>0</v>
      </c>
      <c r="AP31" s="3">
        <f t="shared" si="26"/>
        <v>0</v>
      </c>
    </row>
    <row r="32" spans="1:42">
      <c r="B32" t="s">
        <v>145</v>
      </c>
      <c r="C32" s="3">
        <f>C33-SUM(C28:C31)</f>
        <v>0</v>
      </c>
      <c r="D32" s="3">
        <f t="shared" ref="D32:N32" si="27">D33-SUM(D28:D31)</f>
        <v>0</v>
      </c>
      <c r="E32" s="3">
        <f t="shared" si="27"/>
        <v>0</v>
      </c>
      <c r="F32" s="3">
        <f t="shared" si="27"/>
        <v>0</v>
      </c>
      <c r="G32" s="3">
        <f t="shared" si="27"/>
        <v>0</v>
      </c>
      <c r="H32" s="3">
        <f t="shared" si="27"/>
        <v>0</v>
      </c>
      <c r="I32" s="3">
        <f t="shared" si="27"/>
        <v>0</v>
      </c>
      <c r="J32" s="3">
        <f t="shared" si="27"/>
        <v>0</v>
      </c>
      <c r="K32" s="3">
        <f t="shared" si="27"/>
        <v>0</v>
      </c>
      <c r="L32" s="3">
        <f t="shared" si="27"/>
        <v>0</v>
      </c>
      <c r="M32" s="3">
        <f t="shared" si="27"/>
        <v>0</v>
      </c>
      <c r="N32" s="3">
        <f t="shared" si="27"/>
        <v>0</v>
      </c>
      <c r="P32" t="s">
        <v>145</v>
      </c>
      <c r="Q32" s="3">
        <f t="shared" ref="Q32:AB32" si="28">Q33-SUM(Q28:Q31)</f>
        <v>0</v>
      </c>
      <c r="R32" s="3">
        <f t="shared" si="28"/>
        <v>0</v>
      </c>
      <c r="S32" s="3">
        <f t="shared" si="28"/>
        <v>0</v>
      </c>
      <c r="T32" s="3">
        <f t="shared" si="28"/>
        <v>0</v>
      </c>
      <c r="U32" s="3">
        <f t="shared" si="28"/>
        <v>0</v>
      </c>
      <c r="V32" s="3">
        <f t="shared" si="28"/>
        <v>0</v>
      </c>
      <c r="W32" s="3">
        <f t="shared" si="28"/>
        <v>0</v>
      </c>
      <c r="X32" s="3">
        <f t="shared" si="28"/>
        <v>0</v>
      </c>
      <c r="Y32" s="3">
        <f t="shared" si="28"/>
        <v>0</v>
      </c>
      <c r="Z32" s="3">
        <f t="shared" si="28"/>
        <v>0</v>
      </c>
      <c r="AA32" s="3">
        <f t="shared" si="28"/>
        <v>0</v>
      </c>
      <c r="AB32" s="3">
        <f t="shared" si="28"/>
        <v>0</v>
      </c>
      <c r="AD32" t="s">
        <v>145</v>
      </c>
      <c r="AE32" s="3">
        <f t="shared" ref="AE32:AP32" si="29">AE33-SUM(AE28:AE31)</f>
        <v>0</v>
      </c>
      <c r="AF32" s="3">
        <f t="shared" si="29"/>
        <v>0</v>
      </c>
      <c r="AG32" s="3">
        <f t="shared" si="29"/>
        <v>0</v>
      </c>
      <c r="AH32" s="3">
        <f t="shared" si="29"/>
        <v>0</v>
      </c>
      <c r="AI32" s="3">
        <f t="shared" si="29"/>
        <v>0</v>
      </c>
      <c r="AJ32" s="3">
        <f t="shared" si="29"/>
        <v>0</v>
      </c>
      <c r="AK32" s="3">
        <f t="shared" si="29"/>
        <v>0</v>
      </c>
      <c r="AL32" s="3">
        <f t="shared" si="29"/>
        <v>0</v>
      </c>
      <c r="AM32" s="3">
        <f t="shared" si="29"/>
        <v>0</v>
      </c>
      <c r="AN32" s="3">
        <f t="shared" si="29"/>
        <v>0</v>
      </c>
      <c r="AO32" s="3">
        <f t="shared" si="29"/>
        <v>0</v>
      </c>
      <c r="AP32" s="3">
        <f t="shared" si="29"/>
        <v>0</v>
      </c>
    </row>
    <row r="33" spans="2:42" ht="13.5" thickBot="1">
      <c r="B33" s="2" t="s">
        <v>143</v>
      </c>
      <c r="C33" s="10">
        <f>SUM(C28:C31)</f>
        <v>2237922.1693333331</v>
      </c>
      <c r="D33" s="10">
        <f t="shared" ref="D33:N33" si="30">SUM(D28:D31)</f>
        <v>2797402.7116666664</v>
      </c>
      <c r="E33" s="10">
        <f t="shared" si="30"/>
        <v>0</v>
      </c>
      <c r="F33" s="10">
        <f t="shared" si="30"/>
        <v>546637.5079666666</v>
      </c>
      <c r="G33" s="10">
        <f t="shared" si="30"/>
        <v>1093275.0159333332</v>
      </c>
      <c r="H33" s="10">
        <f t="shared" si="30"/>
        <v>1639912.5238999997</v>
      </c>
      <c r="I33" s="10">
        <f t="shared" si="30"/>
        <v>2186550.0318666664</v>
      </c>
      <c r="J33" s="10">
        <f t="shared" si="30"/>
        <v>2733187.5398333333</v>
      </c>
      <c r="K33" s="10">
        <f t="shared" si="30"/>
        <v>0</v>
      </c>
      <c r="L33" s="10">
        <f t="shared" si="30"/>
        <v>533277.91743333323</v>
      </c>
      <c r="M33" s="10">
        <f t="shared" si="30"/>
        <v>1066555.8348666665</v>
      </c>
      <c r="N33" s="10">
        <f t="shared" si="30"/>
        <v>1599833.7522999998</v>
      </c>
      <c r="P33" s="2" t="s">
        <v>143</v>
      </c>
      <c r="Q33" s="7">
        <f>SUM(Q28:Q31)</f>
        <v>2133111.6697333329</v>
      </c>
      <c r="R33" s="7">
        <f t="shared" ref="R33:AB33" si="31">SUM(R28:R31)</f>
        <v>2666389.5871666661</v>
      </c>
      <c r="S33" s="7">
        <f t="shared" si="31"/>
        <v>0</v>
      </c>
      <c r="T33" s="7">
        <f t="shared" si="31"/>
        <v>519381.5386666666</v>
      </c>
      <c r="U33" s="7">
        <f t="shared" si="31"/>
        <v>1038763.0773333332</v>
      </c>
      <c r="V33" s="7">
        <f t="shared" si="31"/>
        <v>1558144.6159999999</v>
      </c>
      <c r="W33" s="7">
        <f t="shared" si="31"/>
        <v>2077526.1546666664</v>
      </c>
      <c r="X33" s="7">
        <f t="shared" si="31"/>
        <v>2596907.6933333329</v>
      </c>
      <c r="Y33" s="7">
        <f t="shared" si="31"/>
        <v>0</v>
      </c>
      <c r="Z33" s="7">
        <f t="shared" si="31"/>
        <v>504926.9463999999</v>
      </c>
      <c r="AA33" s="7">
        <f t="shared" si="31"/>
        <v>1009853.8927999998</v>
      </c>
      <c r="AB33" s="7">
        <f t="shared" si="31"/>
        <v>1514780.8391999998</v>
      </c>
      <c r="AD33" s="2" t="s">
        <v>143</v>
      </c>
      <c r="AE33" s="7">
        <f>SUM(AE28:AE31)</f>
        <v>2019707.7855999996</v>
      </c>
      <c r="AF33" s="7">
        <f t="shared" ref="AF33:AP33" si="32">SUM(AF28:AF31)</f>
        <v>2524634.7319999994</v>
      </c>
      <c r="AG33" s="7">
        <f t="shared" si="32"/>
        <v>0</v>
      </c>
      <c r="AH33" s="7">
        <f t="shared" si="32"/>
        <v>489890.9360333333</v>
      </c>
      <c r="AI33" s="7">
        <f t="shared" si="32"/>
        <v>979781.8720666666</v>
      </c>
      <c r="AJ33" s="7">
        <f t="shared" si="32"/>
        <v>1469672.8080999998</v>
      </c>
      <c r="AK33" s="7">
        <f t="shared" si="32"/>
        <v>1959563.744133333</v>
      </c>
      <c r="AL33" s="7">
        <f t="shared" si="32"/>
        <v>2449454.6801666659</v>
      </c>
      <c r="AM33" s="7">
        <f t="shared" si="32"/>
        <v>0</v>
      </c>
      <c r="AN33" s="7">
        <f t="shared" si="32"/>
        <v>474250.88909999991</v>
      </c>
      <c r="AO33" s="7">
        <f t="shared" si="32"/>
        <v>948501.77819999983</v>
      </c>
      <c r="AP33" s="7">
        <f t="shared" si="32"/>
        <v>1422752.6672999999</v>
      </c>
    </row>
    <row r="34" spans="2:42" ht="13.5" thickTop="1"/>
    <row r="35" spans="2:42">
      <c r="B35" s="1" t="s">
        <v>129</v>
      </c>
      <c r="P35" s="1" t="s">
        <v>129</v>
      </c>
      <c r="AD35" s="1" t="s">
        <v>129</v>
      </c>
    </row>
    <row r="36" spans="2:42">
      <c r="B36" s="2" t="s">
        <v>139</v>
      </c>
      <c r="C36" s="7">
        <f>C28*Factors!B11</f>
        <v>7212935.0478697987</v>
      </c>
      <c r="D36" s="7">
        <f t="shared" ref="D36:N36" si="33">C41</f>
        <v>9630710.8759157564</v>
      </c>
      <c r="E36" s="7">
        <f t="shared" si="33"/>
        <v>12055218.776673058</v>
      </c>
      <c r="F36" s="7">
        <f t="shared" si="33"/>
        <v>0</v>
      </c>
      <c r="G36" s="7">
        <f t="shared" si="33"/>
        <v>2362275.098885675</v>
      </c>
      <c r="H36" s="7">
        <f t="shared" si="33"/>
        <v>4731127.7338462109</v>
      </c>
      <c r="I36" s="7">
        <f t="shared" si="33"/>
        <v>7106557.9048816068</v>
      </c>
      <c r="J36" s="7">
        <f t="shared" si="33"/>
        <v>9488565.6119918656</v>
      </c>
      <c r="K36" s="7">
        <f t="shared" si="33"/>
        <v>11877150.855176985</v>
      </c>
      <c r="L36" s="7">
        <f t="shared" si="33"/>
        <v>0</v>
      </c>
      <c r="M36" s="7">
        <f t="shared" si="33"/>
        <v>2323792.4416912994</v>
      </c>
      <c r="N36" s="7">
        <f t="shared" si="33"/>
        <v>4654001.6672452576</v>
      </c>
      <c r="P36" s="2" t="s">
        <v>139</v>
      </c>
      <c r="Q36" s="7">
        <f>N41</f>
        <v>6990627.6766618751</v>
      </c>
      <c r="R36" s="7">
        <f t="shared" ref="R36:AB36" si="34">Q41</f>
        <v>9320836.9022158328</v>
      </c>
      <c r="S36" s="7">
        <f t="shared" si="34"/>
        <v>11699592.153302165</v>
      </c>
      <c r="T36" s="7">
        <f t="shared" si="34"/>
        <v>0</v>
      </c>
      <c r="U36" s="7">
        <f t="shared" si="34"/>
        <v>2297856.255784228</v>
      </c>
      <c r="V36" s="7">
        <f t="shared" si="34"/>
        <v>4614624.9087354038</v>
      </c>
      <c r="W36" s="7">
        <f t="shared" si="34"/>
        <v>6950305.9588535288</v>
      </c>
      <c r="X36" s="7">
        <f t="shared" si="34"/>
        <v>9304899.4061386008</v>
      </c>
      <c r="Y36" s="7">
        <f t="shared" si="34"/>
        <v>11678405.250590622</v>
      </c>
      <c r="Z36" s="7">
        <f t="shared" si="34"/>
        <v>0</v>
      </c>
      <c r="AA36" s="7">
        <f t="shared" si="34"/>
        <v>2289064.1866154633</v>
      </c>
      <c r="AB36" s="7">
        <f t="shared" si="34"/>
        <v>4596514.430954745</v>
      </c>
      <c r="AD36" s="2" t="s">
        <v>139</v>
      </c>
      <c r="AE36" s="7">
        <f>AB41</f>
        <v>6922350.7330178469</v>
      </c>
      <c r="AF36" s="7">
        <f>AF28*Factors!AH11</f>
        <v>9343794.5352448057</v>
      </c>
      <c r="AG36" s="7">
        <f>AG28*Factors!AI11</f>
        <v>11728006.570581032</v>
      </c>
      <c r="AH36" s="7">
        <f>AH28*Factors!AJ11</f>
        <v>0</v>
      </c>
      <c r="AI36" s="7">
        <f>AI28*Factors!AK11</f>
        <v>2294483.0985417659</v>
      </c>
      <c r="AJ36" s="7">
        <f>AJ28*Factors!AL11</f>
        <v>4607696.671357342</v>
      </c>
      <c r="AK36" s="7">
        <f>AK28*Factors!AM11</f>
        <v>6939640.7184467278</v>
      </c>
      <c r="AL36" s="7">
        <f>AL28*Factors!AN11</f>
        <v>9290315.2398099247</v>
      </c>
      <c r="AM36" s="7">
        <f>AM28*Factors!AO11</f>
        <v>11659720.23544693</v>
      </c>
      <c r="AN36" s="7">
        <f>AN28*Factors!AP11</f>
        <v>0</v>
      </c>
      <c r="AO36" s="7">
        <f>AO28*Factors!AQ11</f>
        <v>2275627.8994828323</v>
      </c>
      <c r="AP36" s="7">
        <f>AP28*Factors!AR11</f>
        <v>4569388.2921886351</v>
      </c>
    </row>
    <row r="37" spans="2:42">
      <c r="B37" t="s">
        <v>141</v>
      </c>
      <c r="C37" s="3">
        <f>C29*Factors!C11</f>
        <v>1417258.2751314456</v>
      </c>
      <c r="D37" s="3">
        <f>D29*Factors!D11</f>
        <v>1515220.7039894802</v>
      </c>
      <c r="E37" s="3">
        <f>E29*Factors!E11</f>
        <v>1421221.0504164149</v>
      </c>
      <c r="F37" s="3">
        <f>F29*Factors!F11</f>
        <v>1421878.9607942435</v>
      </c>
      <c r="G37" s="3">
        <f>G29*Factors!G11</f>
        <v>1392468.3271856282</v>
      </c>
      <c r="H37" s="3">
        <f>H29*Factors!H11</f>
        <v>1425838.0509794306</v>
      </c>
      <c r="I37" s="3">
        <f>I29*Factors!I11</f>
        <v>1396340.1358411594</v>
      </c>
      <c r="J37" s="3">
        <f>J29*Factors!J11</f>
        <v>1398276.040168925</v>
      </c>
      <c r="K37" s="3">
        <f>K29*Factors!K11</f>
        <v>1431776.686257211</v>
      </c>
      <c r="L37" s="3">
        <f>L29*Factors!L11</f>
        <v>1367879.9457726383</v>
      </c>
      <c r="M37" s="3">
        <f>M29*Factors!M11</f>
        <v>1400646.9985817734</v>
      </c>
      <c r="N37" s="3">
        <f>N29*Factors!N11</f>
        <v>1371657.1290548509</v>
      </c>
      <c r="P37" t="s">
        <v>141</v>
      </c>
      <c r="Q37" s="3">
        <f>Q29*Factors!Q11</f>
        <v>1371657.1290548509</v>
      </c>
      <c r="R37" s="3">
        <f>R29*Factors!R11</f>
        <v>1470521.9861475332</v>
      </c>
      <c r="S37" s="3">
        <f>S29*Factors!S11</f>
        <v>1383087.6051303078</v>
      </c>
      <c r="T37" s="3">
        <f>T29*Factors!T11</f>
        <v>1383104.5616026085</v>
      </c>
      <c r="U37" s="3">
        <f>U29*Factors!U11</f>
        <v>1358179.1464404361</v>
      </c>
      <c r="V37" s="3">
        <f>V29*Factors!V11</f>
        <v>1394488.1382413132</v>
      </c>
      <c r="W37" s="3">
        <f>W29*Factors!W11</f>
        <v>1369311.7623948657</v>
      </c>
      <c r="X37" s="3">
        <f>X29*Factors!X11</f>
        <v>1374878.0703720807</v>
      </c>
      <c r="Y37" s="3">
        <f>Y29*Factors!Y11</f>
        <v>1411563.5031993699</v>
      </c>
      <c r="Z37" s="3">
        <f>Z29*Factors!Z11</f>
        <v>1347437.4644143039</v>
      </c>
      <c r="AA37" s="3">
        <f>AA29*Factors!AA11</f>
        <v>1383345.9035835138</v>
      </c>
      <c r="AB37" s="3">
        <f>AB29*Factors!AB11</f>
        <v>1358260.2552931334</v>
      </c>
      <c r="AD37" t="s">
        <v>141</v>
      </c>
      <c r="AE37" s="3">
        <f>AE29*Factors!AG11</f>
        <v>1369353.6159439341</v>
      </c>
      <c r="AF37" s="3">
        <f>AF29*Factors!AH11</f>
        <v>1468027.1668962112</v>
      </c>
      <c r="AG37" s="3">
        <f>AG29*Factors!AI11</f>
        <v>1380717.5463667053</v>
      </c>
      <c r="AH37" s="3">
        <f>AH29*Factors!AJ11</f>
        <v>1375437.1840940083</v>
      </c>
      <c r="AI37" s="3">
        <f>AI29*Factors!AK11</f>
        <v>1350627.2591734701</v>
      </c>
      <c r="AJ37" s="3">
        <f>AJ29*Factors!AL11</f>
        <v>1386711.2593734674</v>
      </c>
      <c r="AK37" s="3">
        <f>AK29*Factors!AM11</f>
        <v>1361652.7878197841</v>
      </c>
      <c r="AL37" s="3">
        <f>AL29*Factors!AN11</f>
        <v>1367165.5521429412</v>
      </c>
      <c r="AM37" s="3">
        <f>AM29*Factors!AO11</f>
        <v>1403622.372292656</v>
      </c>
      <c r="AN37" s="3">
        <f>AN29*Factors!AP11</f>
        <v>1334191.5461965625</v>
      </c>
      <c r="AO37" s="3">
        <f>AO29*Factors!AQ11</f>
        <v>1369725.0732555904</v>
      </c>
      <c r="AP37" s="3">
        <f>AP29*Factors!AR11</f>
        <v>1344865.0785661349</v>
      </c>
    </row>
    <row r="38" spans="2:42">
      <c r="B38" t="s">
        <v>137</v>
      </c>
      <c r="C38" s="3">
        <f>C30*Factors!C11</f>
        <v>990419.4438474935</v>
      </c>
      <c r="D38" s="3">
        <f>D30*Factors!D11</f>
        <v>895823.05134513183</v>
      </c>
      <c r="E38" s="3">
        <f>E30*Factors!E11</f>
        <v>993188.74127386964</v>
      </c>
      <c r="F38" s="3">
        <f>F30*Factors!F11</f>
        <v>940396.13809143135</v>
      </c>
      <c r="G38" s="3">
        <f>G30*Factors!G11</f>
        <v>973095.5397374772</v>
      </c>
      <c r="H38" s="3">
        <f>H30*Factors!H11</f>
        <v>943014.58398110536</v>
      </c>
      <c r="I38" s="3">
        <f>I30*Factors!I11</f>
        <v>975801.26715680701</v>
      </c>
      <c r="J38" s="3">
        <f>J30*Factors!J11</f>
        <v>977154.13086647191</v>
      </c>
      <c r="K38" s="3">
        <f>K30*Factors!K11</f>
        <v>946942.2528156162</v>
      </c>
      <c r="L38" s="3">
        <f>L30*Factors!L11</f>
        <v>955912.49591866124</v>
      </c>
      <c r="M38" s="3">
        <f>M30*Factors!M11</f>
        <v>926353.83504085569</v>
      </c>
      <c r="N38" s="3">
        <f>N30*Factors!N11</f>
        <v>958552.09649910743</v>
      </c>
      <c r="P38" t="s">
        <v>137</v>
      </c>
      <c r="Q38" s="3">
        <f>Q30*Factors!Q11</f>
        <v>958552.09649910743</v>
      </c>
      <c r="R38" s="3">
        <f>R30*Factors!R11</f>
        <v>869396.44451289997</v>
      </c>
      <c r="S38" s="3">
        <f>S30*Factors!S11</f>
        <v>966540.03063659987</v>
      </c>
      <c r="T38" s="3">
        <f>T30*Factors!T11</f>
        <v>914751.69418161944</v>
      </c>
      <c r="U38" s="3">
        <f>U30*Factors!U11</f>
        <v>949133.30792726611</v>
      </c>
      <c r="V38" s="3">
        <f>V30*Factors!V11</f>
        <v>922280.51470986323</v>
      </c>
      <c r="W38" s="3">
        <f>W30*Factors!W11</f>
        <v>956913.08913978469</v>
      </c>
      <c r="X38" s="3">
        <f>X30*Factors!X11</f>
        <v>960802.97974604391</v>
      </c>
      <c r="Y38" s="3">
        <f>Y30*Factors!Y11</f>
        <v>933573.74550222885</v>
      </c>
      <c r="Z38" s="3">
        <f>Z30*Factors!Z11</f>
        <v>941626.72220115934</v>
      </c>
      <c r="AA38" s="3">
        <f>AA30*Factors!AA11</f>
        <v>914911.31189385871</v>
      </c>
      <c r="AB38" s="3">
        <f>AB30*Factors!AB11</f>
        <v>949189.98904614849</v>
      </c>
      <c r="AD38" t="s">
        <v>137</v>
      </c>
      <c r="AE38" s="3">
        <f>AE30*Factors!AG11</f>
        <v>956942.33756226243</v>
      </c>
      <c r="AF38" s="3">
        <f>AF30*Factors!AH11</f>
        <v>867921.4669149901</v>
      </c>
      <c r="AG38" s="3">
        <f>AG30*Factors!AI11</f>
        <v>964883.76774950116</v>
      </c>
      <c r="AH38" s="3">
        <f>AH30*Factors!AJ11</f>
        <v>909680.6773108521</v>
      </c>
      <c r="AI38" s="3">
        <f>AI30*Factors!AK11</f>
        <v>943855.83936829539</v>
      </c>
      <c r="AJ38" s="3">
        <f>AJ30*Factors!AL11</f>
        <v>917137.07630520337</v>
      </c>
      <c r="AK38" s="3">
        <f>AK30*Factors!AM11</f>
        <v>951560.78499579174</v>
      </c>
      <c r="AL38" s="3">
        <f>AL30*Factors!AN11</f>
        <v>955413.25780953979</v>
      </c>
      <c r="AM38" s="3">
        <f>AM30*Factors!AO11</f>
        <v>928321.67479673028</v>
      </c>
      <c r="AN38" s="3">
        <f>AN30*Factors!AP11</f>
        <v>932370.10667478468</v>
      </c>
      <c r="AO38" s="3">
        <f>AO30*Factors!AQ11</f>
        <v>905902.82622724224</v>
      </c>
      <c r="AP38" s="3">
        <f>AP30*Factors!AR11</f>
        <v>939829.06752818299</v>
      </c>
    </row>
    <row r="39" spans="2:42">
      <c r="B39" t="s">
        <v>136</v>
      </c>
      <c r="C39" s="3">
        <f>C31*Factors!C11</f>
        <v>0</v>
      </c>
      <c r="D39" s="3">
        <f>D31*Factors!D11</f>
        <v>0</v>
      </c>
      <c r="E39" s="3">
        <f>E31*Factors!E11</f>
        <v>-14486458.750141706</v>
      </c>
      <c r="F39" s="3">
        <f>F31*Factors!F11</f>
        <v>0</v>
      </c>
      <c r="G39" s="3">
        <f>G31*Factors!G11</f>
        <v>0</v>
      </c>
      <c r="H39" s="3">
        <f>H31*Factors!H11</f>
        <v>0</v>
      </c>
      <c r="I39" s="3">
        <f>I31*Factors!I11</f>
        <v>0</v>
      </c>
      <c r="J39" s="3">
        <f>J31*Factors!J11</f>
        <v>0</v>
      </c>
      <c r="K39" s="3">
        <f>K31*Factors!K11</f>
        <v>-14272313.634436963</v>
      </c>
      <c r="L39" s="3">
        <f>L31*Factors!L11</f>
        <v>0</v>
      </c>
      <c r="M39" s="3">
        <f>M31*Factors!M11</f>
        <v>0</v>
      </c>
      <c r="N39" s="3">
        <f>N31*Factors!N11</f>
        <v>0</v>
      </c>
      <c r="P39" t="s">
        <v>136</v>
      </c>
      <c r="Q39" s="3">
        <f>Q31*Factors!Q11</f>
        <v>0</v>
      </c>
      <c r="R39" s="3">
        <f>R31*Factors!R11</f>
        <v>0</v>
      </c>
      <c r="S39" s="3">
        <f>S31*Factors!S11</f>
        <v>-14097765.814601447</v>
      </c>
      <c r="T39" s="3">
        <f>T31*Factors!T11</f>
        <v>0</v>
      </c>
      <c r="U39" s="3">
        <f>U31*Factors!U11</f>
        <v>0</v>
      </c>
      <c r="V39" s="3">
        <f>V31*Factors!V11</f>
        <v>0</v>
      </c>
      <c r="W39" s="3">
        <f>W31*Factors!W11</f>
        <v>0</v>
      </c>
      <c r="X39" s="3">
        <f>X31*Factors!X11</f>
        <v>0</v>
      </c>
      <c r="Y39" s="3">
        <f>Y31*Factors!Y11</f>
        <v>-14070823.492209593</v>
      </c>
      <c r="Z39" s="3">
        <f>Z31*Factors!Z11</f>
        <v>0</v>
      </c>
      <c r="AA39" s="3">
        <f>AA31*Factors!AA11</f>
        <v>0</v>
      </c>
      <c r="AB39" s="3">
        <f>AB31*Factors!AB11</f>
        <v>0</v>
      </c>
      <c r="AD39" t="s">
        <v>136</v>
      </c>
      <c r="AE39" s="3">
        <f>AE31*Factors!AG11</f>
        <v>0</v>
      </c>
      <c r="AF39" s="3">
        <f>AF31*Factors!AH11</f>
        <v>0</v>
      </c>
      <c r="AG39" s="3">
        <f>AG31*Factors!AI11</f>
        <v>-14073607.88469724</v>
      </c>
      <c r="AH39" s="3">
        <f>AH31*Factors!AJ11</f>
        <v>0</v>
      </c>
      <c r="AI39" s="3">
        <f>AI31*Factors!AK11</f>
        <v>0</v>
      </c>
      <c r="AJ39" s="3">
        <f>AJ31*Factors!AL11</f>
        <v>0</v>
      </c>
      <c r="AK39" s="3">
        <f>AK31*Factors!AM11</f>
        <v>0</v>
      </c>
      <c r="AL39" s="3">
        <f>AL31*Factors!AN11</f>
        <v>0</v>
      </c>
      <c r="AM39" s="3">
        <f>AM31*Factors!AO11</f>
        <v>-13991664.282536319</v>
      </c>
      <c r="AN39" s="3">
        <f>AN31*Factors!AP11</f>
        <v>0</v>
      </c>
      <c r="AO39" s="3">
        <f>AO31*Factors!AQ11</f>
        <v>0</v>
      </c>
      <c r="AP39" s="3">
        <f>AP31*Factors!AR11</f>
        <v>0</v>
      </c>
    </row>
    <row r="40" spans="2:42">
      <c r="B40" t="s">
        <v>145</v>
      </c>
      <c r="C40" s="3">
        <f>C41-SUM(C36:C39)</f>
        <v>10098.109067017213</v>
      </c>
      <c r="D40" s="3">
        <f t="shared" ref="D40:N40" si="35">D41-SUM(D36:D39)</f>
        <v>13464.145422689617</v>
      </c>
      <c r="E40" s="3">
        <f t="shared" si="35"/>
        <v>16830.181778363883</v>
      </c>
      <c r="F40" s="3">
        <f t="shared" si="35"/>
        <v>0</v>
      </c>
      <c r="G40" s="3">
        <f t="shared" si="35"/>
        <v>3288.7680374309421</v>
      </c>
      <c r="H40" s="3">
        <f t="shared" si="35"/>
        <v>6577.5360748600215</v>
      </c>
      <c r="I40" s="3">
        <f t="shared" si="35"/>
        <v>9866.3041122909635</v>
      </c>
      <c r="J40" s="3">
        <f t="shared" si="35"/>
        <v>13155.072149723768</v>
      </c>
      <c r="K40" s="3">
        <f t="shared" si="35"/>
        <v>16443.840187150985</v>
      </c>
      <c r="L40" s="3">
        <f t="shared" si="35"/>
        <v>0</v>
      </c>
      <c r="M40" s="3">
        <f t="shared" si="35"/>
        <v>3208.3919313289225</v>
      </c>
      <c r="N40" s="3">
        <f t="shared" si="35"/>
        <v>6416.7838626587763</v>
      </c>
      <c r="P40" t="s">
        <v>145</v>
      </c>
      <c r="Q40" s="3">
        <f t="shared" ref="Q40:AB40" si="36">Q41-SUM(Q36:Q39)</f>
        <v>0</v>
      </c>
      <c r="R40" s="3">
        <f t="shared" si="36"/>
        <v>38836.820425899699</v>
      </c>
      <c r="S40" s="3">
        <f t="shared" si="36"/>
        <v>48546.025532376021</v>
      </c>
      <c r="T40" s="3">
        <f t="shared" si="36"/>
        <v>0</v>
      </c>
      <c r="U40" s="3">
        <f t="shared" si="36"/>
        <v>9456.1985834734514</v>
      </c>
      <c r="V40" s="3">
        <f t="shared" si="36"/>
        <v>18912.397166948766</v>
      </c>
      <c r="W40" s="3">
        <f t="shared" si="36"/>
        <v>28368.595750421286</v>
      </c>
      <c r="X40" s="3">
        <f t="shared" si="36"/>
        <v>37824.794333897531</v>
      </c>
      <c r="Y40" s="3">
        <f t="shared" si="36"/>
        <v>47280.992917371914</v>
      </c>
      <c r="Z40" s="3">
        <f t="shared" si="36"/>
        <v>0</v>
      </c>
      <c r="AA40" s="3">
        <f t="shared" si="36"/>
        <v>9193.0288619091734</v>
      </c>
      <c r="AB40" s="3">
        <f t="shared" si="36"/>
        <v>18386.05772382021</v>
      </c>
      <c r="AD40" t="s">
        <v>145</v>
      </c>
      <c r="AE40" s="3">
        <f t="shared" ref="AE40:AP40" si="37">AE41-SUM(AE36:AE39)</f>
        <v>56537.127500742674</v>
      </c>
      <c r="AF40" s="3">
        <f t="shared" si="37"/>
        <v>-96526.803050050512</v>
      </c>
      <c r="AG40" s="3">
        <f t="shared" si="37"/>
        <v>0</v>
      </c>
      <c r="AH40" s="3">
        <f t="shared" si="37"/>
        <v>-18730.474273810163</v>
      </c>
      <c r="AI40" s="3">
        <f t="shared" si="37"/>
        <v>-37460.948547620326</v>
      </c>
      <c r="AJ40" s="3">
        <f t="shared" si="37"/>
        <v>-56191.422821431421</v>
      </c>
      <c r="AK40" s="3">
        <f t="shared" si="37"/>
        <v>-74921.897095242515</v>
      </c>
      <c r="AL40" s="3">
        <f t="shared" si="37"/>
        <v>-93652.371369054541</v>
      </c>
      <c r="AM40" s="3">
        <f t="shared" si="37"/>
        <v>0</v>
      </c>
      <c r="AN40" s="3">
        <f t="shared" si="37"/>
        <v>-18132.493222970981</v>
      </c>
      <c r="AO40" s="3">
        <f t="shared" si="37"/>
        <v>-36264.986445941962</v>
      </c>
      <c r="AP40" s="3">
        <f t="shared" si="37"/>
        <v>-54397.479668911546</v>
      </c>
    </row>
    <row r="41" spans="2:42" ht="13.5" thickBot="1">
      <c r="B41" s="2" t="s">
        <v>143</v>
      </c>
      <c r="C41" s="10">
        <f>C33*Factors!C11</f>
        <v>9630710.8759157564</v>
      </c>
      <c r="D41" s="10">
        <f>D33*Factors!D11</f>
        <v>12055218.776673058</v>
      </c>
      <c r="E41" s="10">
        <f>E33*Factors!E11</f>
        <v>0</v>
      </c>
      <c r="F41" s="10">
        <f>F33*Factors!F11</f>
        <v>2362275.098885675</v>
      </c>
      <c r="G41" s="10">
        <f>G33*Factors!G11</f>
        <v>4731127.7338462109</v>
      </c>
      <c r="H41" s="10">
        <f>H33*Factors!H11</f>
        <v>7106557.9048816068</v>
      </c>
      <c r="I41" s="10">
        <f>I33*Factors!I11</f>
        <v>9488565.6119918656</v>
      </c>
      <c r="J41" s="10">
        <f>J33*Factors!J11</f>
        <v>11877150.855176985</v>
      </c>
      <c r="K41" s="10">
        <f>K33*Factors!K11</f>
        <v>0</v>
      </c>
      <c r="L41" s="10">
        <f>L33*Factors!L11</f>
        <v>2323792.4416912994</v>
      </c>
      <c r="M41" s="10">
        <f>M33*Factors!M11</f>
        <v>4654001.6672452576</v>
      </c>
      <c r="N41" s="10">
        <f>N33*Factors!N11</f>
        <v>6990627.6766618751</v>
      </c>
      <c r="P41" s="2" t="s">
        <v>143</v>
      </c>
      <c r="Q41" s="7">
        <f>Q33*Factors!Q11</f>
        <v>9320836.9022158328</v>
      </c>
      <c r="R41" s="7">
        <f>R33*Factors!R11</f>
        <v>11699592.153302165</v>
      </c>
      <c r="S41" s="7">
        <f>S33*Factors!S11</f>
        <v>0</v>
      </c>
      <c r="T41" s="7">
        <f>T33*Factors!T11</f>
        <v>2297856.255784228</v>
      </c>
      <c r="U41" s="7">
        <f>U33*Factors!U11</f>
        <v>4614624.9087354038</v>
      </c>
      <c r="V41" s="7">
        <f>V33*Factors!V11</f>
        <v>6950305.9588535288</v>
      </c>
      <c r="W41" s="7">
        <f>W33*Factors!W11</f>
        <v>9304899.4061386008</v>
      </c>
      <c r="X41" s="7">
        <f>X33*Factors!X11</f>
        <v>11678405.250590622</v>
      </c>
      <c r="Y41" s="7">
        <f>Y33*Factors!Y11</f>
        <v>0</v>
      </c>
      <c r="Z41" s="7">
        <f>Z33*Factors!Z11</f>
        <v>2289064.1866154633</v>
      </c>
      <c r="AA41" s="7">
        <f>AA33*Factors!AA11</f>
        <v>4596514.430954745</v>
      </c>
      <c r="AB41" s="7">
        <f>AB33*Factors!AB11</f>
        <v>6922350.7330178469</v>
      </c>
      <c r="AD41" s="2" t="s">
        <v>143</v>
      </c>
      <c r="AE41" s="7">
        <f>AE33*Factors!AG11</f>
        <v>9305183.8140247855</v>
      </c>
      <c r="AF41" s="7">
        <f>AF33*Factors!AF11</f>
        <v>11583216.366005957</v>
      </c>
      <c r="AG41" s="7">
        <f>AG33*Factors!AG11</f>
        <v>0</v>
      </c>
      <c r="AH41" s="7">
        <f>AH33*Factors!AH11</f>
        <v>2266387.3871310502</v>
      </c>
      <c r="AI41" s="7">
        <f>AI33*Factors!AI11</f>
        <v>4551505.2485359106</v>
      </c>
      <c r="AJ41" s="7">
        <f>AJ33*Factors!AJ11</f>
        <v>6855353.5842145812</v>
      </c>
      <c r="AK41" s="7">
        <f>AK33*Factors!AK11</f>
        <v>9177932.3941670619</v>
      </c>
      <c r="AL41" s="7">
        <f>AL33*Factors!AL11</f>
        <v>11519241.678393351</v>
      </c>
      <c r="AM41" s="7">
        <f>AM33*Factors!AM11</f>
        <v>0</v>
      </c>
      <c r="AN41" s="7">
        <f>AN33*Factors!AN11</f>
        <v>2248429.1596483761</v>
      </c>
      <c r="AO41" s="7">
        <f>AO33*Factors!AO11</f>
        <v>4514990.8125197226</v>
      </c>
      <c r="AP41" s="7">
        <f>AP33*Factors!AP11</f>
        <v>6799684.9586140411</v>
      </c>
    </row>
    <row r="42" spans="2:42" ht="13.5" thickTop="1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4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4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O365"/>
  <sheetViews>
    <sheetView view="pageBreakPreview" topLeftCell="A2" zoomScale="75" zoomScaleNormal="75" workbookViewId="0">
      <selection activeCell="D22" sqref="D22"/>
    </sheetView>
  </sheetViews>
  <sheetFormatPr defaultColWidth="8.85546875" defaultRowHeight="12.75"/>
  <cols>
    <col min="1" max="1" width="14" style="9" customWidth="1"/>
    <col min="2" max="2" width="12.7109375" style="9" bestFit="1" customWidth="1"/>
    <col min="3" max="3" width="12.7109375" style="9" customWidth="1"/>
    <col min="4" max="13" width="12.7109375" style="9" bestFit="1" customWidth="1"/>
    <col min="14" max="14" width="51.7109375" style="9" customWidth="1"/>
    <col min="15" max="15" width="14.28515625" style="9" bestFit="1" customWidth="1"/>
    <col min="16" max="27" width="12.7109375" style="9" bestFit="1" customWidth="1"/>
    <col min="28" max="28" width="8.85546875" style="9"/>
    <col min="29" max="29" width="14.140625" style="9" customWidth="1"/>
    <col min="30" max="30" width="12.85546875" style="9" customWidth="1"/>
    <col min="31" max="38" width="12.7109375" style="9" bestFit="1" customWidth="1"/>
    <col min="39" max="39" width="14.5703125" style="9" customWidth="1"/>
    <col min="40" max="41" width="12.7109375" style="9" bestFit="1" customWidth="1"/>
    <col min="42" max="16384" width="8.85546875" style="9"/>
  </cols>
  <sheetData>
    <row r="1" spans="1:41">
      <c r="A1" s="68" t="str">
        <f>Factors!A1</f>
        <v>ENS BUDGET - YEAR 2002</v>
      </c>
      <c r="O1" s="68" t="s">
        <v>599</v>
      </c>
      <c r="AC1" s="68" t="s">
        <v>600</v>
      </c>
    </row>
    <row r="2" spans="1:41" ht="20.25">
      <c r="A2" s="220" t="s">
        <v>5</v>
      </c>
      <c r="O2" s="68" t="s">
        <v>65</v>
      </c>
      <c r="AC2" s="68" t="s">
        <v>65</v>
      </c>
    </row>
    <row r="3" spans="1:41" ht="18">
      <c r="A3" s="270" t="s">
        <v>40</v>
      </c>
      <c r="O3" s="68"/>
      <c r="AC3" s="68"/>
    </row>
    <row r="4" spans="1:41" ht="28.15" customHeight="1">
      <c r="A4" s="68"/>
      <c r="O4" s="68"/>
      <c r="AC4" s="68"/>
    </row>
    <row r="5" spans="1:41">
      <c r="A5" s="68" t="s">
        <v>83</v>
      </c>
      <c r="O5" s="68" t="s">
        <v>83</v>
      </c>
      <c r="AC5" s="68" t="s">
        <v>83</v>
      </c>
    </row>
    <row r="6" spans="1:41">
      <c r="A6" s="68"/>
      <c r="B6" s="87" t="s">
        <v>50</v>
      </c>
      <c r="C6" s="87" t="s">
        <v>51</v>
      </c>
      <c r="D6" s="87" t="s">
        <v>52</v>
      </c>
      <c r="E6" s="87" t="s">
        <v>53</v>
      </c>
      <c r="F6" s="87" t="s">
        <v>54</v>
      </c>
      <c r="G6" s="87" t="s">
        <v>55</v>
      </c>
      <c r="H6" s="87" t="s">
        <v>56</v>
      </c>
      <c r="I6" s="87" t="s">
        <v>57</v>
      </c>
      <c r="J6" s="87" t="s">
        <v>58</v>
      </c>
      <c r="K6" s="87" t="s">
        <v>59</v>
      </c>
      <c r="L6" s="87" t="s">
        <v>60</v>
      </c>
      <c r="M6" s="87" t="s">
        <v>61</v>
      </c>
      <c r="O6" s="68"/>
      <c r="P6" s="87" t="s">
        <v>50</v>
      </c>
      <c r="Q6" s="87" t="s">
        <v>51</v>
      </c>
      <c r="R6" s="87" t="s">
        <v>52</v>
      </c>
      <c r="S6" s="87" t="s">
        <v>53</v>
      </c>
      <c r="T6" s="87" t="s">
        <v>54</v>
      </c>
      <c r="U6" s="87" t="s">
        <v>55</v>
      </c>
      <c r="V6" s="87" t="s">
        <v>56</v>
      </c>
      <c r="W6" s="87" t="s">
        <v>57</v>
      </c>
      <c r="X6" s="87" t="s">
        <v>58</v>
      </c>
      <c r="Y6" s="87" t="s">
        <v>59</v>
      </c>
      <c r="Z6" s="87" t="s">
        <v>60</v>
      </c>
      <c r="AA6" s="87" t="s">
        <v>61</v>
      </c>
      <c r="AC6" s="68"/>
      <c r="AD6" s="87" t="s">
        <v>50</v>
      </c>
      <c r="AE6" s="87" t="s">
        <v>51</v>
      </c>
      <c r="AF6" s="87" t="s">
        <v>52</v>
      </c>
      <c r="AG6" s="87" t="s">
        <v>53</v>
      </c>
      <c r="AH6" s="87" t="s">
        <v>54</v>
      </c>
      <c r="AI6" s="87" t="s">
        <v>55</v>
      </c>
      <c r="AJ6" s="87" t="s">
        <v>56</v>
      </c>
      <c r="AK6" s="87" t="s">
        <v>57</v>
      </c>
      <c r="AL6" s="87" t="s">
        <v>58</v>
      </c>
      <c r="AM6" s="87" t="s">
        <v>59</v>
      </c>
      <c r="AN6" s="87" t="s">
        <v>60</v>
      </c>
      <c r="AO6" s="87" t="s">
        <v>61</v>
      </c>
    </row>
    <row r="7" spans="1:41">
      <c r="A7" s="77" t="s">
        <v>80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  <c r="O7" s="77" t="s">
        <v>80</v>
      </c>
      <c r="P7" s="9">
        <v>31</v>
      </c>
      <c r="Q7" s="9">
        <v>28</v>
      </c>
      <c r="R7" s="9">
        <v>31</v>
      </c>
      <c r="S7" s="9">
        <v>30</v>
      </c>
      <c r="T7" s="9">
        <v>31</v>
      </c>
      <c r="U7" s="9">
        <v>30</v>
      </c>
      <c r="V7" s="9">
        <v>31</v>
      </c>
      <c r="W7" s="9">
        <v>31</v>
      </c>
      <c r="X7" s="9">
        <v>30</v>
      </c>
      <c r="Y7" s="9">
        <v>31</v>
      </c>
      <c r="Z7" s="9">
        <v>30</v>
      </c>
      <c r="AA7" s="9">
        <v>31</v>
      </c>
      <c r="AC7" s="77" t="s">
        <v>80</v>
      </c>
      <c r="AD7" s="9">
        <v>31</v>
      </c>
      <c r="AE7" s="9">
        <v>28</v>
      </c>
      <c r="AF7" s="9">
        <v>31</v>
      </c>
      <c r="AG7" s="9">
        <v>30</v>
      </c>
      <c r="AH7" s="9">
        <v>31</v>
      </c>
      <c r="AI7" s="9">
        <v>30</v>
      </c>
      <c r="AJ7" s="9">
        <v>31</v>
      </c>
      <c r="AK7" s="9">
        <v>31</v>
      </c>
      <c r="AL7" s="9">
        <v>30</v>
      </c>
      <c r="AM7" s="9">
        <v>31</v>
      </c>
      <c r="AN7" s="9">
        <v>30</v>
      </c>
      <c r="AO7" s="9">
        <v>31</v>
      </c>
    </row>
    <row r="9" spans="1:41">
      <c r="A9" s="68" t="s">
        <v>73</v>
      </c>
      <c r="O9" s="68" t="s">
        <v>73</v>
      </c>
      <c r="AC9" s="68" t="s">
        <v>73</v>
      </c>
    </row>
    <row r="10" spans="1:41">
      <c r="B10" s="87" t="s">
        <v>50</v>
      </c>
      <c r="C10" s="87" t="s">
        <v>51</v>
      </c>
      <c r="D10" s="87" t="s">
        <v>52</v>
      </c>
      <c r="E10" s="87" t="s">
        <v>53</v>
      </c>
      <c r="F10" s="87" t="s">
        <v>54</v>
      </c>
      <c r="G10" s="87" t="s">
        <v>55</v>
      </c>
      <c r="H10" s="87" t="s">
        <v>56</v>
      </c>
      <c r="I10" s="87" t="s">
        <v>57</v>
      </c>
      <c r="J10" s="87" t="s">
        <v>58</v>
      </c>
      <c r="K10" s="87" t="s">
        <v>59</v>
      </c>
      <c r="L10" s="87" t="s">
        <v>60</v>
      </c>
      <c r="M10" s="87" t="s">
        <v>61</v>
      </c>
      <c r="P10" s="87" t="s">
        <v>50</v>
      </c>
      <c r="Q10" s="87" t="s">
        <v>51</v>
      </c>
      <c r="R10" s="87" t="s">
        <v>52</v>
      </c>
      <c r="S10" s="87" t="s">
        <v>53</v>
      </c>
      <c r="T10" s="87" t="s">
        <v>54</v>
      </c>
      <c r="U10" s="87" t="s">
        <v>55</v>
      </c>
      <c r="V10" s="87" t="s">
        <v>56</v>
      </c>
      <c r="W10" s="87" t="s">
        <v>57</v>
      </c>
      <c r="X10" s="87" t="s">
        <v>58</v>
      </c>
      <c r="Y10" s="87" t="s">
        <v>59</v>
      </c>
      <c r="Z10" s="87" t="s">
        <v>60</v>
      </c>
      <c r="AA10" s="87" t="s">
        <v>61</v>
      </c>
      <c r="AD10" s="87" t="s">
        <v>50</v>
      </c>
      <c r="AE10" s="87" t="s">
        <v>51</v>
      </c>
      <c r="AF10" s="87" t="s">
        <v>52</v>
      </c>
      <c r="AG10" s="87" t="s">
        <v>53</v>
      </c>
      <c r="AH10" s="87" t="s">
        <v>54</v>
      </c>
      <c r="AI10" s="87" t="s">
        <v>55</v>
      </c>
      <c r="AJ10" s="87" t="s">
        <v>56</v>
      </c>
      <c r="AK10" s="87" t="s">
        <v>57</v>
      </c>
      <c r="AL10" s="87" t="s">
        <v>58</v>
      </c>
      <c r="AM10" s="87" t="s">
        <v>59</v>
      </c>
      <c r="AN10" s="87" t="s">
        <v>60</v>
      </c>
      <c r="AO10" s="87" t="s">
        <v>61</v>
      </c>
    </row>
    <row r="11" spans="1:41">
      <c r="A11" s="9" t="s">
        <v>66</v>
      </c>
      <c r="B11" s="17">
        <v>109540206</v>
      </c>
      <c r="C11" s="17">
        <f t="shared" ref="C11:M11" si="0">B13</f>
        <v>109540206</v>
      </c>
      <c r="D11" s="17">
        <f t="shared" si="0"/>
        <v>109540206</v>
      </c>
      <c r="E11" s="17">
        <f t="shared" si="0"/>
        <v>109540206</v>
      </c>
      <c r="F11" s="17">
        <f t="shared" si="0"/>
        <v>109540206</v>
      </c>
      <c r="G11" s="17">
        <f t="shared" si="0"/>
        <v>109540206</v>
      </c>
      <c r="H11" s="17">
        <f t="shared" si="0"/>
        <v>107175048</v>
      </c>
      <c r="I11" s="17">
        <f t="shared" si="0"/>
        <v>107175048</v>
      </c>
      <c r="J11" s="17">
        <f t="shared" si="0"/>
        <v>107175048</v>
      </c>
      <c r="K11" s="17">
        <f t="shared" si="0"/>
        <v>107175048</v>
      </c>
      <c r="L11" s="17">
        <f t="shared" si="0"/>
        <v>107175048</v>
      </c>
      <c r="M11" s="17">
        <f t="shared" si="0"/>
        <v>107175048</v>
      </c>
      <c r="O11" s="9" t="s">
        <v>66</v>
      </c>
      <c r="P11" s="17">
        <f>M13</f>
        <v>104714814</v>
      </c>
      <c r="Q11" s="17">
        <f t="shared" ref="Q11:AA11" si="1">P13</f>
        <v>104714814</v>
      </c>
      <c r="R11" s="17">
        <f t="shared" si="1"/>
        <v>104714814</v>
      </c>
      <c r="S11" s="17">
        <f t="shared" si="1"/>
        <v>104714814</v>
      </c>
      <c r="T11" s="17">
        <f t="shared" si="1"/>
        <v>104714814</v>
      </c>
      <c r="U11" s="17">
        <f t="shared" si="1"/>
        <v>104714814</v>
      </c>
      <c r="V11" s="17">
        <f t="shared" si="1"/>
        <v>102155628</v>
      </c>
      <c r="W11" s="17">
        <f t="shared" si="1"/>
        <v>102155628</v>
      </c>
      <c r="X11" s="17">
        <f t="shared" si="1"/>
        <v>102155628</v>
      </c>
      <c r="Y11" s="17">
        <f t="shared" si="1"/>
        <v>102155628</v>
      </c>
      <c r="Z11" s="17">
        <f t="shared" si="1"/>
        <v>102155628</v>
      </c>
      <c r="AA11" s="17">
        <f t="shared" si="1"/>
        <v>102155628</v>
      </c>
      <c r="AB11" s="17"/>
      <c r="AC11" s="9" t="s">
        <v>66</v>
      </c>
      <c r="AD11" s="17">
        <f>AA13</f>
        <v>99493614</v>
      </c>
      <c r="AE11" s="17">
        <f t="shared" ref="AE11:AO11" si="2">AD13</f>
        <v>99493614</v>
      </c>
      <c r="AF11" s="17">
        <f t="shared" si="2"/>
        <v>99493614</v>
      </c>
      <c r="AG11" s="17">
        <f t="shared" si="2"/>
        <v>99493614</v>
      </c>
      <c r="AH11" s="17">
        <f t="shared" si="2"/>
        <v>99493614</v>
      </c>
      <c r="AI11" s="17">
        <f t="shared" si="2"/>
        <v>99493614</v>
      </c>
      <c r="AJ11" s="17">
        <f t="shared" si="2"/>
        <v>96724668</v>
      </c>
      <c r="AK11" s="17">
        <f t="shared" si="2"/>
        <v>96724668</v>
      </c>
      <c r="AL11" s="17">
        <f t="shared" si="2"/>
        <v>96724668</v>
      </c>
      <c r="AM11" s="17">
        <f t="shared" si="2"/>
        <v>96724668</v>
      </c>
      <c r="AN11" s="17">
        <f t="shared" si="2"/>
        <v>96724668</v>
      </c>
      <c r="AO11" s="17">
        <f t="shared" si="2"/>
        <v>96724668</v>
      </c>
    </row>
    <row r="12" spans="1:41">
      <c r="A12" s="9" t="s">
        <v>67</v>
      </c>
      <c r="B12" s="17"/>
      <c r="C12" s="17"/>
      <c r="D12" s="17"/>
      <c r="E12" s="17"/>
      <c r="G12" s="17">
        <f>114000000*0.020747*-1</f>
        <v>-2365158</v>
      </c>
      <c r="H12" s="17"/>
      <c r="I12" s="17"/>
      <c r="J12" s="17"/>
      <c r="K12" s="17"/>
      <c r="M12" s="17">
        <f>114000000*0.021581*-1</f>
        <v>-2460234</v>
      </c>
      <c r="O12" s="9" t="s">
        <v>67</v>
      </c>
      <c r="P12" s="17"/>
      <c r="Q12" s="17"/>
      <c r="R12" s="17"/>
      <c r="S12" s="17"/>
      <c r="U12" s="17">
        <f>114000000*0.022449*-1</f>
        <v>-2559186</v>
      </c>
      <c r="V12" s="17"/>
      <c r="W12" s="17"/>
      <c r="X12" s="17"/>
      <c r="Y12" s="17"/>
      <c r="AA12" s="17">
        <f>114000000*0.023351*-1</f>
        <v>-2662014</v>
      </c>
      <c r="AB12" s="17"/>
      <c r="AC12" s="9" t="s">
        <v>67</v>
      </c>
      <c r="AD12" s="17"/>
      <c r="AE12" s="17"/>
      <c r="AF12" s="17"/>
      <c r="AG12" s="17"/>
      <c r="AI12" s="17">
        <f>114000000*0.024289*-1</f>
        <v>-2768946</v>
      </c>
      <c r="AJ12" s="17"/>
      <c r="AK12" s="17"/>
      <c r="AL12" s="17"/>
      <c r="AM12" s="17"/>
      <c r="AO12" s="17">
        <f>114000000*0.025266*-1</f>
        <v>-2880324</v>
      </c>
    </row>
    <row r="13" spans="1:41" s="68" customFormat="1">
      <c r="A13" s="68" t="s">
        <v>68</v>
      </c>
      <c r="B13" s="273">
        <f t="shared" ref="B13:L13" si="3">SUM(B11:B12)</f>
        <v>109540206</v>
      </c>
      <c r="C13" s="273">
        <f t="shared" si="3"/>
        <v>109540206</v>
      </c>
      <c r="D13" s="273">
        <f t="shared" si="3"/>
        <v>109540206</v>
      </c>
      <c r="E13" s="273">
        <f t="shared" si="3"/>
        <v>109540206</v>
      </c>
      <c r="F13" s="273">
        <f t="shared" si="3"/>
        <v>109540206</v>
      </c>
      <c r="G13" s="273">
        <f>SUM(G11:G12)</f>
        <v>107175048</v>
      </c>
      <c r="H13" s="273">
        <f t="shared" si="3"/>
        <v>107175048</v>
      </c>
      <c r="I13" s="273">
        <f t="shared" si="3"/>
        <v>107175048</v>
      </c>
      <c r="J13" s="273">
        <f t="shared" si="3"/>
        <v>107175048</v>
      </c>
      <c r="K13" s="273">
        <f t="shared" si="3"/>
        <v>107175048</v>
      </c>
      <c r="L13" s="273">
        <f t="shared" si="3"/>
        <v>107175048</v>
      </c>
      <c r="M13" s="273">
        <f>SUM(M11:M12)</f>
        <v>104714814</v>
      </c>
      <c r="O13" s="68" t="s">
        <v>68</v>
      </c>
      <c r="P13" s="273">
        <f t="shared" ref="P13:AA13" si="4">SUM(P11:P12)</f>
        <v>104714814</v>
      </c>
      <c r="Q13" s="273">
        <f t="shared" si="4"/>
        <v>104714814</v>
      </c>
      <c r="R13" s="273">
        <f t="shared" si="4"/>
        <v>104714814</v>
      </c>
      <c r="S13" s="273">
        <f t="shared" si="4"/>
        <v>104714814</v>
      </c>
      <c r="T13" s="273">
        <f t="shared" si="4"/>
        <v>104714814</v>
      </c>
      <c r="U13" s="273">
        <f t="shared" si="4"/>
        <v>102155628</v>
      </c>
      <c r="V13" s="273">
        <f t="shared" si="4"/>
        <v>102155628</v>
      </c>
      <c r="W13" s="273">
        <f t="shared" si="4"/>
        <v>102155628</v>
      </c>
      <c r="X13" s="273">
        <f t="shared" si="4"/>
        <v>102155628</v>
      </c>
      <c r="Y13" s="273">
        <f t="shared" si="4"/>
        <v>102155628</v>
      </c>
      <c r="Z13" s="273">
        <f t="shared" si="4"/>
        <v>102155628</v>
      </c>
      <c r="AA13" s="273">
        <f t="shared" si="4"/>
        <v>99493614</v>
      </c>
      <c r="AB13" s="67"/>
      <c r="AC13" s="68" t="s">
        <v>68</v>
      </c>
      <c r="AD13" s="273">
        <f t="shared" ref="AD13:AO13" si="5">SUM(AD11:AD12)</f>
        <v>99493614</v>
      </c>
      <c r="AE13" s="273">
        <f t="shared" si="5"/>
        <v>99493614</v>
      </c>
      <c r="AF13" s="273">
        <f t="shared" si="5"/>
        <v>99493614</v>
      </c>
      <c r="AG13" s="273">
        <f t="shared" si="5"/>
        <v>99493614</v>
      </c>
      <c r="AH13" s="273">
        <f t="shared" si="5"/>
        <v>99493614</v>
      </c>
      <c r="AI13" s="273">
        <f t="shared" si="5"/>
        <v>96724668</v>
      </c>
      <c r="AJ13" s="273">
        <f t="shared" si="5"/>
        <v>96724668</v>
      </c>
      <c r="AK13" s="273">
        <f t="shared" si="5"/>
        <v>96724668</v>
      </c>
      <c r="AL13" s="273">
        <f t="shared" si="5"/>
        <v>96724668</v>
      </c>
      <c r="AM13" s="273">
        <f t="shared" si="5"/>
        <v>96724668</v>
      </c>
      <c r="AN13" s="273">
        <f t="shared" si="5"/>
        <v>96724668</v>
      </c>
      <c r="AO13" s="273">
        <f t="shared" si="5"/>
        <v>93844344</v>
      </c>
    </row>
    <row r="14" spans="1:41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4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1:41">
      <c r="A16" s="68" t="s">
        <v>74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O16" s="68" t="s">
        <v>74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8" t="s">
        <v>74</v>
      </c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41">
      <c r="B17" s="87" t="s">
        <v>50</v>
      </c>
      <c r="C17" s="87" t="s">
        <v>51</v>
      </c>
      <c r="D17" s="87" t="s">
        <v>52</v>
      </c>
      <c r="E17" s="87" t="s">
        <v>53</v>
      </c>
      <c r="F17" s="87" t="s">
        <v>54</v>
      </c>
      <c r="G17" s="87" t="s">
        <v>55</v>
      </c>
      <c r="H17" s="87" t="s">
        <v>56</v>
      </c>
      <c r="I17" s="87" t="s">
        <v>57</v>
      </c>
      <c r="J17" s="87" t="s">
        <v>58</v>
      </c>
      <c r="K17" s="87" t="s">
        <v>59</v>
      </c>
      <c r="L17" s="87" t="s">
        <v>60</v>
      </c>
      <c r="M17" s="87" t="s">
        <v>61</v>
      </c>
      <c r="P17" s="87" t="s">
        <v>50</v>
      </c>
      <c r="Q17" s="87" t="s">
        <v>51</v>
      </c>
      <c r="R17" s="87" t="s">
        <v>52</v>
      </c>
      <c r="S17" s="87" t="s">
        <v>53</v>
      </c>
      <c r="T17" s="87" t="s">
        <v>54</v>
      </c>
      <c r="U17" s="87" t="s">
        <v>55</v>
      </c>
      <c r="V17" s="87" t="s">
        <v>56</v>
      </c>
      <c r="W17" s="87" t="s">
        <v>57</v>
      </c>
      <c r="X17" s="87" t="s">
        <v>58</v>
      </c>
      <c r="Y17" s="87" t="s">
        <v>59</v>
      </c>
      <c r="Z17" s="87" t="s">
        <v>60</v>
      </c>
      <c r="AA17" s="87" t="s">
        <v>61</v>
      </c>
      <c r="AB17" s="17"/>
      <c r="AD17" s="87" t="s">
        <v>50</v>
      </c>
      <c r="AE17" s="87" t="s">
        <v>51</v>
      </c>
      <c r="AF17" s="87" t="s">
        <v>52</v>
      </c>
      <c r="AG17" s="87" t="s">
        <v>53</v>
      </c>
      <c r="AH17" s="87" t="s">
        <v>54</v>
      </c>
      <c r="AI17" s="87" t="s">
        <v>55</v>
      </c>
      <c r="AJ17" s="87" t="s">
        <v>56</v>
      </c>
      <c r="AK17" s="87" t="s">
        <v>57</v>
      </c>
      <c r="AL17" s="87" t="s">
        <v>58</v>
      </c>
      <c r="AM17" s="87" t="s">
        <v>59</v>
      </c>
      <c r="AN17" s="87" t="s">
        <v>60</v>
      </c>
      <c r="AO17" s="87" t="s">
        <v>61</v>
      </c>
    </row>
    <row r="18" spans="1:41">
      <c r="A18" s="9" t="s">
        <v>66</v>
      </c>
      <c r="B18" s="17">
        <v>4323955</v>
      </c>
      <c r="C18" s="17">
        <f t="shared" ref="C18:M18" si="6">B20</f>
        <v>4323955</v>
      </c>
      <c r="D18" s="17">
        <f t="shared" si="6"/>
        <v>4323955</v>
      </c>
      <c r="E18" s="17">
        <f t="shared" si="6"/>
        <v>4323955</v>
      </c>
      <c r="F18" s="17">
        <f t="shared" si="6"/>
        <v>4323955</v>
      </c>
      <c r="G18" s="17">
        <f t="shared" si="6"/>
        <v>4323955</v>
      </c>
      <c r="H18" s="17">
        <f t="shared" si="6"/>
        <v>4230593.5</v>
      </c>
      <c r="I18" s="17">
        <f t="shared" si="6"/>
        <v>4230593.5</v>
      </c>
      <c r="J18" s="17">
        <f t="shared" si="6"/>
        <v>4230593.5</v>
      </c>
      <c r="K18" s="17">
        <f t="shared" si="6"/>
        <v>4230593.5</v>
      </c>
      <c r="L18" s="17">
        <f t="shared" si="6"/>
        <v>4230593.5</v>
      </c>
      <c r="M18" s="17">
        <f t="shared" si="6"/>
        <v>4230593.5</v>
      </c>
      <c r="O18" s="9" t="s">
        <v>66</v>
      </c>
      <c r="P18" s="17">
        <f>M20</f>
        <v>4133479</v>
      </c>
      <c r="Q18" s="17">
        <f t="shared" ref="Q18:AA18" si="7">P20</f>
        <v>4133479</v>
      </c>
      <c r="R18" s="17">
        <f t="shared" si="7"/>
        <v>4133479</v>
      </c>
      <c r="S18" s="17">
        <f t="shared" si="7"/>
        <v>4133479</v>
      </c>
      <c r="T18" s="17">
        <f t="shared" si="7"/>
        <v>4133479</v>
      </c>
      <c r="U18" s="17">
        <f t="shared" si="7"/>
        <v>4133479</v>
      </c>
      <c r="V18" s="17">
        <f t="shared" si="7"/>
        <v>4032458.5</v>
      </c>
      <c r="W18" s="17">
        <f t="shared" si="7"/>
        <v>4032458.5</v>
      </c>
      <c r="X18" s="17">
        <f t="shared" si="7"/>
        <v>4032458.5</v>
      </c>
      <c r="Y18" s="17">
        <f t="shared" si="7"/>
        <v>4032458.5</v>
      </c>
      <c r="Z18" s="17">
        <f t="shared" si="7"/>
        <v>4032458.5</v>
      </c>
      <c r="AA18" s="17">
        <f t="shared" si="7"/>
        <v>4032458.5</v>
      </c>
      <c r="AB18" s="17"/>
      <c r="AC18" s="9" t="s">
        <v>66</v>
      </c>
      <c r="AD18" s="17">
        <f>AA20</f>
        <v>3926479</v>
      </c>
      <c r="AE18" s="17">
        <f t="shared" ref="AE18:AO18" si="8">AD20</f>
        <v>3926479</v>
      </c>
      <c r="AF18" s="17">
        <f t="shared" si="8"/>
        <v>3926479</v>
      </c>
      <c r="AG18" s="17">
        <f t="shared" si="8"/>
        <v>3926479</v>
      </c>
      <c r="AH18" s="17">
        <f t="shared" si="8"/>
        <v>3926479</v>
      </c>
      <c r="AI18" s="17">
        <f t="shared" si="8"/>
        <v>3926479</v>
      </c>
      <c r="AJ18" s="17">
        <f t="shared" si="8"/>
        <v>3817178.5</v>
      </c>
      <c r="AK18" s="17">
        <f t="shared" si="8"/>
        <v>3817178.5</v>
      </c>
      <c r="AL18" s="17">
        <f t="shared" si="8"/>
        <v>3817178.5</v>
      </c>
      <c r="AM18" s="17">
        <f t="shared" si="8"/>
        <v>3817178.5</v>
      </c>
      <c r="AN18" s="17">
        <f t="shared" si="8"/>
        <v>3817178.5</v>
      </c>
      <c r="AO18" s="17">
        <f t="shared" si="8"/>
        <v>3817178.5</v>
      </c>
    </row>
    <row r="19" spans="1:41">
      <c r="A19" s="9" t="s">
        <v>67</v>
      </c>
      <c r="B19" s="17"/>
      <c r="C19" s="17"/>
      <c r="D19" s="17"/>
      <c r="E19" s="17"/>
      <c r="G19" s="17">
        <f>4500000*0.020747*-1</f>
        <v>-93361.5</v>
      </c>
      <c r="H19" s="17"/>
      <c r="I19" s="17"/>
      <c r="J19" s="17"/>
      <c r="K19" s="17"/>
      <c r="M19" s="17">
        <f>4500000*0.021581*-1</f>
        <v>-97114.5</v>
      </c>
      <c r="N19" s="17"/>
      <c r="O19" s="9" t="s">
        <v>67</v>
      </c>
      <c r="P19" s="17"/>
      <c r="Q19" s="17"/>
      <c r="R19" s="17"/>
      <c r="S19" s="17"/>
      <c r="U19" s="17">
        <f>4500000*0.022449*-1</f>
        <v>-101020.5</v>
      </c>
      <c r="V19" s="17"/>
      <c r="W19" s="17"/>
      <c r="X19" s="17"/>
      <c r="Y19" s="17"/>
      <c r="AA19" s="17">
        <f>4500000*0.023551*-1</f>
        <v>-105979.5</v>
      </c>
      <c r="AB19" s="17"/>
      <c r="AC19" s="9" t="s">
        <v>67</v>
      </c>
      <c r="AD19" s="17"/>
      <c r="AE19" s="17"/>
      <c r="AF19" s="17"/>
      <c r="AG19" s="17"/>
      <c r="AI19" s="17">
        <f>4500000*0.024289*-1</f>
        <v>-109300.5</v>
      </c>
      <c r="AJ19" s="17"/>
      <c r="AK19" s="17"/>
      <c r="AL19" s="17"/>
      <c r="AM19" s="17"/>
      <c r="AO19" s="17">
        <f>4500000*0.025266*-1</f>
        <v>-113697</v>
      </c>
    </row>
    <row r="20" spans="1:41" s="68" customFormat="1">
      <c r="A20" s="68" t="s">
        <v>68</v>
      </c>
      <c r="B20" s="273">
        <f t="shared" ref="B20:K20" si="9">SUM(B18:B19)</f>
        <v>4323955</v>
      </c>
      <c r="C20" s="273">
        <f t="shared" si="9"/>
        <v>4323955</v>
      </c>
      <c r="D20" s="273">
        <f t="shared" si="9"/>
        <v>4323955</v>
      </c>
      <c r="E20" s="273">
        <f t="shared" si="9"/>
        <v>4323955</v>
      </c>
      <c r="F20" s="273">
        <f>SUM(F18:F19)</f>
        <v>4323955</v>
      </c>
      <c r="G20" s="273">
        <f>SUM(G18:G19)</f>
        <v>4230593.5</v>
      </c>
      <c r="H20" s="273">
        <f t="shared" si="9"/>
        <v>4230593.5</v>
      </c>
      <c r="I20" s="273">
        <f t="shared" si="9"/>
        <v>4230593.5</v>
      </c>
      <c r="J20" s="273">
        <f t="shared" si="9"/>
        <v>4230593.5</v>
      </c>
      <c r="K20" s="273">
        <f t="shared" si="9"/>
        <v>4230593.5</v>
      </c>
      <c r="L20" s="273">
        <f>SUM(L18:L19)</f>
        <v>4230593.5</v>
      </c>
      <c r="M20" s="273">
        <f>SUM(M18:M19)</f>
        <v>4133479</v>
      </c>
      <c r="O20" s="68" t="s">
        <v>68</v>
      </c>
      <c r="P20" s="273">
        <f t="shared" ref="P20:AA20" si="10">SUM(P18:P19)</f>
        <v>4133479</v>
      </c>
      <c r="Q20" s="273">
        <f t="shared" si="10"/>
        <v>4133479</v>
      </c>
      <c r="R20" s="273">
        <f t="shared" si="10"/>
        <v>4133479</v>
      </c>
      <c r="S20" s="273">
        <f t="shared" si="10"/>
        <v>4133479</v>
      </c>
      <c r="T20" s="273">
        <f t="shared" si="10"/>
        <v>4133479</v>
      </c>
      <c r="U20" s="273">
        <f t="shared" si="10"/>
        <v>4032458.5</v>
      </c>
      <c r="V20" s="273">
        <f t="shared" si="10"/>
        <v>4032458.5</v>
      </c>
      <c r="W20" s="273">
        <f t="shared" si="10"/>
        <v>4032458.5</v>
      </c>
      <c r="X20" s="273">
        <f t="shared" si="10"/>
        <v>4032458.5</v>
      </c>
      <c r="Y20" s="273">
        <f t="shared" si="10"/>
        <v>4032458.5</v>
      </c>
      <c r="Z20" s="273">
        <f t="shared" si="10"/>
        <v>4032458.5</v>
      </c>
      <c r="AA20" s="273">
        <f t="shared" si="10"/>
        <v>3926479</v>
      </c>
      <c r="AB20" s="67"/>
      <c r="AC20" s="68" t="s">
        <v>68</v>
      </c>
      <c r="AD20" s="273">
        <f t="shared" ref="AD20:AO20" si="11">SUM(AD18:AD19)</f>
        <v>3926479</v>
      </c>
      <c r="AE20" s="273">
        <f t="shared" si="11"/>
        <v>3926479</v>
      </c>
      <c r="AF20" s="273">
        <f t="shared" si="11"/>
        <v>3926479</v>
      </c>
      <c r="AG20" s="273">
        <f t="shared" si="11"/>
        <v>3926479</v>
      </c>
      <c r="AH20" s="273">
        <f t="shared" si="11"/>
        <v>3926479</v>
      </c>
      <c r="AI20" s="273">
        <f t="shared" si="11"/>
        <v>3817178.5</v>
      </c>
      <c r="AJ20" s="273">
        <f t="shared" si="11"/>
        <v>3817178.5</v>
      </c>
      <c r="AK20" s="273">
        <f t="shared" si="11"/>
        <v>3817178.5</v>
      </c>
      <c r="AL20" s="273">
        <f t="shared" si="11"/>
        <v>3817178.5</v>
      </c>
      <c r="AM20" s="273">
        <f t="shared" si="11"/>
        <v>3817178.5</v>
      </c>
      <c r="AN20" s="273">
        <f t="shared" si="11"/>
        <v>3817178.5</v>
      </c>
      <c r="AO20" s="273">
        <f t="shared" si="11"/>
        <v>3703481.5</v>
      </c>
    </row>
    <row r="21" spans="1:4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1:41">
      <c r="A22" s="68" t="s">
        <v>81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O22" s="68" t="s">
        <v>81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68" t="s">
        <v>81</v>
      </c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1:41">
      <c r="B23" s="87" t="s">
        <v>50</v>
      </c>
      <c r="C23" s="87" t="s">
        <v>51</v>
      </c>
      <c r="D23" s="87" t="s">
        <v>52</v>
      </c>
      <c r="E23" s="87" t="s">
        <v>53</v>
      </c>
      <c r="F23" s="87" t="s">
        <v>54</v>
      </c>
      <c r="G23" s="87" t="s">
        <v>55</v>
      </c>
      <c r="H23" s="87" t="s">
        <v>56</v>
      </c>
      <c r="I23" s="87" t="s">
        <v>57</v>
      </c>
      <c r="J23" s="87" t="s">
        <v>58</v>
      </c>
      <c r="K23" s="87" t="s">
        <v>59</v>
      </c>
      <c r="L23" s="87" t="s">
        <v>60</v>
      </c>
      <c r="M23" s="87" t="s">
        <v>61</v>
      </c>
      <c r="P23" s="87" t="s">
        <v>50</v>
      </c>
      <c r="Q23" s="87" t="s">
        <v>51</v>
      </c>
      <c r="R23" s="87" t="s">
        <v>52</v>
      </c>
      <c r="S23" s="87" t="s">
        <v>53</v>
      </c>
      <c r="T23" s="87" t="s">
        <v>54</v>
      </c>
      <c r="U23" s="87" t="s">
        <v>55</v>
      </c>
      <c r="V23" s="87" t="s">
        <v>56</v>
      </c>
      <c r="W23" s="87" t="s">
        <v>57</v>
      </c>
      <c r="X23" s="87" t="s">
        <v>58</v>
      </c>
      <c r="Y23" s="87" t="s">
        <v>59</v>
      </c>
      <c r="Z23" s="87" t="s">
        <v>60</v>
      </c>
      <c r="AA23" s="87" t="s">
        <v>61</v>
      </c>
      <c r="AB23" s="17"/>
      <c r="AD23" s="87" t="s">
        <v>50</v>
      </c>
      <c r="AE23" s="87" t="s">
        <v>51</v>
      </c>
      <c r="AF23" s="87" t="s">
        <v>52</v>
      </c>
      <c r="AG23" s="87" t="s">
        <v>53</v>
      </c>
      <c r="AH23" s="87" t="s">
        <v>54</v>
      </c>
      <c r="AI23" s="87" t="s">
        <v>55</v>
      </c>
      <c r="AJ23" s="87" t="s">
        <v>56</v>
      </c>
      <c r="AK23" s="87" t="s">
        <v>57</v>
      </c>
      <c r="AL23" s="87" t="s">
        <v>58</v>
      </c>
      <c r="AM23" s="87" t="s">
        <v>59</v>
      </c>
      <c r="AN23" s="87" t="s">
        <v>60</v>
      </c>
      <c r="AO23" s="87" t="s">
        <v>61</v>
      </c>
    </row>
    <row r="24" spans="1:41">
      <c r="A24" s="9" t="s">
        <v>66</v>
      </c>
      <c r="B24" s="17">
        <v>5449914</v>
      </c>
      <c r="C24" s="17">
        <f t="shared" ref="C24:M24" si="12">B26</f>
        <v>5449914</v>
      </c>
      <c r="D24" s="17">
        <f t="shared" si="12"/>
        <v>5449914</v>
      </c>
      <c r="E24" s="17">
        <f t="shared" si="12"/>
        <v>5449914</v>
      </c>
      <c r="F24" s="17">
        <f t="shared" si="12"/>
        <v>5449914</v>
      </c>
      <c r="G24" s="17">
        <f t="shared" si="12"/>
        <v>5449914</v>
      </c>
      <c r="H24" s="17">
        <f t="shared" si="12"/>
        <v>5449914</v>
      </c>
      <c r="I24" s="17">
        <f t="shared" si="12"/>
        <v>5449914</v>
      </c>
      <c r="J24" s="17">
        <f t="shared" si="12"/>
        <v>5449914</v>
      </c>
      <c r="K24" s="17">
        <f t="shared" si="12"/>
        <v>5449914</v>
      </c>
      <c r="L24" s="17">
        <f t="shared" si="12"/>
        <v>5449914</v>
      </c>
      <c r="M24" s="17">
        <f t="shared" si="12"/>
        <v>5449914</v>
      </c>
      <c r="O24" s="9" t="s">
        <v>66</v>
      </c>
      <c r="P24" s="17">
        <f>M26</f>
        <v>5449914</v>
      </c>
      <c r="Q24" s="17">
        <f t="shared" ref="Q24:AA24" si="13">P26</f>
        <v>5449914</v>
      </c>
      <c r="R24" s="17">
        <f t="shared" si="13"/>
        <v>5449914</v>
      </c>
      <c r="S24" s="17">
        <f t="shared" si="13"/>
        <v>5449914</v>
      </c>
      <c r="T24" s="17">
        <f t="shared" si="13"/>
        <v>5449914</v>
      </c>
      <c r="U24" s="17">
        <f t="shared" si="13"/>
        <v>5449914</v>
      </c>
      <c r="V24" s="17">
        <f t="shared" si="13"/>
        <v>5449914</v>
      </c>
      <c r="W24" s="17">
        <f t="shared" si="13"/>
        <v>5449914</v>
      </c>
      <c r="X24" s="17">
        <f t="shared" si="13"/>
        <v>5449914</v>
      </c>
      <c r="Y24" s="17">
        <f t="shared" si="13"/>
        <v>5449914</v>
      </c>
      <c r="Z24" s="17">
        <f t="shared" si="13"/>
        <v>5449914</v>
      </c>
      <c r="AA24" s="17">
        <f t="shared" si="13"/>
        <v>5449914</v>
      </c>
      <c r="AB24" s="17"/>
      <c r="AC24" s="9" t="s">
        <v>66</v>
      </c>
      <c r="AD24" s="17">
        <f>AA26</f>
        <v>5449914</v>
      </c>
      <c r="AE24" s="17">
        <f t="shared" ref="AE24:AO24" si="14">AD26</f>
        <v>5449914</v>
      </c>
      <c r="AF24" s="17">
        <f t="shared" si="14"/>
        <v>5449914</v>
      </c>
      <c r="AG24" s="17">
        <f t="shared" si="14"/>
        <v>5449914</v>
      </c>
      <c r="AH24" s="17">
        <f t="shared" si="14"/>
        <v>5449914</v>
      </c>
      <c r="AI24" s="17">
        <f t="shared" si="14"/>
        <v>5449914</v>
      </c>
      <c r="AJ24" s="17">
        <f t="shared" si="14"/>
        <v>5449914</v>
      </c>
      <c r="AK24" s="17">
        <f t="shared" si="14"/>
        <v>5449914</v>
      </c>
      <c r="AL24" s="17">
        <f t="shared" si="14"/>
        <v>5449914</v>
      </c>
      <c r="AM24" s="17">
        <f t="shared" si="14"/>
        <v>5449914</v>
      </c>
      <c r="AN24" s="17">
        <f t="shared" si="14"/>
        <v>5449914</v>
      </c>
      <c r="AO24" s="17">
        <f t="shared" si="14"/>
        <v>5449914</v>
      </c>
    </row>
    <row r="25" spans="1:41">
      <c r="A25" s="9" t="s">
        <v>67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O25" s="9" t="s">
        <v>67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9" t="s">
        <v>67</v>
      </c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 s="68" customFormat="1">
      <c r="A26" s="68" t="s">
        <v>68</v>
      </c>
      <c r="B26" s="273">
        <f t="shared" ref="B26:M26" si="15">SUM(B24:B25)</f>
        <v>5449914</v>
      </c>
      <c r="C26" s="273">
        <f t="shared" si="15"/>
        <v>5449914</v>
      </c>
      <c r="D26" s="273">
        <f t="shared" si="15"/>
        <v>5449914</v>
      </c>
      <c r="E26" s="273">
        <f t="shared" si="15"/>
        <v>5449914</v>
      </c>
      <c r="F26" s="273">
        <f t="shared" si="15"/>
        <v>5449914</v>
      </c>
      <c r="G26" s="273">
        <f t="shared" si="15"/>
        <v>5449914</v>
      </c>
      <c r="H26" s="273">
        <f t="shared" si="15"/>
        <v>5449914</v>
      </c>
      <c r="I26" s="273">
        <f t="shared" si="15"/>
        <v>5449914</v>
      </c>
      <c r="J26" s="273">
        <f t="shared" si="15"/>
        <v>5449914</v>
      </c>
      <c r="K26" s="273">
        <f t="shared" si="15"/>
        <v>5449914</v>
      </c>
      <c r="L26" s="273">
        <f t="shared" si="15"/>
        <v>5449914</v>
      </c>
      <c r="M26" s="273">
        <f t="shared" si="15"/>
        <v>5449914</v>
      </c>
      <c r="O26" s="68" t="s">
        <v>68</v>
      </c>
      <c r="P26" s="273">
        <f t="shared" ref="P26:AA26" si="16">SUM(P24:P25)</f>
        <v>5449914</v>
      </c>
      <c r="Q26" s="273">
        <f t="shared" si="16"/>
        <v>5449914</v>
      </c>
      <c r="R26" s="273">
        <f t="shared" si="16"/>
        <v>5449914</v>
      </c>
      <c r="S26" s="273">
        <f t="shared" si="16"/>
        <v>5449914</v>
      </c>
      <c r="T26" s="273">
        <f t="shared" si="16"/>
        <v>5449914</v>
      </c>
      <c r="U26" s="273">
        <f t="shared" si="16"/>
        <v>5449914</v>
      </c>
      <c r="V26" s="273">
        <f t="shared" si="16"/>
        <v>5449914</v>
      </c>
      <c r="W26" s="273">
        <f t="shared" si="16"/>
        <v>5449914</v>
      </c>
      <c r="X26" s="273">
        <f t="shared" si="16"/>
        <v>5449914</v>
      </c>
      <c r="Y26" s="273">
        <f t="shared" si="16"/>
        <v>5449914</v>
      </c>
      <c r="Z26" s="273">
        <f t="shared" si="16"/>
        <v>5449914</v>
      </c>
      <c r="AA26" s="273">
        <f t="shared" si="16"/>
        <v>5449914</v>
      </c>
      <c r="AB26" s="67"/>
      <c r="AC26" s="68" t="s">
        <v>68</v>
      </c>
      <c r="AD26" s="273">
        <f t="shared" ref="AD26:AO26" si="17">SUM(AD24:AD25)</f>
        <v>5449914</v>
      </c>
      <c r="AE26" s="273">
        <f t="shared" si="17"/>
        <v>5449914</v>
      </c>
      <c r="AF26" s="273">
        <f t="shared" si="17"/>
        <v>5449914</v>
      </c>
      <c r="AG26" s="273">
        <f t="shared" si="17"/>
        <v>5449914</v>
      </c>
      <c r="AH26" s="273">
        <f t="shared" si="17"/>
        <v>5449914</v>
      </c>
      <c r="AI26" s="273">
        <f t="shared" si="17"/>
        <v>5449914</v>
      </c>
      <c r="AJ26" s="273">
        <f t="shared" si="17"/>
        <v>5449914</v>
      </c>
      <c r="AK26" s="273">
        <f t="shared" si="17"/>
        <v>5449914</v>
      </c>
      <c r="AL26" s="273">
        <f t="shared" si="17"/>
        <v>5449914</v>
      </c>
      <c r="AM26" s="273">
        <f t="shared" si="17"/>
        <v>5449914</v>
      </c>
      <c r="AN26" s="273">
        <f t="shared" si="17"/>
        <v>5449914</v>
      </c>
      <c r="AO26" s="273">
        <f t="shared" si="17"/>
        <v>5449914</v>
      </c>
    </row>
    <row r="27" spans="1:41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7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</row>
    <row r="29" spans="1:41"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7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</row>
    <row r="30" spans="1:4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1:41">
      <c r="A31" s="68" t="s">
        <v>84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O31" s="9" t="s">
        <v>84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9" t="s">
        <v>84</v>
      </c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1:41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41">
      <c r="A33" s="68" t="s">
        <v>86</v>
      </c>
      <c r="O33" s="68" t="s">
        <v>86</v>
      </c>
      <c r="AB33" s="17"/>
      <c r="AC33" s="68" t="s">
        <v>86</v>
      </c>
    </row>
    <row r="34" spans="1:41">
      <c r="B34" s="87" t="s">
        <v>50</v>
      </c>
      <c r="C34" s="87" t="s">
        <v>51</v>
      </c>
      <c r="D34" s="87" t="s">
        <v>52</v>
      </c>
      <c r="E34" s="87" t="s">
        <v>53</v>
      </c>
      <c r="F34" s="87" t="s">
        <v>54</v>
      </c>
      <c r="G34" s="87" t="s">
        <v>55</v>
      </c>
      <c r="H34" s="87" t="s">
        <v>56</v>
      </c>
      <c r="I34" s="87" t="s">
        <v>57</v>
      </c>
      <c r="J34" s="87" t="s">
        <v>58</v>
      </c>
      <c r="K34" s="87" t="s">
        <v>59</v>
      </c>
      <c r="L34" s="87" t="s">
        <v>60</v>
      </c>
      <c r="M34" s="87" t="s">
        <v>61</v>
      </c>
      <c r="P34" s="87" t="s">
        <v>50</v>
      </c>
      <c r="Q34" s="87" t="s">
        <v>51</v>
      </c>
      <c r="R34" s="87" t="s">
        <v>52</v>
      </c>
      <c r="S34" s="87" t="s">
        <v>53</v>
      </c>
      <c r="T34" s="87" t="s">
        <v>54</v>
      </c>
      <c r="U34" s="87" t="s">
        <v>55</v>
      </c>
      <c r="V34" s="87" t="s">
        <v>56</v>
      </c>
      <c r="W34" s="87" t="s">
        <v>57</v>
      </c>
      <c r="X34" s="87" t="s">
        <v>58</v>
      </c>
      <c r="Y34" s="87" t="s">
        <v>59</v>
      </c>
      <c r="Z34" s="87" t="s">
        <v>60</v>
      </c>
      <c r="AA34" s="87" t="s">
        <v>61</v>
      </c>
      <c r="AB34" s="17"/>
      <c r="AD34" s="87" t="s">
        <v>50</v>
      </c>
      <c r="AE34" s="87" t="s">
        <v>51</v>
      </c>
      <c r="AF34" s="87" t="s">
        <v>52</v>
      </c>
      <c r="AG34" s="87" t="s">
        <v>53</v>
      </c>
      <c r="AH34" s="87" t="s">
        <v>54</v>
      </c>
      <c r="AI34" s="87" t="s">
        <v>55</v>
      </c>
      <c r="AJ34" s="87" t="s">
        <v>56</v>
      </c>
      <c r="AK34" s="87" t="s">
        <v>57</v>
      </c>
      <c r="AL34" s="87" t="s">
        <v>58</v>
      </c>
      <c r="AM34" s="87" t="s">
        <v>59</v>
      </c>
      <c r="AN34" s="87" t="s">
        <v>60</v>
      </c>
      <c r="AO34" s="87" t="s">
        <v>61</v>
      </c>
    </row>
    <row r="35" spans="1:41">
      <c r="A35" s="9" t="s">
        <v>66</v>
      </c>
      <c r="B35" s="17">
        <f>B11*Factors!C7</f>
        <v>470738081.26439995</v>
      </c>
      <c r="C35" s="17">
        <f>B38</f>
        <v>471397114.57817018</v>
      </c>
      <c r="D35" s="17">
        <f t="shared" ref="D35:M35" si="18">C38</f>
        <v>472056147.89194036</v>
      </c>
      <c r="E35" s="17">
        <f t="shared" si="18"/>
        <v>472715181.20571053</v>
      </c>
      <c r="F35" s="17">
        <f t="shared" si="18"/>
        <v>473374214.51948071</v>
      </c>
      <c r="G35" s="17">
        <f t="shared" si="18"/>
        <v>474033247.83325094</v>
      </c>
      <c r="H35" s="17">
        <f t="shared" si="18"/>
        <v>464442873.30591184</v>
      </c>
      <c r="I35" s="17">
        <f t="shared" si="18"/>
        <v>465087676.97769713</v>
      </c>
      <c r="J35" s="17">
        <f t="shared" si="18"/>
        <v>465732480.64948243</v>
      </c>
      <c r="K35" s="17">
        <f t="shared" si="18"/>
        <v>466377284.32126772</v>
      </c>
      <c r="L35" s="17">
        <f t="shared" si="18"/>
        <v>467022087.99305308</v>
      </c>
      <c r="M35" s="17">
        <f t="shared" si="18"/>
        <v>467666891.66483837</v>
      </c>
      <c r="O35" s="9" t="s">
        <v>66</v>
      </c>
      <c r="P35" s="17">
        <f>M38</f>
        <v>457561465.90388477</v>
      </c>
      <c r="Q35" s="17">
        <f t="shared" ref="Q35:AA35" si="19">P38</f>
        <v>459467972.01181763</v>
      </c>
      <c r="R35" s="17">
        <f t="shared" si="19"/>
        <v>461374478.1197505</v>
      </c>
      <c r="S35" s="17">
        <f t="shared" si="19"/>
        <v>463280984.22768331</v>
      </c>
      <c r="T35" s="17">
        <f t="shared" si="19"/>
        <v>465187490.33561617</v>
      </c>
      <c r="U35" s="17">
        <f t="shared" si="19"/>
        <v>467093996.44354898</v>
      </c>
      <c r="V35" s="17">
        <f t="shared" si="19"/>
        <v>457538327.58049142</v>
      </c>
      <c r="W35" s="17">
        <f t="shared" si="19"/>
        <v>459398239.48122513</v>
      </c>
      <c r="X35" s="17">
        <f t="shared" si="19"/>
        <v>461258151.38195878</v>
      </c>
      <c r="Y35" s="17">
        <f t="shared" si="19"/>
        <v>463118063.28269249</v>
      </c>
      <c r="Z35" s="17">
        <f t="shared" si="19"/>
        <v>464977975.1834262</v>
      </c>
      <c r="AA35" s="17">
        <f t="shared" si="19"/>
        <v>466837887.08415985</v>
      </c>
      <c r="AB35" s="17"/>
      <c r="AC35" s="9" t="s">
        <v>66</v>
      </c>
      <c r="AD35" s="17">
        <f>AA38</f>
        <v>456484276.07779568</v>
      </c>
      <c r="AE35" s="17">
        <f t="shared" ref="AE35:AO35" si="20">AD38</f>
        <v>458386293.89478648</v>
      </c>
      <c r="AF35" s="17">
        <f t="shared" si="20"/>
        <v>460288311.71177727</v>
      </c>
      <c r="AG35" s="17">
        <f t="shared" si="20"/>
        <v>462190329.52876812</v>
      </c>
      <c r="AH35" s="17">
        <f t="shared" si="20"/>
        <v>464092347.34575891</v>
      </c>
      <c r="AI35" s="17">
        <f t="shared" si="20"/>
        <v>465994365.16274977</v>
      </c>
      <c r="AJ35" s="17">
        <f t="shared" si="20"/>
        <v>454874644.53865612</v>
      </c>
      <c r="AK35" s="17">
        <f t="shared" si="20"/>
        <v>456723728.45954496</v>
      </c>
      <c r="AL35" s="17">
        <f t="shared" si="20"/>
        <v>458572812.3804338</v>
      </c>
      <c r="AM35" s="17">
        <f t="shared" si="20"/>
        <v>460421896.30132264</v>
      </c>
      <c r="AN35" s="17">
        <f t="shared" si="20"/>
        <v>462270980.22221148</v>
      </c>
      <c r="AO35" s="17">
        <f t="shared" si="20"/>
        <v>464120064.14310032</v>
      </c>
    </row>
    <row r="36" spans="1:41">
      <c r="A36" s="9" t="s">
        <v>67</v>
      </c>
      <c r="B36" s="17">
        <f>B12*Factors!C11</f>
        <v>0</v>
      </c>
      <c r="C36" s="17">
        <f>C12*Factors!D11</f>
        <v>0</v>
      </c>
      <c r="D36" s="17">
        <f>D12*Factors!E11</f>
        <v>0</v>
      </c>
      <c r="E36" s="17">
        <f>E12*Factors!F11</f>
        <v>0</v>
      </c>
      <c r="F36" s="17">
        <f>F12*Factors!G11</f>
        <v>0</v>
      </c>
      <c r="G36" s="17">
        <f>G12*Factors!H11</f>
        <v>-10249407.841109283</v>
      </c>
      <c r="H36" s="17">
        <f>H12*Factors!I11</f>
        <v>0</v>
      </c>
      <c r="I36" s="17">
        <f>I12*Factors!J11</f>
        <v>0</v>
      </c>
      <c r="J36" s="17">
        <f>J12*Factors!K11</f>
        <v>0</v>
      </c>
      <c r="K36" s="17">
        <f>K12*Factors!L11</f>
        <v>0</v>
      </c>
      <c r="L36" s="17">
        <f>L12*Factors!M11</f>
        <v>0</v>
      </c>
      <c r="M36" s="17">
        <f>M12*Factors!N11</f>
        <v>-10750229.432738887</v>
      </c>
      <c r="O36" s="9" t="s">
        <v>67</v>
      </c>
      <c r="P36" s="17">
        <f>P12*Factors!Q11</f>
        <v>0</v>
      </c>
      <c r="Q36" s="17">
        <f>Q12*Factors!R11</f>
        <v>0</v>
      </c>
      <c r="R36" s="17">
        <f>R12*Factors!S11</f>
        <v>0</v>
      </c>
      <c r="S36" s="17">
        <f>S12*Factors!T11</f>
        <v>0</v>
      </c>
      <c r="T36" s="17">
        <f>T12*Factors!U11</f>
        <v>0</v>
      </c>
      <c r="U36" s="17">
        <f>U12*Factors!V11</f>
        <v>-11415580.763791267</v>
      </c>
      <c r="V36" s="17">
        <f>V12*Factors!W11</f>
        <v>0</v>
      </c>
      <c r="W36" s="17">
        <f>W12*Factors!X11</f>
        <v>0</v>
      </c>
      <c r="X36" s="17">
        <f>X12*Factors!Y11</f>
        <v>0</v>
      </c>
      <c r="Y36" s="17">
        <f>Y12*Factors!Z11</f>
        <v>0</v>
      </c>
      <c r="Z36" s="17">
        <f>Z12*Factors!AA11</f>
        <v>0</v>
      </c>
      <c r="AA36" s="17">
        <f>AA12*Factors!AB11</f>
        <v>-12165056.546355456</v>
      </c>
      <c r="AB36" s="17"/>
      <c r="AC36" s="9" t="s">
        <v>67</v>
      </c>
      <c r="AD36" s="17">
        <f>AD12*Factors!AE11</f>
        <v>0</v>
      </c>
      <c r="AE36" s="17">
        <f>AE12*Factors!AF11</f>
        <v>0</v>
      </c>
      <c r="AF36" s="17">
        <f>AF12*Factors!AG11</f>
        <v>0</v>
      </c>
      <c r="AG36" s="17">
        <f>AG12*Factors!AH11</f>
        <v>0</v>
      </c>
      <c r="AH36" s="17">
        <f>AH12*Factors!AI11</f>
        <v>0</v>
      </c>
      <c r="AI36" s="17">
        <f>AI12*Factors!AJ11</f>
        <v>-12915870.648880538</v>
      </c>
      <c r="AJ36" s="17">
        <f>AJ12*Factors!AK11</f>
        <v>0</v>
      </c>
      <c r="AK36" s="17">
        <f>AK12*Factors!AL11</f>
        <v>0</v>
      </c>
      <c r="AL36" s="17">
        <f>AL12*Factors!AM11</f>
        <v>0</v>
      </c>
      <c r="AM36" s="17">
        <f>AM12*Factors!AN11</f>
        <v>0</v>
      </c>
      <c r="AN36" s="17">
        <f>AN12*Factors!AO11</f>
        <v>0</v>
      </c>
      <c r="AO36" s="17">
        <f>AO12*Factors!AP11</f>
        <v>-13765776.883695906</v>
      </c>
    </row>
    <row r="37" spans="1:41">
      <c r="A37" s="9" t="s">
        <v>85</v>
      </c>
      <c r="B37" s="17">
        <f t="shared" ref="B37:G37" si="21">B38-B35-B36</f>
        <v>659033.31377023458</v>
      </c>
      <c r="C37" s="17">
        <f t="shared" si="21"/>
        <v>659033.31377017498</v>
      </c>
      <c r="D37" s="17">
        <f t="shared" si="21"/>
        <v>659033.31377017498</v>
      </c>
      <c r="E37" s="17">
        <f t="shared" si="21"/>
        <v>659033.31377017498</v>
      </c>
      <c r="F37" s="17">
        <f t="shared" si="21"/>
        <v>659033.31377023458</v>
      </c>
      <c r="G37" s="17">
        <f t="shared" si="21"/>
        <v>659033.31377018243</v>
      </c>
      <c r="H37" s="17">
        <f t="shared" ref="H37:M37" si="22">H38-H35-H36</f>
        <v>644803.67178529501</v>
      </c>
      <c r="I37" s="17">
        <f t="shared" si="22"/>
        <v>644803.67178529501</v>
      </c>
      <c r="J37" s="17">
        <f t="shared" si="22"/>
        <v>644803.67178529501</v>
      </c>
      <c r="K37" s="17">
        <f t="shared" si="22"/>
        <v>644803.67178535461</v>
      </c>
      <c r="L37" s="17">
        <f t="shared" si="22"/>
        <v>644803.67178529501</v>
      </c>
      <c r="M37" s="17">
        <f t="shared" si="22"/>
        <v>644803.67178528197</v>
      </c>
      <c r="N37" s="17"/>
      <c r="O37" s="9" t="s">
        <v>85</v>
      </c>
      <c r="P37" s="17">
        <f t="shared" ref="P37:AA37" si="23">P38-P35-P36</f>
        <v>1906506.1079328656</v>
      </c>
      <c r="Q37" s="17">
        <f t="shared" si="23"/>
        <v>1906506.1079328656</v>
      </c>
      <c r="R37" s="17">
        <f t="shared" si="23"/>
        <v>1906506.107932806</v>
      </c>
      <c r="S37" s="17">
        <f t="shared" si="23"/>
        <v>1906506.1079328656</v>
      </c>
      <c r="T37" s="17">
        <f t="shared" si="23"/>
        <v>1906506.107932806</v>
      </c>
      <c r="U37" s="17">
        <f t="shared" si="23"/>
        <v>1859911.9007337131</v>
      </c>
      <c r="V37" s="17">
        <f t="shared" si="23"/>
        <v>1859911.9007337093</v>
      </c>
      <c r="W37" s="17">
        <f t="shared" si="23"/>
        <v>1859911.9007336497</v>
      </c>
      <c r="X37" s="17">
        <f t="shared" si="23"/>
        <v>1859911.9007337093</v>
      </c>
      <c r="Y37" s="17">
        <f t="shared" si="23"/>
        <v>1859911.9007337093</v>
      </c>
      <c r="Z37" s="17">
        <f t="shared" si="23"/>
        <v>1859911.9007336497</v>
      </c>
      <c r="AA37" s="17">
        <f t="shared" si="23"/>
        <v>1811445.5399912894</v>
      </c>
      <c r="AB37" s="17"/>
      <c r="AC37" s="9" t="s">
        <v>85</v>
      </c>
      <c r="AD37" s="17">
        <f t="shared" ref="AD37:AO37" si="24">AD38-AD35-AD36</f>
        <v>1902017.8169907928</v>
      </c>
      <c r="AE37" s="17">
        <f t="shared" si="24"/>
        <v>1902017.8169907928</v>
      </c>
      <c r="AF37" s="17">
        <f t="shared" si="24"/>
        <v>1902017.8169908524</v>
      </c>
      <c r="AG37" s="17">
        <f t="shared" si="24"/>
        <v>1902017.8169907928</v>
      </c>
      <c r="AH37" s="17">
        <f t="shared" si="24"/>
        <v>1902017.8169908524</v>
      </c>
      <c r="AI37" s="17">
        <f t="shared" si="24"/>
        <v>1796150.0247868858</v>
      </c>
      <c r="AJ37" s="17">
        <f t="shared" si="24"/>
        <v>1849083.9208888412</v>
      </c>
      <c r="AK37" s="17">
        <f t="shared" si="24"/>
        <v>1849083.9208888412</v>
      </c>
      <c r="AL37" s="17">
        <f t="shared" si="24"/>
        <v>1849083.9208888412</v>
      </c>
      <c r="AM37" s="17">
        <f t="shared" si="24"/>
        <v>1849083.9208888412</v>
      </c>
      <c r="AN37" s="17">
        <f t="shared" si="24"/>
        <v>1849083.9208888412</v>
      </c>
      <c r="AO37" s="17">
        <f t="shared" si="24"/>
        <v>1738957.7058193143</v>
      </c>
    </row>
    <row r="38" spans="1:41" s="68" customFormat="1">
      <c r="A38" s="68" t="s">
        <v>68</v>
      </c>
      <c r="B38" s="273">
        <f>B13*Factors!C11</f>
        <v>471397114.57817018</v>
      </c>
      <c r="C38" s="273">
        <f>C13*Factors!D11</f>
        <v>472056147.89194036</v>
      </c>
      <c r="D38" s="273">
        <f>D13*Factors!E11</f>
        <v>472715181.20571053</v>
      </c>
      <c r="E38" s="273">
        <f>E13*Factors!F11</f>
        <v>473374214.51948071</v>
      </c>
      <c r="F38" s="273">
        <f>F13*Factors!G11</f>
        <v>474033247.83325094</v>
      </c>
      <c r="G38" s="273">
        <f>G13*Factors!H11</f>
        <v>464442873.30591184</v>
      </c>
      <c r="H38" s="273">
        <f>H13*Factors!I11</f>
        <v>465087676.97769713</v>
      </c>
      <c r="I38" s="273">
        <f>I13*Factors!J11</f>
        <v>465732480.64948243</v>
      </c>
      <c r="J38" s="273">
        <f>J13*Factors!K11</f>
        <v>466377284.32126772</v>
      </c>
      <c r="K38" s="273">
        <f>K13*Factors!L11</f>
        <v>467022087.99305308</v>
      </c>
      <c r="L38" s="273">
        <f>L13*Factors!M11</f>
        <v>467666891.66483837</v>
      </c>
      <c r="M38" s="273">
        <f>M13*Factors!N11</f>
        <v>457561465.90388477</v>
      </c>
      <c r="O38" s="68" t="s">
        <v>68</v>
      </c>
      <c r="P38" s="273">
        <f>P13*Factors!R11</f>
        <v>459467972.01181763</v>
      </c>
      <c r="Q38" s="273">
        <f>Q13*Factors!S11</f>
        <v>461374478.1197505</v>
      </c>
      <c r="R38" s="273">
        <f>R13*Factors!T11</f>
        <v>463280984.22768331</v>
      </c>
      <c r="S38" s="273">
        <f>S13*Factors!U11</f>
        <v>465187490.33561617</v>
      </c>
      <c r="T38" s="273">
        <f>T13*Factors!V11</f>
        <v>467093996.44354898</v>
      </c>
      <c r="U38" s="273">
        <f>U13*Factors!W11</f>
        <v>457538327.58049142</v>
      </c>
      <c r="V38" s="273">
        <f>V13*Factors!X11</f>
        <v>459398239.48122513</v>
      </c>
      <c r="W38" s="273">
        <f>W13*Factors!Y11</f>
        <v>461258151.38195878</v>
      </c>
      <c r="X38" s="273">
        <f>X13*Factors!Z11</f>
        <v>463118063.28269249</v>
      </c>
      <c r="Y38" s="273">
        <f>Y13*Factors!AA11</f>
        <v>464977975.1834262</v>
      </c>
      <c r="Z38" s="273">
        <f>Z13*Factors!AB11</f>
        <v>466837887.08415985</v>
      </c>
      <c r="AA38" s="273">
        <f>AA13*Factors!AC11</f>
        <v>456484276.07779568</v>
      </c>
      <c r="AB38" s="67"/>
      <c r="AC38" s="68" t="s">
        <v>68</v>
      </c>
      <c r="AD38" s="273">
        <f>AD13*Factors!AG11</f>
        <v>458386293.89478648</v>
      </c>
      <c r="AE38" s="273">
        <f>AE13*Factors!AH11</f>
        <v>460288311.71177727</v>
      </c>
      <c r="AF38" s="273">
        <f>AF13*Factors!AI11</f>
        <v>462190329.52876812</v>
      </c>
      <c r="AG38" s="273">
        <f>AG13*Factors!AJ11</f>
        <v>464092347.34575891</v>
      </c>
      <c r="AH38" s="273">
        <f>AH13*Factors!AK11</f>
        <v>465994365.16274977</v>
      </c>
      <c r="AI38" s="273">
        <f>AI13*Factors!AL11</f>
        <v>454874644.53865612</v>
      </c>
      <c r="AJ38" s="273">
        <f>AJ13*Factors!AM11</f>
        <v>456723728.45954496</v>
      </c>
      <c r="AK38" s="273">
        <f>AK13*Factors!AN11</f>
        <v>458572812.3804338</v>
      </c>
      <c r="AL38" s="273">
        <f>AL13*Factors!AO11</f>
        <v>460421896.30132264</v>
      </c>
      <c r="AM38" s="273">
        <f>AM13*Factors!AP11</f>
        <v>462270980.22221148</v>
      </c>
      <c r="AN38" s="273">
        <f>AN13*Factors!AQ11</f>
        <v>464120064.14310032</v>
      </c>
      <c r="AO38" s="273">
        <f>AO13*Factors!AR11</f>
        <v>452093244.96522373</v>
      </c>
    </row>
    <row r="39" spans="1:41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spans="1:4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spans="1:41">
      <c r="A41" s="68" t="s">
        <v>87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O41" s="68" t="s">
        <v>87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68" t="s">
        <v>87</v>
      </c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1">
      <c r="B42" s="87" t="s">
        <v>50</v>
      </c>
      <c r="C42" s="87" t="s">
        <v>51</v>
      </c>
      <c r="D42" s="87" t="s">
        <v>52</v>
      </c>
      <c r="E42" s="87" t="s">
        <v>53</v>
      </c>
      <c r="F42" s="87" t="s">
        <v>54</v>
      </c>
      <c r="G42" s="87" t="s">
        <v>55</v>
      </c>
      <c r="H42" s="87" t="s">
        <v>56</v>
      </c>
      <c r="I42" s="87" t="s">
        <v>57</v>
      </c>
      <c r="J42" s="87" t="s">
        <v>58</v>
      </c>
      <c r="K42" s="87" t="s">
        <v>59</v>
      </c>
      <c r="L42" s="87" t="s">
        <v>60</v>
      </c>
      <c r="M42" s="87" t="s">
        <v>61</v>
      </c>
      <c r="P42" s="87" t="s">
        <v>50</v>
      </c>
      <c r="Q42" s="87" t="s">
        <v>51</v>
      </c>
      <c r="R42" s="87" t="s">
        <v>52</v>
      </c>
      <c r="S42" s="87" t="s">
        <v>53</v>
      </c>
      <c r="T42" s="87" t="s">
        <v>54</v>
      </c>
      <c r="U42" s="87" t="s">
        <v>55</v>
      </c>
      <c r="V42" s="87" t="s">
        <v>56</v>
      </c>
      <c r="W42" s="87" t="s">
        <v>57</v>
      </c>
      <c r="X42" s="87" t="s">
        <v>58</v>
      </c>
      <c r="Y42" s="87" t="s">
        <v>59</v>
      </c>
      <c r="Z42" s="87" t="s">
        <v>60</v>
      </c>
      <c r="AA42" s="87" t="s">
        <v>61</v>
      </c>
      <c r="AB42" s="17"/>
      <c r="AD42" s="87" t="s">
        <v>50</v>
      </c>
      <c r="AE42" s="87" t="s">
        <v>51</v>
      </c>
      <c r="AF42" s="87" t="s">
        <v>52</v>
      </c>
      <c r="AG42" s="87" t="s">
        <v>53</v>
      </c>
      <c r="AH42" s="87" t="s">
        <v>54</v>
      </c>
      <c r="AI42" s="87" t="s">
        <v>55</v>
      </c>
      <c r="AJ42" s="87" t="s">
        <v>56</v>
      </c>
      <c r="AK42" s="87" t="s">
        <v>57</v>
      </c>
      <c r="AL42" s="87" t="s">
        <v>58</v>
      </c>
      <c r="AM42" s="87" t="s">
        <v>59</v>
      </c>
      <c r="AN42" s="87" t="s">
        <v>60</v>
      </c>
      <c r="AO42" s="87" t="s">
        <v>61</v>
      </c>
    </row>
    <row r="43" spans="1:41">
      <c r="A43" s="9" t="s">
        <v>66</v>
      </c>
      <c r="B43" s="17">
        <f>B18*Factors!C7</f>
        <v>18581764.217</v>
      </c>
      <c r="C43" s="17">
        <f>B46</f>
        <v>18607778.686903801</v>
      </c>
      <c r="D43" s="17">
        <f t="shared" ref="D43:M43" si="25">C46</f>
        <v>18633793.156807601</v>
      </c>
      <c r="E43" s="17">
        <f t="shared" si="25"/>
        <v>18659807.626711402</v>
      </c>
      <c r="F43" s="17">
        <f t="shared" si="25"/>
        <v>18685822.096615203</v>
      </c>
      <c r="G43" s="17">
        <f t="shared" si="25"/>
        <v>18711836.566519003</v>
      </c>
      <c r="H43" s="17">
        <f t="shared" si="25"/>
        <v>18333269.147957966</v>
      </c>
      <c r="I43" s="17">
        <f t="shared" si="25"/>
        <v>18358721.921467628</v>
      </c>
      <c r="J43" s="17">
        <f t="shared" si="25"/>
        <v>18384174.694977287</v>
      </c>
      <c r="K43" s="17">
        <f t="shared" si="25"/>
        <v>18409627.46848695</v>
      </c>
      <c r="L43" s="17">
        <f t="shared" si="25"/>
        <v>18435080.241996609</v>
      </c>
      <c r="M43" s="17">
        <f t="shared" si="25"/>
        <v>18460533.015506271</v>
      </c>
      <c r="O43" s="9" t="s">
        <v>66</v>
      </c>
      <c r="P43" s="17">
        <f>M46</f>
        <v>18061634.627197292</v>
      </c>
      <c r="Q43" s="17">
        <f t="shared" ref="Q43:AA43" si="26">P46</f>
        <v>18136891.438143946</v>
      </c>
      <c r="R43" s="17">
        <f t="shared" si="26"/>
        <v>18212148.249090601</v>
      </c>
      <c r="S43" s="17">
        <f t="shared" si="26"/>
        <v>18287405.060037255</v>
      </c>
      <c r="T43" s="17">
        <f t="shared" si="26"/>
        <v>18362661.87098391</v>
      </c>
      <c r="U43" s="17">
        <f t="shared" si="26"/>
        <v>18437918.681930568</v>
      </c>
      <c r="V43" s="17">
        <f t="shared" si="26"/>
        <v>18060721.217706546</v>
      </c>
      <c r="W43" s="17">
        <f t="shared" si="26"/>
        <v>18134138.783632182</v>
      </c>
      <c r="X43" s="17">
        <f t="shared" si="26"/>
        <v>18207556.349557817</v>
      </c>
      <c r="Y43" s="17">
        <f t="shared" si="26"/>
        <v>18280973.915483456</v>
      </c>
      <c r="Z43" s="17">
        <f t="shared" si="26"/>
        <v>18354391.481409092</v>
      </c>
      <c r="AA43" s="17">
        <f t="shared" si="26"/>
        <v>18427809.047334727</v>
      </c>
      <c r="AB43" s="17"/>
      <c r="AC43" s="9" t="s">
        <v>66</v>
      </c>
      <c r="AD43" s="17">
        <f>AA46</f>
        <v>18014984.598405149</v>
      </c>
      <c r="AE43" s="17">
        <f t="shared" ref="AE43:AO43" si="27">AD46</f>
        <v>18090047.034231838</v>
      </c>
      <c r="AF43" s="17">
        <f t="shared" si="27"/>
        <v>18165109.470058527</v>
      </c>
      <c r="AG43" s="17">
        <f t="shared" si="27"/>
        <v>18240171.905885216</v>
      </c>
      <c r="AH43" s="17">
        <f t="shared" si="27"/>
        <v>18315234.341711905</v>
      </c>
      <c r="AI43" s="17">
        <f t="shared" si="27"/>
        <v>18390296.77753859</v>
      </c>
      <c r="AJ43" s="17">
        <f t="shared" si="27"/>
        <v>17951343.222269841</v>
      </c>
      <c r="AK43" s="17">
        <f t="shared" si="27"/>
        <v>18024316.162197765</v>
      </c>
      <c r="AL43" s="17">
        <f t="shared" si="27"/>
        <v>18097289.102125693</v>
      </c>
      <c r="AM43" s="17">
        <f t="shared" si="27"/>
        <v>18170262.042053618</v>
      </c>
      <c r="AN43" s="17">
        <f t="shared" si="27"/>
        <v>18243234.981981546</v>
      </c>
      <c r="AO43" s="17">
        <f t="shared" si="27"/>
        <v>18316207.92190947</v>
      </c>
    </row>
    <row r="44" spans="1:41">
      <c r="A44" s="9" t="s">
        <v>67</v>
      </c>
      <c r="B44" s="17">
        <f>B19*Factors!C11</f>
        <v>0</v>
      </c>
      <c r="C44" s="17">
        <f>C19*Factors!D11</f>
        <v>0</v>
      </c>
      <c r="D44" s="17">
        <f>D19*Factors!E11</f>
        <v>0</v>
      </c>
      <c r="E44" s="17">
        <f>E19*Factors!F11</f>
        <v>0</v>
      </c>
      <c r="F44" s="17">
        <f>F19*Factors!G11</f>
        <v>0</v>
      </c>
      <c r="G44" s="17">
        <f>G19*Factors!H11</f>
        <v>-404581.88846484013</v>
      </c>
      <c r="H44" s="17">
        <f>H19*Factors!I11</f>
        <v>0</v>
      </c>
      <c r="I44" s="17">
        <f>I19*Factors!J11</f>
        <v>0</v>
      </c>
      <c r="J44" s="17">
        <f>J19*Factors!K11</f>
        <v>0</v>
      </c>
      <c r="K44" s="17">
        <f>K19*Factors!L11</f>
        <v>0</v>
      </c>
      <c r="L44" s="17">
        <f>L19*Factors!M11</f>
        <v>0</v>
      </c>
      <c r="M44" s="17">
        <f>M19*Factors!N11</f>
        <v>-424351.16181864031</v>
      </c>
      <c r="O44" s="9" t="s">
        <v>67</v>
      </c>
      <c r="P44" s="17">
        <f>P19*Factors!Q11</f>
        <v>0</v>
      </c>
      <c r="Q44" s="17">
        <f>Q19*Factors!R11</f>
        <v>0</v>
      </c>
      <c r="R44" s="17">
        <f>R19*Factors!S11</f>
        <v>0</v>
      </c>
      <c r="S44" s="17">
        <f>S19*Factors!T11</f>
        <v>0</v>
      </c>
      <c r="U44" s="17">
        <f>U19*Factors!U11</f>
        <v>-448775.78512863623</v>
      </c>
      <c r="V44" s="17">
        <f>V19*Factors!W11</f>
        <v>0</v>
      </c>
      <c r="W44" s="17">
        <f>W19*Factors!X11</f>
        <v>0</v>
      </c>
      <c r="X44" s="17">
        <f>X19*Factors!Y11</f>
        <v>0</v>
      </c>
      <c r="Y44" s="17">
        <f>Y19*Factors!Z11</f>
        <v>0</v>
      </c>
      <c r="AA44" s="17">
        <f>AA19*Factors!AA11</f>
        <v>-482382.95124525018</v>
      </c>
      <c r="AB44" s="17"/>
      <c r="AC44" s="9" t="s">
        <v>67</v>
      </c>
      <c r="AD44" s="17">
        <f>AD19*Factors!AE11</f>
        <v>0</v>
      </c>
      <c r="AE44" s="17">
        <f>AE19*Factors!AF11</f>
        <v>0</v>
      </c>
      <c r="AF44" s="17">
        <f>AF19*Factors!AG11</f>
        <v>0</v>
      </c>
      <c r="AG44" s="17">
        <f>AG19*Factors!AH11</f>
        <v>0</v>
      </c>
      <c r="AI44" s="17">
        <f>AI19*Factors!AI11</f>
        <v>-507747.50339915405</v>
      </c>
      <c r="AJ44" s="17">
        <f>AJ19*Factors!AK11</f>
        <v>0</v>
      </c>
      <c r="AK44" s="17">
        <f>AK19*Factors!AL11</f>
        <v>0</v>
      </c>
      <c r="AL44" s="17">
        <f>AL19*Factors!AM11</f>
        <v>0</v>
      </c>
      <c r="AM44" s="17">
        <f>AM19*Factors!AN11</f>
        <v>0</v>
      </c>
      <c r="AO44" s="17">
        <f>AO19*Factors!AO11</f>
        <v>-541212.38590109698</v>
      </c>
    </row>
    <row r="45" spans="1:41">
      <c r="A45" s="9" t="s">
        <v>85</v>
      </c>
      <c r="B45" s="17">
        <f t="shared" ref="B45:M45" si="28">B46-B43-B44</f>
        <v>26014.469903800637</v>
      </c>
      <c r="C45" s="17">
        <f t="shared" si="28"/>
        <v>26014.469903800637</v>
      </c>
      <c r="D45" s="17">
        <f t="shared" si="28"/>
        <v>26014.469903800637</v>
      </c>
      <c r="E45" s="17">
        <f t="shared" si="28"/>
        <v>26014.469903800637</v>
      </c>
      <c r="F45" s="17">
        <f t="shared" si="28"/>
        <v>26014.469903800637</v>
      </c>
      <c r="G45" s="17">
        <f t="shared" si="28"/>
        <v>26014.469903802499</v>
      </c>
      <c r="H45" s="17">
        <f t="shared" si="28"/>
        <v>25452.773509662598</v>
      </c>
      <c r="I45" s="17">
        <f t="shared" si="28"/>
        <v>25452.773509658873</v>
      </c>
      <c r="J45" s="17">
        <f t="shared" si="28"/>
        <v>25452.773509662598</v>
      </c>
      <c r="K45" s="17">
        <f t="shared" si="28"/>
        <v>25452.773509658873</v>
      </c>
      <c r="L45" s="17">
        <f t="shared" si="28"/>
        <v>25452.773509662598</v>
      </c>
      <c r="M45" s="17">
        <f t="shared" si="28"/>
        <v>25452.773509660736</v>
      </c>
      <c r="N45" s="17">
        <f>SUM(B45:M45)</f>
        <v>308803.46048077196</v>
      </c>
      <c r="O45" s="9" t="s">
        <v>85</v>
      </c>
      <c r="P45" s="17">
        <f t="shared" ref="P45:AA45" si="29">P46-P43-P44</f>
        <v>75256.810946654528</v>
      </c>
      <c r="Q45" s="17">
        <f t="shared" si="29"/>
        <v>75256.810946654528</v>
      </c>
      <c r="R45" s="17">
        <f t="shared" si="29"/>
        <v>75256.810946654528</v>
      </c>
      <c r="S45" s="17">
        <f t="shared" si="29"/>
        <v>75256.810946654528</v>
      </c>
      <c r="T45" s="17">
        <f t="shared" si="29"/>
        <v>75256.810946658254</v>
      </c>
      <c r="U45" s="17">
        <f t="shared" si="29"/>
        <v>71578.320904614346</v>
      </c>
      <c r="V45" s="17">
        <f t="shared" si="29"/>
        <v>73417.565925635397</v>
      </c>
      <c r="W45" s="17">
        <f t="shared" si="29"/>
        <v>73417.565925635397</v>
      </c>
      <c r="X45" s="17">
        <f t="shared" si="29"/>
        <v>73417.565925639123</v>
      </c>
      <c r="Y45" s="17">
        <f t="shared" si="29"/>
        <v>73417.565925635397</v>
      </c>
      <c r="Z45" s="17">
        <f t="shared" si="29"/>
        <v>73417.565925635397</v>
      </c>
      <c r="AA45" s="17">
        <f t="shared" si="29"/>
        <v>69558.502315672114</v>
      </c>
      <c r="AB45" s="17"/>
      <c r="AC45" s="9" t="s">
        <v>85</v>
      </c>
      <c r="AD45" s="17">
        <f t="shared" ref="AD45:AO45" si="30">AD46-AD43-AD44</f>
        <v>75062.435826689005</v>
      </c>
      <c r="AE45" s="17">
        <f t="shared" si="30"/>
        <v>75062.435826689005</v>
      </c>
      <c r="AF45" s="17">
        <f t="shared" si="30"/>
        <v>75062.435826689005</v>
      </c>
      <c r="AG45" s="17">
        <f t="shared" si="30"/>
        <v>75062.435826689005</v>
      </c>
      <c r="AH45" s="17">
        <f t="shared" si="30"/>
        <v>75062.43582668528</v>
      </c>
      <c r="AI45" s="17">
        <f t="shared" si="30"/>
        <v>68793.94813040446</v>
      </c>
      <c r="AJ45" s="17">
        <f t="shared" si="30"/>
        <v>72972.939927924424</v>
      </c>
      <c r="AK45" s="17">
        <f t="shared" si="30"/>
        <v>72972.93992792815</v>
      </c>
      <c r="AL45" s="17">
        <f t="shared" si="30"/>
        <v>72972.939927924424</v>
      </c>
      <c r="AM45" s="17">
        <f t="shared" si="30"/>
        <v>72972.93992792815</v>
      </c>
      <c r="AN45" s="17">
        <f t="shared" si="30"/>
        <v>72972.939927924424</v>
      </c>
      <c r="AO45" s="17">
        <f t="shared" si="30"/>
        <v>66452.308772492921</v>
      </c>
    </row>
    <row r="46" spans="1:41" s="68" customFormat="1">
      <c r="A46" s="68" t="s">
        <v>68</v>
      </c>
      <c r="B46" s="273">
        <f>B20*Factors!C11</f>
        <v>18607778.686903801</v>
      </c>
      <c r="C46" s="273">
        <f>C20*Factors!D11</f>
        <v>18633793.156807601</v>
      </c>
      <c r="D46" s="273">
        <f>D20*Factors!E11</f>
        <v>18659807.626711402</v>
      </c>
      <c r="E46" s="273">
        <f>E20*Factors!F11</f>
        <v>18685822.096615203</v>
      </c>
      <c r="F46" s="273">
        <f>F20*Factors!G11</f>
        <v>18711836.566519003</v>
      </c>
      <c r="G46" s="273">
        <f>G20*Factors!H11</f>
        <v>18333269.147957966</v>
      </c>
      <c r="H46" s="273">
        <f>H20*Factors!I11</f>
        <v>18358721.921467628</v>
      </c>
      <c r="I46" s="273">
        <f>I20*Factors!J11</f>
        <v>18384174.694977287</v>
      </c>
      <c r="J46" s="273">
        <f>J20*Factors!K11</f>
        <v>18409627.46848695</v>
      </c>
      <c r="K46" s="273">
        <f>K20*Factors!L11</f>
        <v>18435080.241996609</v>
      </c>
      <c r="L46" s="273">
        <f>L20*Factors!M11</f>
        <v>18460533.015506271</v>
      </c>
      <c r="M46" s="273">
        <f>M20*Factors!N11</f>
        <v>18061634.627197292</v>
      </c>
      <c r="O46" s="68" t="s">
        <v>68</v>
      </c>
      <c r="P46" s="273">
        <f>P20*Factors!R11</f>
        <v>18136891.438143946</v>
      </c>
      <c r="Q46" s="273">
        <f>Q20*Factors!S11</f>
        <v>18212148.249090601</v>
      </c>
      <c r="R46" s="273">
        <f>R20*Factors!T11</f>
        <v>18287405.060037255</v>
      </c>
      <c r="S46" s="273">
        <f>S20*Factors!U11</f>
        <v>18362661.87098391</v>
      </c>
      <c r="T46" s="273">
        <f>T20*Factors!V11</f>
        <v>18437918.681930568</v>
      </c>
      <c r="U46" s="273">
        <f>U20*Factors!W11</f>
        <v>18060721.217706546</v>
      </c>
      <c r="V46" s="273">
        <f>V20*Factors!X11</f>
        <v>18134138.783632182</v>
      </c>
      <c r="W46" s="273">
        <f>W20*Factors!Y11</f>
        <v>18207556.349557817</v>
      </c>
      <c r="X46" s="273">
        <f>X20*Factors!Z11</f>
        <v>18280973.915483456</v>
      </c>
      <c r="Y46" s="273">
        <f>Y20*Factors!AA11</f>
        <v>18354391.481409092</v>
      </c>
      <c r="Z46" s="273">
        <f>Z20*Factors!AB11</f>
        <v>18427809.047334727</v>
      </c>
      <c r="AA46" s="273">
        <f>AA20*Factors!AC11</f>
        <v>18014984.598405149</v>
      </c>
      <c r="AB46" s="67"/>
      <c r="AC46" s="68" t="s">
        <v>68</v>
      </c>
      <c r="AD46" s="273">
        <f>AD20*Factors!AG11</f>
        <v>18090047.034231838</v>
      </c>
      <c r="AE46" s="273">
        <f>AE20*Factors!AH11</f>
        <v>18165109.470058527</v>
      </c>
      <c r="AF46" s="273">
        <f>AF20*Factors!AI11</f>
        <v>18240171.905885216</v>
      </c>
      <c r="AG46" s="273">
        <f>AG20*Factors!AJ11</f>
        <v>18315234.341711905</v>
      </c>
      <c r="AH46" s="273">
        <f>AH20*Factors!AK11</f>
        <v>18390296.77753859</v>
      </c>
      <c r="AI46" s="273">
        <f>AI20*Factors!AL11</f>
        <v>17951343.222269841</v>
      </c>
      <c r="AJ46" s="273">
        <f>AJ20*Factors!AM11</f>
        <v>18024316.162197765</v>
      </c>
      <c r="AK46" s="273">
        <f>AK20*Factors!AN11</f>
        <v>18097289.102125693</v>
      </c>
      <c r="AL46" s="273">
        <f>AL20*Factors!AO11</f>
        <v>18170262.042053618</v>
      </c>
      <c r="AM46" s="273">
        <f>AM20*Factors!AP11</f>
        <v>18243234.981981546</v>
      </c>
      <c r="AN46" s="273">
        <f>AN20*Factors!AQ11</f>
        <v>18316207.92190947</v>
      </c>
      <c r="AO46" s="273">
        <f>AO20*Factors!AR11</f>
        <v>17841447.844780866</v>
      </c>
    </row>
    <row r="47" spans="1:41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1">
      <c r="A48" s="68" t="s">
        <v>88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O48" s="68" t="s">
        <v>88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68" t="s">
        <v>88</v>
      </c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1:41">
      <c r="B49" s="87" t="s">
        <v>50</v>
      </c>
      <c r="C49" s="87" t="s">
        <v>51</v>
      </c>
      <c r="D49" s="87" t="s">
        <v>52</v>
      </c>
      <c r="E49" s="87" t="s">
        <v>53</v>
      </c>
      <c r="F49" s="87" t="s">
        <v>54</v>
      </c>
      <c r="G49" s="87" t="s">
        <v>55</v>
      </c>
      <c r="H49" s="87" t="s">
        <v>56</v>
      </c>
      <c r="I49" s="87" t="s">
        <v>57</v>
      </c>
      <c r="J49" s="87" t="s">
        <v>58</v>
      </c>
      <c r="K49" s="87" t="s">
        <v>59</v>
      </c>
      <c r="L49" s="87" t="s">
        <v>60</v>
      </c>
      <c r="M49" s="87" t="s">
        <v>61</v>
      </c>
      <c r="P49" s="87" t="s">
        <v>50</v>
      </c>
      <c r="Q49" s="87" t="s">
        <v>51</v>
      </c>
      <c r="R49" s="87" t="s">
        <v>52</v>
      </c>
      <c r="S49" s="87" t="s">
        <v>53</v>
      </c>
      <c r="T49" s="87" t="s">
        <v>54</v>
      </c>
      <c r="U49" s="87" t="s">
        <v>55</v>
      </c>
      <c r="V49" s="87" t="s">
        <v>56</v>
      </c>
      <c r="W49" s="87" t="s">
        <v>57</v>
      </c>
      <c r="X49" s="87" t="s">
        <v>58</v>
      </c>
      <c r="Y49" s="87" t="s">
        <v>59</v>
      </c>
      <c r="Z49" s="87" t="s">
        <v>60</v>
      </c>
      <c r="AA49" s="87" t="s">
        <v>61</v>
      </c>
      <c r="AB49" s="17"/>
      <c r="AD49" s="87" t="s">
        <v>50</v>
      </c>
      <c r="AE49" s="87" t="s">
        <v>51</v>
      </c>
      <c r="AF49" s="87" t="s">
        <v>52</v>
      </c>
      <c r="AG49" s="87" t="s">
        <v>53</v>
      </c>
      <c r="AH49" s="87" t="s">
        <v>54</v>
      </c>
      <c r="AI49" s="87" t="s">
        <v>55</v>
      </c>
      <c r="AJ49" s="87" t="s">
        <v>56</v>
      </c>
      <c r="AK49" s="87" t="s">
        <v>57</v>
      </c>
      <c r="AL49" s="87" t="s">
        <v>58</v>
      </c>
      <c r="AM49" s="87" t="s">
        <v>59</v>
      </c>
      <c r="AN49" s="87" t="s">
        <v>60</v>
      </c>
      <c r="AO49" s="87" t="s">
        <v>61</v>
      </c>
    </row>
    <row r="50" spans="1:41">
      <c r="A50" s="9" t="s">
        <v>66</v>
      </c>
      <c r="B50" s="17">
        <f>B24*Factors!C7</f>
        <v>23420460.423599999</v>
      </c>
      <c r="C50" s="17">
        <f>B53</f>
        <v>23453249.068193041</v>
      </c>
      <c r="D50" s="17">
        <f t="shared" ref="D50:M50" si="31">C53</f>
        <v>23486037.712786082</v>
      </c>
      <c r="E50" s="17">
        <f t="shared" si="31"/>
        <v>23518826.357379124</v>
      </c>
      <c r="F50" s="17">
        <f t="shared" si="31"/>
        <v>23551615.001972165</v>
      </c>
      <c r="G50" s="17">
        <f t="shared" si="31"/>
        <v>23584403.646565206</v>
      </c>
      <c r="H50" s="17">
        <f t="shared" si="31"/>
        <v>23617192.291158248</v>
      </c>
      <c r="I50" s="17">
        <f t="shared" si="31"/>
        <v>23649980.935751289</v>
      </c>
      <c r="J50" s="17">
        <f t="shared" si="31"/>
        <v>23682769.580344331</v>
      </c>
      <c r="K50" s="17">
        <f t="shared" si="31"/>
        <v>23715558.224937372</v>
      </c>
      <c r="L50" s="17">
        <f t="shared" si="31"/>
        <v>23748346.869530413</v>
      </c>
      <c r="M50" s="17">
        <f t="shared" si="31"/>
        <v>23781135.514123455</v>
      </c>
      <c r="O50" s="9" t="s">
        <v>66</v>
      </c>
      <c r="P50" s="17">
        <f>M53</f>
        <v>23813924.158716496</v>
      </c>
      <c r="Q50" s="17">
        <f t="shared" ref="Q50:AA50" si="32">P53</f>
        <v>23913148.842711147</v>
      </c>
      <c r="R50" s="17">
        <f t="shared" si="32"/>
        <v>24012373.526705798</v>
      </c>
      <c r="S50" s="17">
        <f t="shared" si="32"/>
        <v>24111598.210700449</v>
      </c>
      <c r="T50" s="17">
        <f t="shared" si="32"/>
        <v>24210822.894695103</v>
      </c>
      <c r="U50" s="17">
        <f t="shared" si="32"/>
        <v>24310047.578689754</v>
      </c>
      <c r="V50" s="17">
        <f t="shared" si="32"/>
        <v>24409272.262684405</v>
      </c>
      <c r="W50" s="17">
        <f t="shared" si="32"/>
        <v>24508496.946679056</v>
      </c>
      <c r="X50" s="17">
        <f t="shared" si="32"/>
        <v>24607721.630673707</v>
      </c>
      <c r="Y50" s="17">
        <f t="shared" si="32"/>
        <v>24706946.314668357</v>
      </c>
      <c r="Z50" s="17">
        <f t="shared" si="32"/>
        <v>24806170.998663008</v>
      </c>
      <c r="AA50" s="17">
        <f t="shared" si="32"/>
        <v>24905395.682657663</v>
      </c>
      <c r="AB50" s="17"/>
      <c r="AC50" s="9" t="s">
        <v>66</v>
      </c>
      <c r="AD50" s="17">
        <f>AA53</f>
        <v>25004620.366652314</v>
      </c>
      <c r="AE50" s="17">
        <f t="shared" ref="AE50:AO50" si="33">AD53</f>
        <v>25108806.284846697</v>
      </c>
      <c r="AF50" s="17">
        <f t="shared" si="33"/>
        <v>25212992.20304108</v>
      </c>
      <c r="AG50" s="17">
        <f t="shared" si="33"/>
        <v>25317178.121235467</v>
      </c>
      <c r="AH50" s="17">
        <f t="shared" si="33"/>
        <v>25421364.039429851</v>
      </c>
      <c r="AI50" s="17">
        <f t="shared" si="33"/>
        <v>25525549.957624238</v>
      </c>
      <c r="AJ50" s="17">
        <f t="shared" si="33"/>
        <v>25629735.875818621</v>
      </c>
      <c r="AK50" s="17">
        <f t="shared" si="33"/>
        <v>25733921.794013005</v>
      </c>
      <c r="AL50" s="17">
        <f t="shared" si="33"/>
        <v>25838107.712207392</v>
      </c>
      <c r="AM50" s="17">
        <f t="shared" si="33"/>
        <v>25942293.630401775</v>
      </c>
      <c r="AN50" s="17">
        <f t="shared" si="33"/>
        <v>26046479.548596162</v>
      </c>
      <c r="AO50" s="17">
        <f t="shared" si="33"/>
        <v>26150665.466790546</v>
      </c>
    </row>
    <row r="51" spans="1:41">
      <c r="A51" s="9" t="s">
        <v>67</v>
      </c>
      <c r="B51" s="17">
        <f>B25*Factors!C11</f>
        <v>0</v>
      </c>
      <c r="C51" s="17">
        <f>C25*Factors!D11</f>
        <v>0</v>
      </c>
      <c r="D51" s="17">
        <f>D25*Factors!E11</f>
        <v>0</v>
      </c>
      <c r="E51" s="17">
        <f>E25*Factors!F11</f>
        <v>0</v>
      </c>
      <c r="F51" s="17">
        <f>F25*Factors!G11</f>
        <v>0</v>
      </c>
      <c r="G51" s="17">
        <f>G25*Factors!H11</f>
        <v>0</v>
      </c>
      <c r="H51" s="17">
        <f>H25*Factors!I11</f>
        <v>0</v>
      </c>
      <c r="I51" s="17">
        <f>I25*Factors!J11</f>
        <v>0</v>
      </c>
      <c r="J51" s="17">
        <f>J25*Factors!K11</f>
        <v>0</v>
      </c>
      <c r="K51" s="17">
        <f>K25*Factors!L11</f>
        <v>0</v>
      </c>
      <c r="L51" s="17">
        <f>L25*Factors!M11</f>
        <v>0</v>
      </c>
      <c r="M51" s="17">
        <f>M25*Factors!N11</f>
        <v>0</v>
      </c>
      <c r="O51" s="9" t="s">
        <v>67</v>
      </c>
      <c r="P51" s="17">
        <f>P25*Factors!Q11</f>
        <v>0</v>
      </c>
      <c r="Q51" s="17">
        <f>Q25*Factors!R11</f>
        <v>0</v>
      </c>
      <c r="R51" s="17">
        <f>R25*Factors!S11</f>
        <v>0</v>
      </c>
      <c r="S51" s="17">
        <f>S25*Factors!T11</f>
        <v>0</v>
      </c>
      <c r="T51" s="17">
        <f>T25*Factors!U11</f>
        <v>0</v>
      </c>
      <c r="U51" s="17">
        <f>U25*Factors!V11</f>
        <v>0</v>
      </c>
      <c r="V51" s="17">
        <f>V25*Factors!W11</f>
        <v>0</v>
      </c>
      <c r="W51" s="17">
        <f>W25*Factors!X11</f>
        <v>0</v>
      </c>
      <c r="X51" s="17">
        <f>X25*Factors!Y11</f>
        <v>0</v>
      </c>
      <c r="Y51" s="17">
        <f>Y25*Factors!Z11</f>
        <v>0</v>
      </c>
      <c r="Z51" s="17">
        <f>Z25*Factors!AA11</f>
        <v>0</v>
      </c>
      <c r="AA51" s="17">
        <f>AA25*Factors!AB11</f>
        <v>0</v>
      </c>
      <c r="AB51" s="17"/>
      <c r="AC51" s="9" t="s">
        <v>67</v>
      </c>
      <c r="AD51" s="17">
        <f>AD25*Factors!AE11</f>
        <v>0</v>
      </c>
      <c r="AE51" s="17">
        <f>AE25*Factors!AF11</f>
        <v>0</v>
      </c>
      <c r="AF51" s="17">
        <f>AF25*Factors!AG11</f>
        <v>0</v>
      </c>
      <c r="AG51" s="17">
        <f>AG25*Factors!AH11</f>
        <v>0</v>
      </c>
      <c r="AH51" s="17">
        <f>AH25*Factors!AI11</f>
        <v>0</v>
      </c>
      <c r="AI51" s="17">
        <f>AI25*Factors!AJ11</f>
        <v>0</v>
      </c>
      <c r="AJ51" s="17">
        <f>AJ25*Factors!AK11</f>
        <v>0</v>
      </c>
      <c r="AK51" s="17">
        <f>AK25*Factors!AL11</f>
        <v>0</v>
      </c>
      <c r="AL51" s="17">
        <f>AL25*Factors!AM11</f>
        <v>0</v>
      </c>
      <c r="AM51" s="17">
        <f>AM25*Factors!AN11</f>
        <v>0</v>
      </c>
      <c r="AN51" s="17">
        <f>AN25*Factors!AO11</f>
        <v>0</v>
      </c>
      <c r="AO51" s="17">
        <f>AO25*Factors!AP11</f>
        <v>0</v>
      </c>
    </row>
    <row r="52" spans="1:41">
      <c r="A52" s="9" t="s">
        <v>85</v>
      </c>
      <c r="B52" s="17">
        <f t="shared" ref="B52:M52" si="34">B53-B50</f>
        <v>32788.64459304139</v>
      </c>
      <c r="C52" s="17">
        <f t="shared" si="34"/>
        <v>32788.64459304139</v>
      </c>
      <c r="D52" s="17">
        <f t="shared" si="34"/>
        <v>32788.64459304139</v>
      </c>
      <c r="E52" s="17">
        <f t="shared" si="34"/>
        <v>32788.64459304139</v>
      </c>
      <c r="F52" s="17">
        <f t="shared" si="34"/>
        <v>32788.64459304139</v>
      </c>
      <c r="G52" s="17">
        <f t="shared" si="34"/>
        <v>32788.64459304139</v>
      </c>
      <c r="H52" s="17">
        <f t="shared" si="34"/>
        <v>32788.64459304139</v>
      </c>
      <c r="I52" s="17">
        <f t="shared" si="34"/>
        <v>32788.64459304139</v>
      </c>
      <c r="J52" s="17">
        <f t="shared" si="34"/>
        <v>32788.64459304139</v>
      </c>
      <c r="K52" s="17">
        <f t="shared" si="34"/>
        <v>32788.64459304139</v>
      </c>
      <c r="L52" s="17">
        <f t="shared" si="34"/>
        <v>32788.64459304139</v>
      </c>
      <c r="M52" s="17">
        <f t="shared" si="34"/>
        <v>32788.64459304139</v>
      </c>
      <c r="N52" s="17">
        <f>SUM(B52:M52)</f>
        <v>393463.73511649668</v>
      </c>
      <c r="O52" s="9" t="s">
        <v>85</v>
      </c>
      <c r="P52" s="17">
        <f t="shared" ref="P52:AA52" si="35">P53-P50</f>
        <v>99224.683994650841</v>
      </c>
      <c r="Q52" s="17">
        <f t="shared" si="35"/>
        <v>99224.683994650841</v>
      </c>
      <c r="R52" s="17">
        <f t="shared" si="35"/>
        <v>99224.683994650841</v>
      </c>
      <c r="S52" s="17">
        <f t="shared" si="35"/>
        <v>99224.683994654566</v>
      </c>
      <c r="T52" s="17">
        <f t="shared" si="35"/>
        <v>99224.683994650841</v>
      </c>
      <c r="U52" s="17">
        <f t="shared" si="35"/>
        <v>99224.683994650841</v>
      </c>
      <c r="V52" s="17">
        <f t="shared" si="35"/>
        <v>99224.683994650841</v>
      </c>
      <c r="W52" s="17">
        <f t="shared" si="35"/>
        <v>99224.683994650841</v>
      </c>
      <c r="X52" s="17">
        <f t="shared" si="35"/>
        <v>99224.683994650841</v>
      </c>
      <c r="Y52" s="17">
        <f t="shared" si="35"/>
        <v>99224.683994650841</v>
      </c>
      <c r="Z52" s="17">
        <f t="shared" si="35"/>
        <v>99224.683994654566</v>
      </c>
      <c r="AA52" s="17">
        <f t="shared" si="35"/>
        <v>99224.683994650841</v>
      </c>
      <c r="AB52" s="17"/>
      <c r="AC52" s="9" t="s">
        <v>85</v>
      </c>
      <c r="AD52" s="17">
        <f t="shared" ref="AD52:AO52" si="36">AD53-AD50</f>
        <v>104185.91819438338</v>
      </c>
      <c r="AE52" s="17">
        <f t="shared" si="36"/>
        <v>104185.91819438338</v>
      </c>
      <c r="AF52" s="17">
        <f t="shared" si="36"/>
        <v>104185.91819438711</v>
      </c>
      <c r="AG52" s="17">
        <f t="shared" si="36"/>
        <v>104185.91819438338</v>
      </c>
      <c r="AH52" s="17">
        <f t="shared" si="36"/>
        <v>104185.91819438711</v>
      </c>
      <c r="AI52" s="17">
        <f t="shared" si="36"/>
        <v>104185.91819438338</v>
      </c>
      <c r="AJ52" s="17">
        <f t="shared" si="36"/>
        <v>104185.91819438338</v>
      </c>
      <c r="AK52" s="17">
        <f t="shared" si="36"/>
        <v>104185.91819438711</v>
      </c>
      <c r="AL52" s="17">
        <f t="shared" si="36"/>
        <v>104185.91819438338</v>
      </c>
      <c r="AM52" s="17">
        <f t="shared" si="36"/>
        <v>104185.91819438711</v>
      </c>
      <c r="AN52" s="17">
        <f t="shared" si="36"/>
        <v>104185.91819438338</v>
      </c>
      <c r="AO52" s="17">
        <f t="shared" si="36"/>
        <v>104185.91819438338</v>
      </c>
    </row>
    <row r="53" spans="1:41" s="68" customFormat="1">
      <c r="A53" s="68" t="s">
        <v>68</v>
      </c>
      <c r="B53" s="273">
        <f>B26*Factors!C11</f>
        <v>23453249.068193041</v>
      </c>
      <c r="C53" s="273">
        <f>C26*Factors!D11</f>
        <v>23486037.712786082</v>
      </c>
      <c r="D53" s="273">
        <f>D26*Factors!E11</f>
        <v>23518826.357379124</v>
      </c>
      <c r="E53" s="273">
        <f>E26*Factors!F11</f>
        <v>23551615.001972165</v>
      </c>
      <c r="F53" s="273">
        <f>F26*Factors!G11</f>
        <v>23584403.646565206</v>
      </c>
      <c r="G53" s="273">
        <f>G26*Factors!H11</f>
        <v>23617192.291158248</v>
      </c>
      <c r="H53" s="273">
        <f>H26*Factors!I11</f>
        <v>23649980.935751289</v>
      </c>
      <c r="I53" s="273">
        <f>I26*Factors!J11</f>
        <v>23682769.580344331</v>
      </c>
      <c r="J53" s="273">
        <f>J26*Factors!K11</f>
        <v>23715558.224937372</v>
      </c>
      <c r="K53" s="273">
        <f>K26*Factors!L11</f>
        <v>23748346.869530413</v>
      </c>
      <c r="L53" s="273">
        <f>L26*Factors!M11</f>
        <v>23781135.514123455</v>
      </c>
      <c r="M53" s="273">
        <f>M26*Factors!N11</f>
        <v>23813924.158716496</v>
      </c>
      <c r="O53" s="68" t="s">
        <v>68</v>
      </c>
      <c r="P53" s="273">
        <f>P26*Factors!R11</f>
        <v>23913148.842711147</v>
      </c>
      <c r="Q53" s="273">
        <f>Q26*Factors!S11</f>
        <v>24012373.526705798</v>
      </c>
      <c r="R53" s="273">
        <f>R26*Factors!T11</f>
        <v>24111598.210700449</v>
      </c>
      <c r="S53" s="273">
        <f>S26*Factors!U11</f>
        <v>24210822.894695103</v>
      </c>
      <c r="T53" s="273">
        <f>T26*Factors!V11</f>
        <v>24310047.578689754</v>
      </c>
      <c r="U53" s="273">
        <f>U26*Factors!W11</f>
        <v>24409272.262684405</v>
      </c>
      <c r="V53" s="273">
        <f>V26*Factors!X11</f>
        <v>24508496.946679056</v>
      </c>
      <c r="W53" s="273">
        <f>W26*Factors!Y11</f>
        <v>24607721.630673707</v>
      </c>
      <c r="X53" s="273">
        <f>X26*Factors!Z11</f>
        <v>24706946.314668357</v>
      </c>
      <c r="Y53" s="273">
        <f>Y26*Factors!AA11</f>
        <v>24806170.998663008</v>
      </c>
      <c r="Z53" s="273">
        <f>Z26*Factors!AB11</f>
        <v>24905395.682657663</v>
      </c>
      <c r="AA53" s="273">
        <f>AA26*Factors!AC11</f>
        <v>25004620.366652314</v>
      </c>
      <c r="AB53" s="67"/>
      <c r="AC53" s="68" t="s">
        <v>68</v>
      </c>
      <c r="AD53" s="273">
        <f>AD26*Factors!AG11</f>
        <v>25108806.284846697</v>
      </c>
      <c r="AE53" s="273">
        <f>AE26*Factors!AH11</f>
        <v>25212992.20304108</v>
      </c>
      <c r="AF53" s="273">
        <f>AF26*Factors!AI11</f>
        <v>25317178.121235467</v>
      </c>
      <c r="AG53" s="273">
        <f>AG26*Factors!AJ11</f>
        <v>25421364.039429851</v>
      </c>
      <c r="AH53" s="273">
        <f>AH26*Factors!AK11</f>
        <v>25525549.957624238</v>
      </c>
      <c r="AI53" s="273">
        <f>AI26*Factors!AL11</f>
        <v>25629735.875818621</v>
      </c>
      <c r="AJ53" s="273">
        <f>AJ26*Factors!AM11</f>
        <v>25733921.794013005</v>
      </c>
      <c r="AK53" s="273">
        <f>AK26*Factors!AN11</f>
        <v>25838107.712207392</v>
      </c>
      <c r="AL53" s="273">
        <f>AL26*Factors!AO11</f>
        <v>25942293.630401775</v>
      </c>
      <c r="AM53" s="273">
        <f>AM26*Factors!AP11</f>
        <v>26046479.548596162</v>
      </c>
      <c r="AN53" s="273">
        <f>AN26*Factors!AQ11</f>
        <v>26150665.466790546</v>
      </c>
      <c r="AO53" s="273">
        <f>AO26*Factors!AR11</f>
        <v>26254851.384984929</v>
      </c>
    </row>
    <row r="54" spans="1:41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1:41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>
        <f>SUM(N37:N52)</f>
        <v>702267.19559726864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1:41" s="68" customFormat="1" ht="13.5" thickBot="1">
      <c r="A56" s="68" t="s">
        <v>209</v>
      </c>
      <c r="B56" s="209">
        <f>B37+B45+B52</f>
        <v>717836.42826707661</v>
      </c>
      <c r="C56" s="209">
        <f t="shared" ref="C56:M56" si="37">C37+C45+C52</f>
        <v>717836.42826701701</v>
      </c>
      <c r="D56" s="209">
        <f t="shared" si="37"/>
        <v>717836.42826701701</v>
      </c>
      <c r="E56" s="209">
        <f t="shared" si="37"/>
        <v>717836.42826701701</v>
      </c>
      <c r="F56" s="209">
        <f t="shared" si="37"/>
        <v>717836.42826707661</v>
      </c>
      <c r="G56" s="209">
        <f t="shared" si="37"/>
        <v>717836.42826702632</v>
      </c>
      <c r="H56" s="209">
        <f t="shared" si="37"/>
        <v>703045.089887999</v>
      </c>
      <c r="I56" s="209">
        <f t="shared" si="37"/>
        <v>703045.08988799527</v>
      </c>
      <c r="J56" s="209">
        <f t="shared" si="37"/>
        <v>703045.089887999</v>
      </c>
      <c r="K56" s="209">
        <f t="shared" si="37"/>
        <v>703045.08988805488</v>
      </c>
      <c r="L56" s="209">
        <f t="shared" si="37"/>
        <v>703045.089887999</v>
      </c>
      <c r="M56" s="209">
        <f t="shared" si="37"/>
        <v>703045.0898879841</v>
      </c>
      <c r="N56" s="67"/>
      <c r="O56" s="68" t="s">
        <v>209</v>
      </c>
      <c r="P56" s="67">
        <f>P37+P45+P52</f>
        <v>2080987.602874171</v>
      </c>
      <c r="Q56" s="67">
        <f t="shared" ref="Q56:AA56" si="38">Q37+Q45+Q52</f>
        <v>2080987.602874171</v>
      </c>
      <c r="R56" s="67">
        <f t="shared" si="38"/>
        <v>2080987.6028741114</v>
      </c>
      <c r="S56" s="67">
        <f t="shared" si="38"/>
        <v>2080987.6028741747</v>
      </c>
      <c r="T56" s="67">
        <f t="shared" si="38"/>
        <v>2080987.6028741151</v>
      </c>
      <c r="U56" s="67">
        <f t="shared" si="38"/>
        <v>2030714.9056329783</v>
      </c>
      <c r="V56" s="67">
        <f t="shared" si="38"/>
        <v>2032554.1506539956</v>
      </c>
      <c r="W56" s="67">
        <f t="shared" si="38"/>
        <v>2032554.150653936</v>
      </c>
      <c r="X56" s="67">
        <f t="shared" si="38"/>
        <v>2032554.1506539993</v>
      </c>
      <c r="Y56" s="67">
        <f t="shared" si="38"/>
        <v>2032554.1506539956</v>
      </c>
      <c r="Z56" s="67">
        <f t="shared" si="38"/>
        <v>2032554.1506539397</v>
      </c>
      <c r="AA56" s="67">
        <f t="shared" si="38"/>
        <v>1980228.7263016123</v>
      </c>
      <c r="AB56" s="67"/>
      <c r="AC56" s="68" t="s">
        <v>209</v>
      </c>
      <c r="AD56" s="67">
        <f>AD37+AD45+AD52</f>
        <v>2081266.1710118651</v>
      </c>
      <c r="AE56" s="67">
        <f t="shared" ref="AE56:AO56" si="39">AE37+AE45+AE52</f>
        <v>2081266.1710118651</v>
      </c>
      <c r="AF56" s="67">
        <f t="shared" si="39"/>
        <v>2081266.1710119285</v>
      </c>
      <c r="AG56" s="67">
        <f t="shared" si="39"/>
        <v>2081266.1710118651</v>
      </c>
      <c r="AH56" s="67">
        <f t="shared" si="39"/>
        <v>2081266.1710119247</v>
      </c>
      <c r="AI56" s="67">
        <f t="shared" si="39"/>
        <v>1969129.8911116738</v>
      </c>
      <c r="AJ56" s="67">
        <f t="shared" si="39"/>
        <v>2026242.779011149</v>
      </c>
      <c r="AK56" s="67">
        <f t="shared" si="39"/>
        <v>2026242.7790111564</v>
      </c>
      <c r="AL56" s="67">
        <f t="shared" si="39"/>
        <v>2026242.779011149</v>
      </c>
      <c r="AM56" s="67">
        <f t="shared" si="39"/>
        <v>2026242.7790111564</v>
      </c>
      <c r="AN56" s="67">
        <f t="shared" si="39"/>
        <v>2026242.779011149</v>
      </c>
      <c r="AO56" s="67">
        <f t="shared" si="39"/>
        <v>1909595.9327861906</v>
      </c>
    </row>
    <row r="57" spans="1:41" ht="13.5" thickTop="1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41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 spans="1:4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1:41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4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41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41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41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2:34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2:34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2:34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2:34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2:34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2:34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2:34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2:34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spans="2:34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2:34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2:34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2:34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2:34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34"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2:34"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2:34"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5:34"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5:34"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5:34"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5:34"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5:34"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5:34"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5:34"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5:34"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5:34"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5:34"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5:34"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5:34"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5:34"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5:34"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5:34"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5:34"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5:34"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5:34"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5:34"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5:34"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5:34"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5:34"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5:34"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5:34"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5:34"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5:34"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5:34"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5:34"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5:34"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5:34"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5:34"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5:34"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15:34"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15:34"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15:34"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15:34"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15:34"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5:34"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</row>
    <row r="119" spans="15:34"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</row>
    <row r="120" spans="15:34"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 spans="15:34"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</row>
    <row r="122" spans="15:34"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 spans="15:34"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spans="15:34"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</row>
    <row r="125" spans="15:34"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</row>
    <row r="126" spans="15:34"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</row>
    <row r="127" spans="15:34"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spans="15:34"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</row>
    <row r="129" spans="15:34"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</row>
    <row r="130" spans="15:34"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</row>
    <row r="131" spans="15:34"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spans="15:34"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spans="15:34"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spans="15:34"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spans="15:34"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</row>
    <row r="136" spans="15:34"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spans="15:34"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</row>
    <row r="138" spans="15:34"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</row>
    <row r="139" spans="15:34"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</row>
    <row r="140" spans="15:34"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</row>
    <row r="141" spans="15:34"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</row>
    <row r="142" spans="15:34"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</row>
    <row r="143" spans="15:34"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</row>
    <row r="144" spans="15:34"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</row>
    <row r="145" spans="15:34"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</row>
    <row r="146" spans="15:34"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</row>
    <row r="147" spans="15:34"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</row>
    <row r="148" spans="15:34"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</row>
    <row r="149" spans="15:34"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</row>
    <row r="150" spans="15:34"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</row>
    <row r="151" spans="15:34"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</row>
    <row r="152" spans="15:34"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</row>
    <row r="153" spans="15:34"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</row>
    <row r="154" spans="15:34"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</row>
    <row r="155" spans="15:34"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</row>
    <row r="156" spans="15:34"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</row>
    <row r="157" spans="15:34"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</row>
    <row r="158" spans="15:34"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5:34"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5:34"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</row>
    <row r="161" spans="15:34"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</row>
    <row r="162" spans="15:34"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</row>
    <row r="163" spans="15:34"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</row>
    <row r="164" spans="15:34"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</row>
    <row r="165" spans="15:34"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</row>
    <row r="166" spans="15:34"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</row>
    <row r="167" spans="15:34"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</row>
    <row r="168" spans="15:34"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</row>
    <row r="169" spans="15:34"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</row>
    <row r="170" spans="15:34"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</row>
    <row r="171" spans="15:34"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</row>
    <row r="172" spans="15:34"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</row>
    <row r="173" spans="15:34"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</row>
    <row r="174" spans="15:34"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</row>
    <row r="175" spans="15:34"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</row>
    <row r="176" spans="15:34"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</row>
    <row r="177" spans="15:34"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</row>
    <row r="178" spans="15:34"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spans="15:34"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</row>
    <row r="180" spans="15:34"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</row>
    <row r="181" spans="15:34"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</row>
    <row r="182" spans="15:34"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spans="15:34"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spans="15:34"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</row>
    <row r="185" spans="15:34"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</row>
    <row r="186" spans="15:34"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</row>
    <row r="187" spans="15:34"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</row>
    <row r="188" spans="15:34"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</row>
    <row r="189" spans="15:34"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</row>
    <row r="190" spans="15:34"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spans="15:34"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spans="15:34"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</row>
    <row r="193" spans="15:34"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</row>
    <row r="194" spans="15:34"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</row>
    <row r="195" spans="15:34"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</row>
    <row r="196" spans="15:34"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</row>
    <row r="197" spans="15:34"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</row>
    <row r="198" spans="15:34"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</row>
    <row r="199" spans="15:34"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</row>
    <row r="200" spans="15:34"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</row>
    <row r="201" spans="15:34"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</row>
    <row r="202" spans="15:34"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</row>
    <row r="203" spans="15:34"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</row>
    <row r="204" spans="15:34"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</row>
    <row r="205" spans="15:34"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</row>
    <row r="206" spans="15:34"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</row>
    <row r="207" spans="15:34"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</row>
    <row r="208" spans="15:34"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</row>
    <row r="209" spans="15:34"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</row>
    <row r="210" spans="15:34"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</row>
    <row r="211" spans="15:34"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</row>
    <row r="212" spans="15:34"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</row>
    <row r="213" spans="15:34"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</row>
    <row r="214" spans="15:34"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</row>
    <row r="215" spans="15:34"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</row>
    <row r="216" spans="15:34"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</row>
    <row r="217" spans="15:34"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</row>
    <row r="218" spans="15:34"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</row>
    <row r="219" spans="15:34"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</row>
    <row r="220" spans="15:34"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</row>
    <row r="221" spans="15:34"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</row>
    <row r="222" spans="15:34"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</row>
    <row r="223" spans="15:34"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</row>
    <row r="224" spans="15:34"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</row>
    <row r="225" spans="15:34"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</row>
    <row r="226" spans="15:34"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</row>
    <row r="227" spans="15:34"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</row>
    <row r="228" spans="15:34"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</row>
    <row r="229" spans="15:34"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</row>
    <row r="230" spans="15:34"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</row>
    <row r="231" spans="15:34"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</row>
    <row r="232" spans="15:34"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</row>
    <row r="233" spans="15:34"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</row>
    <row r="234" spans="15:34"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</row>
    <row r="235" spans="15:34"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</row>
    <row r="236" spans="15:34"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</row>
    <row r="237" spans="15:34"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</row>
    <row r="238" spans="15:34"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</row>
    <row r="239" spans="15:34"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</row>
    <row r="240" spans="15:34"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</row>
    <row r="241" spans="15:34"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</row>
    <row r="242" spans="15:34"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</row>
    <row r="243" spans="15:34"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</row>
    <row r="244" spans="15:34"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</row>
    <row r="245" spans="15:34"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</row>
    <row r="246" spans="15:34"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</row>
    <row r="247" spans="15:34"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</row>
    <row r="248" spans="15:34"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</row>
    <row r="249" spans="15:34"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</row>
    <row r="250" spans="15:34"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</row>
    <row r="251" spans="15:34"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</row>
    <row r="252" spans="15:34"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</row>
    <row r="253" spans="15:34"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</row>
    <row r="254" spans="15:34"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</row>
    <row r="255" spans="15:34"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</row>
    <row r="256" spans="15:34"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</row>
    <row r="257" spans="15:34"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</row>
    <row r="258" spans="15:34"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</row>
    <row r="259" spans="15:34"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</row>
    <row r="260" spans="15:34"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</row>
    <row r="261" spans="15:34"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</row>
    <row r="262" spans="15:34"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</row>
    <row r="263" spans="15:34"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</row>
    <row r="264" spans="15:34"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</row>
    <row r="265" spans="15:34"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</row>
    <row r="266" spans="15:34"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</row>
    <row r="267" spans="15:34"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</row>
    <row r="268" spans="15:34"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</row>
    <row r="269" spans="15:34"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</row>
    <row r="270" spans="15:34"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</row>
    <row r="271" spans="15:34"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</row>
    <row r="272" spans="15:34"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</row>
    <row r="273" spans="15:34"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</row>
    <row r="274" spans="15:34"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</row>
    <row r="275" spans="15:34"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</row>
    <row r="276" spans="15:34"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</row>
    <row r="277" spans="15:34"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</row>
    <row r="278" spans="15:34"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</row>
    <row r="279" spans="15:34"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</row>
    <row r="280" spans="15:34"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</row>
    <row r="281" spans="15:34"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</row>
    <row r="282" spans="15:34"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</row>
    <row r="283" spans="15:34"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</row>
    <row r="284" spans="15:34"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</row>
    <row r="285" spans="15:34"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</row>
    <row r="286" spans="15:34"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</row>
    <row r="287" spans="15:34"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</row>
    <row r="288" spans="15:34"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</row>
    <row r="289" spans="15:34"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</row>
    <row r="290" spans="15:34"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</row>
    <row r="291" spans="15:34"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</row>
    <row r="292" spans="15:34"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</row>
    <row r="293" spans="15:34"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</row>
    <row r="294" spans="15:34"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</row>
    <row r="295" spans="15:34"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</row>
    <row r="296" spans="15:34"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</row>
    <row r="297" spans="15:34"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</row>
    <row r="298" spans="15:34"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</row>
    <row r="299" spans="15:34"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</row>
    <row r="300" spans="15:34"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</row>
    <row r="301" spans="15:34"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</row>
    <row r="302" spans="15:34"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</row>
    <row r="303" spans="15:34"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</row>
    <row r="304" spans="15:34"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</row>
    <row r="305" spans="15:34"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</row>
    <row r="306" spans="15:34"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</row>
    <row r="307" spans="15:34"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</row>
    <row r="308" spans="15:34"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</row>
    <row r="309" spans="15:34"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</row>
    <row r="310" spans="15:34"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</row>
    <row r="311" spans="15:34"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</row>
    <row r="312" spans="15:34"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</row>
    <row r="313" spans="15:34"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</row>
    <row r="314" spans="15:34"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</row>
    <row r="315" spans="15:34"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</row>
    <row r="316" spans="15:34"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</row>
    <row r="317" spans="15:34"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</row>
    <row r="318" spans="15:34"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</row>
    <row r="319" spans="15:34"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</row>
    <row r="320" spans="15:34"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</row>
    <row r="321" spans="15:34"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</row>
    <row r="322" spans="15:34"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</row>
    <row r="323" spans="15:34"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</row>
    <row r="324" spans="15:34"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</row>
    <row r="325" spans="15:34"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</row>
    <row r="326" spans="15:34"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</row>
    <row r="327" spans="15:34"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</row>
    <row r="328" spans="15:34"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</row>
    <row r="329" spans="15:34"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</row>
    <row r="330" spans="15:34"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</row>
    <row r="331" spans="15:34"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</row>
    <row r="332" spans="15:34"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</row>
    <row r="333" spans="15:34"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</row>
    <row r="334" spans="15:34"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</row>
    <row r="335" spans="15:34"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</row>
    <row r="336" spans="15:34"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</row>
    <row r="337" spans="15:34"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</row>
    <row r="338" spans="15:34"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</row>
    <row r="339" spans="15:34"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</row>
    <row r="340" spans="15:34"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</row>
    <row r="341" spans="15:34"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</row>
    <row r="342" spans="15:34"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</row>
    <row r="343" spans="15:34"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</row>
    <row r="344" spans="15:34"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</row>
    <row r="345" spans="15:34"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</row>
    <row r="346" spans="15:34"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</row>
    <row r="347" spans="15:34"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</row>
    <row r="348" spans="15:34"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</row>
    <row r="349" spans="15:34"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</row>
    <row r="350" spans="15:34"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</row>
    <row r="351" spans="15:34"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</row>
    <row r="352" spans="15:34"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</row>
    <row r="353" spans="15:34"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</row>
    <row r="354" spans="15:34"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</row>
    <row r="355" spans="15:34"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</row>
    <row r="356" spans="15:34"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</row>
    <row r="357" spans="15:34"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</row>
    <row r="358" spans="15:34"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</row>
    <row r="359" spans="15:34"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</row>
    <row r="360" spans="15:34"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</row>
    <row r="361" spans="15:34"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</row>
    <row r="362" spans="15:34"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</row>
    <row r="363" spans="15:34"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</row>
    <row r="364" spans="15:34"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</row>
    <row r="365" spans="15:34"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O248"/>
  <sheetViews>
    <sheetView view="pageBreakPreview" topLeftCell="B62" zoomScale="75" zoomScaleNormal="75" workbookViewId="0">
      <selection activeCell="P81" sqref="P81"/>
    </sheetView>
  </sheetViews>
  <sheetFormatPr defaultColWidth="8.85546875" defaultRowHeight="12.75"/>
  <cols>
    <col min="1" max="1" width="8.140625" style="9" hidden="1" customWidth="1"/>
    <col min="2" max="2" width="25.7109375" style="9" customWidth="1"/>
    <col min="3" max="3" width="3.140625" style="9" customWidth="1"/>
    <col min="4" max="4" width="11.5703125" style="9" bestFit="1" customWidth="1"/>
    <col min="5" max="6" width="10" style="9" bestFit="1" customWidth="1"/>
    <col min="7" max="7" width="10.42578125" style="9" bestFit="1" customWidth="1"/>
    <col min="8" max="8" width="12" style="9" customWidth="1"/>
    <col min="9" max="15" width="10" style="9" bestFit="1" customWidth="1"/>
    <col min="16" max="16" width="15.5703125" style="9" customWidth="1"/>
    <col min="17" max="16384" width="8.85546875" style="9"/>
  </cols>
  <sheetData>
    <row r="1" spans="1:11">
      <c r="B1" s="68" t="str">
        <f>Factors!A1</f>
        <v>ENS BUDGET - YEAR 2002</v>
      </c>
    </row>
    <row r="2" spans="1:11" ht="23.45" customHeight="1">
      <c r="B2" s="220" t="s">
        <v>8</v>
      </c>
    </row>
    <row r="3" spans="1:11" ht="18">
      <c r="A3" s="68"/>
      <c r="B3" s="270" t="s">
        <v>1347</v>
      </c>
    </row>
    <row r="4" spans="1:11" hidden="1">
      <c r="A4" s="23"/>
      <c r="B4" s="87" t="s">
        <v>129</v>
      </c>
      <c r="D4" s="87" t="s">
        <v>159</v>
      </c>
      <c r="E4" s="87" t="s">
        <v>216</v>
      </c>
      <c r="F4" s="87" t="s">
        <v>512</v>
      </c>
      <c r="G4" s="87">
        <v>18</v>
      </c>
      <c r="H4" s="23" t="s">
        <v>97</v>
      </c>
    </row>
    <row r="5" spans="1:11" hidden="1">
      <c r="A5" s="275">
        <v>8</v>
      </c>
      <c r="B5" s="276" t="s">
        <v>161</v>
      </c>
      <c r="C5" s="277" t="s">
        <v>160</v>
      </c>
      <c r="D5" s="44">
        <v>3250</v>
      </c>
      <c r="E5" s="44">
        <f t="shared" ref="E5:E50" si="0">D5*$G$4/100</f>
        <v>585</v>
      </c>
      <c r="F5" s="44"/>
      <c r="G5" s="44"/>
      <c r="H5" s="278">
        <f t="shared" ref="H5:H58" si="1">SUM(D5:G5)</f>
        <v>3835</v>
      </c>
      <c r="I5" s="9">
        <f t="shared" ref="I5:I52" si="2">H5/D5</f>
        <v>1.18</v>
      </c>
      <c r="J5" s="278"/>
    </row>
    <row r="6" spans="1:11" hidden="1">
      <c r="A6" s="275">
        <v>9</v>
      </c>
      <c r="B6" s="276" t="s">
        <v>162</v>
      </c>
      <c r="C6" s="277" t="s">
        <v>160</v>
      </c>
      <c r="D6" s="44">
        <v>7427.82</v>
      </c>
      <c r="E6" s="44">
        <f t="shared" si="0"/>
        <v>1337.0076000000001</v>
      </c>
      <c r="F6" s="44"/>
      <c r="G6" s="44"/>
      <c r="H6" s="278">
        <f t="shared" si="1"/>
        <v>8764.8276000000005</v>
      </c>
      <c r="I6" s="9">
        <f t="shared" si="2"/>
        <v>1.1800000000000002</v>
      </c>
      <c r="J6" s="278"/>
      <c r="K6" s="278"/>
    </row>
    <row r="7" spans="1:11" hidden="1">
      <c r="A7" s="275">
        <v>12</v>
      </c>
      <c r="B7" s="276" t="s">
        <v>164</v>
      </c>
      <c r="C7" s="277" t="s">
        <v>160</v>
      </c>
      <c r="D7" s="44">
        <v>6228.17</v>
      </c>
      <c r="E7" s="44">
        <f t="shared" si="0"/>
        <v>1121.0706</v>
      </c>
      <c r="F7" s="44"/>
      <c r="G7" s="44"/>
      <c r="H7" s="278">
        <f t="shared" si="1"/>
        <v>7349.2406000000001</v>
      </c>
      <c r="I7" s="9">
        <f t="shared" si="2"/>
        <v>1.18</v>
      </c>
      <c r="J7" s="278"/>
      <c r="K7" s="278"/>
    </row>
    <row r="8" spans="1:11" hidden="1">
      <c r="A8" s="275">
        <v>17</v>
      </c>
      <c r="B8" s="276" t="s">
        <v>165</v>
      </c>
      <c r="C8" s="277" t="s">
        <v>160</v>
      </c>
      <c r="D8" s="44">
        <v>6258</v>
      </c>
      <c r="E8" s="44">
        <f t="shared" si="0"/>
        <v>1126.44</v>
      </c>
      <c r="F8" s="44"/>
      <c r="G8" s="44"/>
      <c r="H8" s="278">
        <f t="shared" si="1"/>
        <v>7384.4400000000005</v>
      </c>
      <c r="I8" s="9">
        <f t="shared" si="2"/>
        <v>1.1800000000000002</v>
      </c>
      <c r="J8" s="278"/>
      <c r="K8" s="278"/>
    </row>
    <row r="9" spans="1:11" hidden="1">
      <c r="A9" s="275">
        <v>33</v>
      </c>
      <c r="B9" s="276" t="s">
        <v>166</v>
      </c>
      <c r="C9" s="277" t="s">
        <v>160</v>
      </c>
      <c r="D9" s="44">
        <v>10000</v>
      </c>
      <c r="E9" s="44">
        <f t="shared" si="0"/>
        <v>1800</v>
      </c>
      <c r="F9" s="44"/>
      <c r="G9" s="44"/>
      <c r="H9" s="278">
        <f t="shared" si="1"/>
        <v>11800</v>
      </c>
      <c r="I9" s="9">
        <f t="shared" si="2"/>
        <v>1.18</v>
      </c>
      <c r="J9" s="278"/>
    </row>
    <row r="10" spans="1:11" hidden="1">
      <c r="A10" s="275">
        <v>40</v>
      </c>
      <c r="B10" s="276" t="s">
        <v>167</v>
      </c>
      <c r="C10" s="277" t="s">
        <v>160</v>
      </c>
      <c r="D10" s="44">
        <v>8308.66</v>
      </c>
      <c r="E10" s="44">
        <f t="shared" si="0"/>
        <v>1495.5588</v>
      </c>
      <c r="F10" s="44"/>
      <c r="G10" s="44"/>
      <c r="H10" s="278">
        <f t="shared" si="1"/>
        <v>9804.2188000000006</v>
      </c>
      <c r="I10" s="9">
        <f t="shared" si="2"/>
        <v>1.1800000000000002</v>
      </c>
      <c r="J10" s="278"/>
      <c r="K10" s="278"/>
    </row>
    <row r="11" spans="1:11" hidden="1">
      <c r="A11" s="275">
        <v>4</v>
      </c>
      <c r="B11" s="276" t="s">
        <v>168</v>
      </c>
      <c r="C11" s="277" t="s">
        <v>163</v>
      </c>
      <c r="D11" s="44">
        <v>5750</v>
      </c>
      <c r="E11" s="44">
        <f t="shared" si="0"/>
        <v>1035</v>
      </c>
      <c r="F11" s="44"/>
      <c r="G11" s="44"/>
      <c r="H11" s="278">
        <f t="shared" si="1"/>
        <v>6785</v>
      </c>
      <c r="I11" s="9">
        <f t="shared" si="2"/>
        <v>1.18</v>
      </c>
      <c r="J11" s="278"/>
    </row>
    <row r="12" spans="1:11" hidden="1">
      <c r="A12" s="275">
        <v>10</v>
      </c>
      <c r="B12" s="276" t="s">
        <v>169</v>
      </c>
      <c r="C12" s="277" t="s">
        <v>163</v>
      </c>
      <c r="D12" s="44">
        <v>4216.76</v>
      </c>
      <c r="E12" s="44">
        <f t="shared" si="0"/>
        <v>759.0168000000001</v>
      </c>
      <c r="F12" s="44"/>
      <c r="G12" s="44"/>
      <c r="H12" s="278">
        <f t="shared" si="1"/>
        <v>4975.7768000000005</v>
      </c>
      <c r="I12" s="9">
        <f t="shared" si="2"/>
        <v>1.1800000000000002</v>
      </c>
      <c r="J12" s="278"/>
      <c r="K12" s="69"/>
    </row>
    <row r="13" spans="1:11" hidden="1">
      <c r="A13" s="275">
        <v>14</v>
      </c>
      <c r="B13" s="276" t="s">
        <v>170</v>
      </c>
      <c r="C13" s="277" t="s">
        <v>163</v>
      </c>
      <c r="D13" s="44">
        <v>4109.5</v>
      </c>
      <c r="E13" s="44">
        <f t="shared" si="0"/>
        <v>739.71</v>
      </c>
      <c r="F13" s="44"/>
      <c r="G13" s="44"/>
      <c r="H13" s="278">
        <f t="shared" si="1"/>
        <v>4849.21</v>
      </c>
      <c r="I13" s="9">
        <f t="shared" si="2"/>
        <v>1.18</v>
      </c>
      <c r="J13" s="278"/>
    </row>
    <row r="14" spans="1:11" hidden="1">
      <c r="A14" s="275">
        <v>27</v>
      </c>
      <c r="B14" s="276" t="s">
        <v>171</v>
      </c>
      <c r="C14" s="277" t="s">
        <v>163</v>
      </c>
      <c r="D14" s="44">
        <v>3462.89</v>
      </c>
      <c r="E14" s="44">
        <f t="shared" si="0"/>
        <v>623.3202</v>
      </c>
      <c r="F14" s="44"/>
      <c r="G14" s="44"/>
      <c r="H14" s="278">
        <f t="shared" si="1"/>
        <v>4086.2102</v>
      </c>
      <c r="I14" s="9">
        <f t="shared" si="2"/>
        <v>1.18</v>
      </c>
      <c r="J14" s="278"/>
    </row>
    <row r="15" spans="1:11" hidden="1">
      <c r="A15" s="275">
        <v>34</v>
      </c>
      <c r="B15" s="276" t="s">
        <v>172</v>
      </c>
      <c r="C15" s="277" t="s">
        <v>163</v>
      </c>
      <c r="D15" s="44">
        <v>4243.4799999999996</v>
      </c>
      <c r="E15" s="44">
        <f t="shared" si="0"/>
        <v>763.82639999999981</v>
      </c>
      <c r="F15" s="44"/>
      <c r="G15" s="44"/>
      <c r="H15" s="278">
        <f t="shared" si="1"/>
        <v>5007.3063999999995</v>
      </c>
      <c r="I15" s="9">
        <f t="shared" si="2"/>
        <v>1.18</v>
      </c>
      <c r="J15" s="278"/>
    </row>
    <row r="16" spans="1:11" hidden="1">
      <c r="A16" s="275">
        <v>30</v>
      </c>
      <c r="B16" s="276" t="s">
        <v>173</v>
      </c>
      <c r="C16" s="277" t="s">
        <v>163</v>
      </c>
      <c r="D16" s="44">
        <v>3483.01</v>
      </c>
      <c r="E16" s="44">
        <f t="shared" si="0"/>
        <v>626.94180000000006</v>
      </c>
      <c r="F16" s="44"/>
      <c r="G16" s="44"/>
      <c r="H16" s="278">
        <f t="shared" si="1"/>
        <v>4109.9518000000007</v>
      </c>
      <c r="I16" s="9">
        <f t="shared" si="2"/>
        <v>1.1800000000000002</v>
      </c>
      <c r="J16" s="278"/>
    </row>
    <row r="17" spans="1:11" hidden="1">
      <c r="A17" s="275">
        <v>1</v>
      </c>
      <c r="B17" s="276" t="s">
        <v>174</v>
      </c>
      <c r="C17" s="277" t="s">
        <v>163</v>
      </c>
      <c r="D17" s="44">
        <v>4114.8599999999997</v>
      </c>
      <c r="E17" s="44">
        <f t="shared" si="0"/>
        <v>740.6748</v>
      </c>
      <c r="F17" s="44"/>
      <c r="G17" s="44"/>
      <c r="H17" s="278">
        <f t="shared" si="1"/>
        <v>4855.5347999999994</v>
      </c>
      <c r="I17" s="9">
        <f t="shared" si="2"/>
        <v>1.18</v>
      </c>
      <c r="J17" s="278"/>
    </row>
    <row r="18" spans="1:11" hidden="1">
      <c r="A18" s="275">
        <v>2</v>
      </c>
      <c r="B18" s="276" t="s">
        <v>175</v>
      </c>
      <c r="C18" s="277" t="s">
        <v>163</v>
      </c>
      <c r="D18" s="44">
        <v>4386.03</v>
      </c>
      <c r="E18" s="44">
        <f t="shared" si="0"/>
        <v>789.48539999999991</v>
      </c>
      <c r="F18" s="44"/>
      <c r="G18" s="44"/>
      <c r="H18" s="278">
        <f t="shared" si="1"/>
        <v>5175.5153999999993</v>
      </c>
      <c r="I18" s="9">
        <f t="shared" si="2"/>
        <v>1.18</v>
      </c>
      <c r="J18" s="278"/>
    </row>
    <row r="19" spans="1:11" hidden="1">
      <c r="A19" s="275">
        <v>11</v>
      </c>
      <c r="B19" s="276" t="s">
        <v>176</v>
      </c>
      <c r="C19" s="277" t="s">
        <v>163</v>
      </c>
      <c r="D19" s="44">
        <v>4482.47</v>
      </c>
      <c r="E19" s="44">
        <f t="shared" si="0"/>
        <v>806.84460000000001</v>
      </c>
      <c r="F19" s="44"/>
      <c r="G19" s="44"/>
      <c r="H19" s="278">
        <f t="shared" si="1"/>
        <v>5289.3146000000006</v>
      </c>
      <c r="I19" s="9">
        <f t="shared" si="2"/>
        <v>1.1800000000000002</v>
      </c>
      <c r="J19" s="278"/>
    </row>
    <row r="20" spans="1:11" hidden="1">
      <c r="A20" s="275">
        <v>19</v>
      </c>
      <c r="B20" s="276" t="s">
        <v>177</v>
      </c>
      <c r="C20" s="277" t="s">
        <v>163</v>
      </c>
      <c r="D20" s="44">
        <v>4327.25</v>
      </c>
      <c r="E20" s="44">
        <f t="shared" si="0"/>
        <v>778.90499999999997</v>
      </c>
      <c r="F20" s="44"/>
      <c r="G20" s="44"/>
      <c r="H20" s="278">
        <f t="shared" si="1"/>
        <v>5106.1549999999997</v>
      </c>
      <c r="I20" s="9">
        <f t="shared" si="2"/>
        <v>1.18</v>
      </c>
      <c r="J20" s="278"/>
      <c r="K20" s="69"/>
    </row>
    <row r="21" spans="1:11" hidden="1">
      <c r="A21" s="275">
        <v>25</v>
      </c>
      <c r="B21" s="276" t="s">
        <v>178</v>
      </c>
      <c r="C21" s="277" t="s">
        <v>163</v>
      </c>
      <c r="D21" s="44">
        <v>4586.3500000000004</v>
      </c>
      <c r="E21" s="44">
        <f t="shared" si="0"/>
        <v>825.54300000000001</v>
      </c>
      <c r="F21" s="44"/>
      <c r="G21" s="44"/>
      <c r="H21" s="278">
        <f t="shared" si="1"/>
        <v>5411.893</v>
      </c>
      <c r="I21" s="9">
        <f t="shared" si="2"/>
        <v>1.18</v>
      </c>
      <c r="J21" s="278"/>
    </row>
    <row r="22" spans="1:11" hidden="1">
      <c r="A22" s="275">
        <v>26</v>
      </c>
      <c r="B22" s="276" t="s">
        <v>179</v>
      </c>
      <c r="C22" s="277" t="s">
        <v>163</v>
      </c>
      <c r="D22" s="44">
        <v>5056.17</v>
      </c>
      <c r="E22" s="44">
        <f t="shared" si="0"/>
        <v>910.11059999999998</v>
      </c>
      <c r="F22" s="44"/>
      <c r="G22" s="44"/>
      <c r="H22" s="278">
        <f t="shared" si="1"/>
        <v>5966.2806</v>
      </c>
      <c r="I22" s="9">
        <f t="shared" si="2"/>
        <v>1.18</v>
      </c>
      <c r="J22" s="278"/>
    </row>
    <row r="23" spans="1:11" hidden="1">
      <c r="A23" s="275">
        <v>28</v>
      </c>
      <c r="B23" s="276" t="s">
        <v>180</v>
      </c>
      <c r="C23" s="277" t="s">
        <v>163</v>
      </c>
      <c r="D23" s="44">
        <v>4276.97</v>
      </c>
      <c r="E23" s="44">
        <f t="shared" si="0"/>
        <v>769.85460000000012</v>
      </c>
      <c r="F23" s="44"/>
      <c r="G23" s="44"/>
      <c r="H23" s="278">
        <f t="shared" si="1"/>
        <v>5046.8245999999999</v>
      </c>
      <c r="I23" s="9">
        <f t="shared" si="2"/>
        <v>1.18</v>
      </c>
      <c r="J23" s="278"/>
    </row>
    <row r="24" spans="1:11" hidden="1">
      <c r="A24" s="275">
        <v>29</v>
      </c>
      <c r="B24" s="276" t="s">
        <v>181</v>
      </c>
      <c r="C24" s="277" t="s">
        <v>163</v>
      </c>
      <c r="D24" s="44">
        <v>4809.54</v>
      </c>
      <c r="E24" s="44">
        <f t="shared" si="0"/>
        <v>865.71720000000005</v>
      </c>
      <c r="F24" s="44"/>
      <c r="G24" s="44"/>
      <c r="H24" s="278">
        <f t="shared" si="1"/>
        <v>5675.2572</v>
      </c>
      <c r="I24" s="9">
        <f t="shared" si="2"/>
        <v>1.18</v>
      </c>
      <c r="J24" s="278"/>
    </row>
    <row r="25" spans="1:11" hidden="1">
      <c r="A25" s="275">
        <v>31</v>
      </c>
      <c r="B25" s="276" t="s">
        <v>182</v>
      </c>
      <c r="C25" s="277" t="s">
        <v>163</v>
      </c>
      <c r="D25" s="44">
        <v>3721.2</v>
      </c>
      <c r="E25" s="44">
        <f t="shared" si="0"/>
        <v>669.81599999999992</v>
      </c>
      <c r="F25" s="44"/>
      <c r="G25" s="44"/>
      <c r="H25" s="278">
        <f t="shared" si="1"/>
        <v>4391.0159999999996</v>
      </c>
      <c r="I25" s="9">
        <f t="shared" si="2"/>
        <v>1.18</v>
      </c>
      <c r="J25" s="278"/>
    </row>
    <row r="26" spans="1:11" hidden="1">
      <c r="A26" s="275">
        <v>35</v>
      </c>
      <c r="B26" s="276" t="s">
        <v>183</v>
      </c>
      <c r="C26" s="277" t="s">
        <v>163</v>
      </c>
      <c r="D26" s="44">
        <v>3926.46</v>
      </c>
      <c r="E26" s="44">
        <f t="shared" si="0"/>
        <v>706.76279999999997</v>
      </c>
      <c r="F26" s="44"/>
      <c r="G26" s="44"/>
      <c r="H26" s="278">
        <f t="shared" si="1"/>
        <v>4633.2227999999996</v>
      </c>
      <c r="I26" s="9">
        <f t="shared" si="2"/>
        <v>1.18</v>
      </c>
      <c r="J26" s="278"/>
    </row>
    <row r="27" spans="1:11" hidden="1">
      <c r="A27" s="275">
        <v>39</v>
      </c>
      <c r="B27" s="276" t="s">
        <v>184</v>
      </c>
      <c r="C27" s="277" t="s">
        <v>163</v>
      </c>
      <c r="D27" s="44">
        <v>3394.78</v>
      </c>
      <c r="E27" s="44">
        <f t="shared" si="0"/>
        <v>611.06039999999996</v>
      </c>
      <c r="F27" s="44"/>
      <c r="G27" s="44"/>
      <c r="H27" s="278">
        <f t="shared" si="1"/>
        <v>4005.8404</v>
      </c>
      <c r="I27" s="9">
        <f t="shared" si="2"/>
        <v>1.18</v>
      </c>
      <c r="J27" s="278"/>
    </row>
    <row r="28" spans="1:11" hidden="1">
      <c r="A28" s="275">
        <v>43</v>
      </c>
      <c r="B28" s="276" t="s">
        <v>185</v>
      </c>
      <c r="C28" s="277" t="s">
        <v>163</v>
      </c>
      <c r="D28" s="44">
        <v>3952.45</v>
      </c>
      <c r="E28" s="44">
        <f t="shared" si="0"/>
        <v>711.44099999999992</v>
      </c>
      <c r="F28" s="44"/>
      <c r="G28" s="44"/>
      <c r="H28" s="278">
        <f t="shared" si="1"/>
        <v>4663.8909999999996</v>
      </c>
      <c r="I28" s="9">
        <f t="shared" si="2"/>
        <v>1.18</v>
      </c>
      <c r="J28" s="278"/>
    </row>
    <row r="29" spans="1:11" hidden="1">
      <c r="A29" s="275">
        <v>44</v>
      </c>
      <c r="B29" s="276" t="s">
        <v>186</v>
      </c>
      <c r="C29" s="277" t="s">
        <v>163</v>
      </c>
      <c r="D29" s="44">
        <v>3727.74</v>
      </c>
      <c r="E29" s="44">
        <f t="shared" si="0"/>
        <v>670.99319999999989</v>
      </c>
      <c r="F29" s="44"/>
      <c r="G29" s="44"/>
      <c r="H29" s="278">
        <f t="shared" si="1"/>
        <v>4398.7331999999997</v>
      </c>
      <c r="I29" s="9">
        <f t="shared" si="2"/>
        <v>1.18</v>
      </c>
      <c r="J29" s="278"/>
    </row>
    <row r="30" spans="1:11" hidden="1">
      <c r="A30" s="275">
        <v>47</v>
      </c>
      <c r="B30" s="276" t="s">
        <v>187</v>
      </c>
      <c r="C30" s="277" t="s">
        <v>163</v>
      </c>
      <c r="D30" s="44">
        <v>3560.52</v>
      </c>
      <c r="E30" s="44">
        <f t="shared" si="0"/>
        <v>640.89359999999999</v>
      </c>
      <c r="F30" s="44"/>
      <c r="G30" s="44"/>
      <c r="H30" s="278">
        <f t="shared" si="1"/>
        <v>4201.4135999999999</v>
      </c>
      <c r="I30" s="9">
        <f t="shared" si="2"/>
        <v>1.18</v>
      </c>
      <c r="J30" s="278"/>
    </row>
    <row r="31" spans="1:11" hidden="1">
      <c r="A31" s="275">
        <v>49</v>
      </c>
      <c r="B31" s="276" t="s">
        <v>188</v>
      </c>
      <c r="C31" s="277" t="s">
        <v>163</v>
      </c>
      <c r="D31" s="44">
        <v>3933.8</v>
      </c>
      <c r="E31" s="44">
        <f t="shared" si="0"/>
        <v>708.08400000000006</v>
      </c>
      <c r="F31" s="44"/>
      <c r="G31" s="44"/>
      <c r="H31" s="278">
        <f t="shared" si="1"/>
        <v>4641.884</v>
      </c>
      <c r="I31" s="9">
        <f t="shared" si="2"/>
        <v>1.18</v>
      </c>
      <c r="J31" s="278"/>
    </row>
    <row r="32" spans="1:11" hidden="1">
      <c r="A32" s="275">
        <v>6</v>
      </c>
      <c r="B32" s="276" t="s">
        <v>189</v>
      </c>
      <c r="C32" s="277" t="s">
        <v>163</v>
      </c>
      <c r="D32" s="44">
        <v>1750</v>
      </c>
      <c r="E32" s="44">
        <f t="shared" si="0"/>
        <v>315</v>
      </c>
      <c r="F32" s="44"/>
      <c r="G32" s="44"/>
      <c r="H32" s="278">
        <f t="shared" si="1"/>
        <v>2065</v>
      </c>
      <c r="I32" s="9">
        <f t="shared" si="2"/>
        <v>1.18</v>
      </c>
      <c r="J32" s="278"/>
    </row>
    <row r="33" spans="1:11" hidden="1">
      <c r="A33" s="275">
        <v>16</v>
      </c>
      <c r="B33" s="276" t="s">
        <v>191</v>
      </c>
      <c r="C33" s="277" t="s">
        <v>163</v>
      </c>
      <c r="D33" s="44">
        <v>2500</v>
      </c>
      <c r="E33" s="44">
        <f t="shared" si="0"/>
        <v>450</v>
      </c>
      <c r="F33" s="44"/>
      <c r="G33" s="44"/>
      <c r="H33" s="278">
        <f t="shared" si="1"/>
        <v>2950</v>
      </c>
      <c r="I33" s="9">
        <f t="shared" si="2"/>
        <v>1.18</v>
      </c>
      <c r="J33" s="278"/>
    </row>
    <row r="34" spans="1:11" hidden="1">
      <c r="A34" s="275">
        <v>21</v>
      </c>
      <c r="B34" s="276" t="s">
        <v>192</v>
      </c>
      <c r="C34" s="277" t="s">
        <v>163</v>
      </c>
      <c r="D34" s="44">
        <v>3667.04</v>
      </c>
      <c r="E34" s="44">
        <f t="shared" si="0"/>
        <v>660.06719999999996</v>
      </c>
      <c r="F34" s="44"/>
      <c r="G34" s="44"/>
      <c r="H34" s="278">
        <f t="shared" si="1"/>
        <v>4327.1072000000004</v>
      </c>
      <c r="I34" s="9">
        <f t="shared" si="2"/>
        <v>1.1800000000000002</v>
      </c>
      <c r="J34" s="278"/>
    </row>
    <row r="35" spans="1:11" hidden="1">
      <c r="A35" s="275">
        <v>37</v>
      </c>
      <c r="B35" s="276" t="s">
        <v>194</v>
      </c>
      <c r="C35" s="277" t="s">
        <v>163</v>
      </c>
      <c r="D35" s="44">
        <v>4523.42</v>
      </c>
      <c r="E35" s="44">
        <f t="shared" si="0"/>
        <v>814.21559999999999</v>
      </c>
      <c r="F35" s="44"/>
      <c r="G35" s="44"/>
      <c r="H35" s="278">
        <f t="shared" si="1"/>
        <v>5337.6355999999996</v>
      </c>
      <c r="I35" s="9">
        <f t="shared" si="2"/>
        <v>1.18</v>
      </c>
      <c r="J35" s="278"/>
    </row>
    <row r="36" spans="1:11" hidden="1">
      <c r="A36" s="275">
        <v>48</v>
      </c>
      <c r="B36" s="276" t="s">
        <v>195</v>
      </c>
      <c r="C36" s="277" t="s">
        <v>163</v>
      </c>
      <c r="D36" s="44">
        <v>4821.82</v>
      </c>
      <c r="E36" s="44">
        <f t="shared" si="0"/>
        <v>867.92759999999998</v>
      </c>
      <c r="F36" s="44"/>
      <c r="G36" s="44"/>
      <c r="H36" s="278">
        <f t="shared" si="1"/>
        <v>5689.7475999999997</v>
      </c>
      <c r="I36" s="9">
        <f t="shared" si="2"/>
        <v>1.18</v>
      </c>
      <c r="J36" s="278"/>
      <c r="K36" s="278"/>
    </row>
    <row r="37" spans="1:11" hidden="1">
      <c r="A37" s="275"/>
      <c r="B37" s="276" t="s">
        <v>1179</v>
      </c>
      <c r="C37" s="277" t="s">
        <v>163</v>
      </c>
      <c r="D37" s="44">
        <v>3700</v>
      </c>
      <c r="E37" s="44">
        <f t="shared" si="0"/>
        <v>666</v>
      </c>
      <c r="F37" s="44"/>
      <c r="G37" s="44"/>
      <c r="H37" s="278">
        <f t="shared" si="1"/>
        <v>4366</v>
      </c>
      <c r="I37" s="9">
        <f t="shared" si="2"/>
        <v>1.18</v>
      </c>
      <c r="J37" s="278"/>
      <c r="K37" s="278"/>
    </row>
    <row r="38" spans="1:11" hidden="1">
      <c r="A38" s="275">
        <v>24</v>
      </c>
      <c r="B38" s="276" t="s">
        <v>196</v>
      </c>
      <c r="C38" s="277" t="s">
        <v>190</v>
      </c>
      <c r="D38" s="44">
        <v>6630</v>
      </c>
      <c r="E38" s="44">
        <f t="shared" si="0"/>
        <v>1193.4000000000001</v>
      </c>
      <c r="F38" s="44"/>
      <c r="G38" s="44"/>
      <c r="H38" s="278">
        <f t="shared" si="1"/>
        <v>7823.4</v>
      </c>
      <c r="I38" s="9">
        <f t="shared" si="2"/>
        <v>1.18</v>
      </c>
      <c r="J38" s="278"/>
    </row>
    <row r="39" spans="1:11" hidden="1">
      <c r="A39" s="275">
        <v>42</v>
      </c>
      <c r="B39" s="276" t="s">
        <v>197</v>
      </c>
      <c r="C39" s="277" t="s">
        <v>190</v>
      </c>
      <c r="D39" s="44">
        <v>7030</v>
      </c>
      <c r="E39" s="44">
        <f t="shared" si="0"/>
        <v>1265.4000000000001</v>
      </c>
      <c r="F39" s="44"/>
      <c r="G39" s="44"/>
      <c r="H39" s="278">
        <f t="shared" si="1"/>
        <v>8295.4</v>
      </c>
      <c r="I39" s="9">
        <f t="shared" si="2"/>
        <v>1.18</v>
      </c>
      <c r="J39" s="278"/>
      <c r="K39" s="278"/>
    </row>
    <row r="40" spans="1:11" hidden="1">
      <c r="A40" s="275">
        <v>5</v>
      </c>
      <c r="B40" s="276" t="s">
        <v>198</v>
      </c>
      <c r="C40" s="277" t="s">
        <v>193</v>
      </c>
      <c r="D40" s="44">
        <v>3818.18</v>
      </c>
      <c r="E40" s="44">
        <f t="shared" si="0"/>
        <v>687.27239999999995</v>
      </c>
      <c r="F40" s="44"/>
      <c r="G40" s="44"/>
      <c r="H40" s="278">
        <f t="shared" si="1"/>
        <v>4505.4524000000001</v>
      </c>
      <c r="I40" s="9">
        <f t="shared" si="2"/>
        <v>1.1800000000000002</v>
      </c>
      <c r="J40" s="278"/>
    </row>
    <row r="41" spans="1:11" hidden="1">
      <c r="A41" s="275">
        <v>41</v>
      </c>
      <c r="B41" s="276" t="s">
        <v>199</v>
      </c>
      <c r="C41" s="277" t="s">
        <v>193</v>
      </c>
      <c r="D41" s="44">
        <v>5581.45</v>
      </c>
      <c r="E41" s="44">
        <f t="shared" si="0"/>
        <v>1004.6609999999999</v>
      </c>
      <c r="F41" s="44"/>
      <c r="G41" s="44"/>
      <c r="H41" s="278">
        <f t="shared" si="1"/>
        <v>6586.1109999999999</v>
      </c>
      <c r="I41" s="9">
        <f t="shared" si="2"/>
        <v>1.18</v>
      </c>
      <c r="J41" s="278"/>
      <c r="K41" s="69"/>
    </row>
    <row r="42" spans="1:11" hidden="1">
      <c r="A42" s="275">
        <v>45</v>
      </c>
      <c r="B42" s="276" t="s">
        <v>200</v>
      </c>
      <c r="C42" s="277" t="s">
        <v>193</v>
      </c>
      <c r="D42" s="44">
        <v>4451.62</v>
      </c>
      <c r="E42" s="44">
        <f t="shared" si="0"/>
        <v>801.29160000000002</v>
      </c>
      <c r="F42" s="44"/>
      <c r="G42" s="44"/>
      <c r="H42" s="278">
        <f t="shared" si="1"/>
        <v>5252.9115999999995</v>
      </c>
      <c r="I42" s="9">
        <f t="shared" si="2"/>
        <v>1.18</v>
      </c>
      <c r="J42" s="278"/>
    </row>
    <row r="43" spans="1:11" hidden="1">
      <c r="A43" s="275">
        <v>20</v>
      </c>
      <c r="B43" s="276" t="s">
        <v>201</v>
      </c>
      <c r="C43" s="277" t="s">
        <v>193</v>
      </c>
      <c r="D43" s="44">
        <v>4950</v>
      </c>
      <c r="E43" s="44">
        <f t="shared" si="0"/>
        <v>891</v>
      </c>
      <c r="F43" s="44"/>
      <c r="G43" s="44"/>
      <c r="H43" s="278">
        <f t="shared" si="1"/>
        <v>5841</v>
      </c>
      <c r="I43" s="9">
        <f t="shared" si="2"/>
        <v>1.18</v>
      </c>
      <c r="J43" s="278"/>
    </row>
    <row r="44" spans="1:11" hidden="1">
      <c r="A44" s="275">
        <v>13</v>
      </c>
      <c r="B44" s="276" t="s">
        <v>203</v>
      </c>
      <c r="C44" s="277" t="s">
        <v>193</v>
      </c>
      <c r="D44" s="44">
        <v>3780</v>
      </c>
      <c r="E44" s="44">
        <f t="shared" si="0"/>
        <v>680.4</v>
      </c>
      <c r="F44" s="44"/>
      <c r="G44" s="44"/>
      <c r="H44" s="278">
        <f t="shared" si="1"/>
        <v>4460.3999999999996</v>
      </c>
      <c r="I44" s="9">
        <f t="shared" si="2"/>
        <v>1.18</v>
      </c>
      <c r="J44" s="278"/>
    </row>
    <row r="45" spans="1:11" hidden="1">
      <c r="A45" s="275">
        <v>22</v>
      </c>
      <c r="B45" s="276" t="s">
        <v>204</v>
      </c>
      <c r="C45" s="277" t="s">
        <v>193</v>
      </c>
      <c r="D45" s="44">
        <v>2500</v>
      </c>
      <c r="E45" s="44">
        <f t="shared" si="0"/>
        <v>450</v>
      </c>
      <c r="F45" s="44"/>
      <c r="G45" s="44"/>
      <c r="H45" s="278">
        <f t="shared" si="1"/>
        <v>2950</v>
      </c>
      <c r="I45" s="9">
        <f t="shared" si="2"/>
        <v>1.18</v>
      </c>
      <c r="J45" s="278"/>
    </row>
    <row r="46" spans="1:11" hidden="1">
      <c r="A46" s="275">
        <v>38</v>
      </c>
      <c r="B46" s="276" t="s">
        <v>205</v>
      </c>
      <c r="C46" s="277" t="s">
        <v>193</v>
      </c>
      <c r="D46" s="44">
        <v>2500</v>
      </c>
      <c r="E46" s="44">
        <f t="shared" si="0"/>
        <v>450</v>
      </c>
      <c r="F46" s="44"/>
      <c r="G46" s="44"/>
      <c r="H46" s="278">
        <f t="shared" si="1"/>
        <v>2950</v>
      </c>
      <c r="I46" s="9">
        <f t="shared" si="2"/>
        <v>1.18</v>
      </c>
      <c r="J46" s="278"/>
      <c r="K46" s="278"/>
    </row>
    <row r="47" spans="1:11" hidden="1">
      <c r="A47" s="275">
        <v>7</v>
      </c>
      <c r="B47" s="276" t="s">
        <v>206</v>
      </c>
      <c r="C47" s="277" t="s">
        <v>202</v>
      </c>
      <c r="D47" s="44">
        <v>4850</v>
      </c>
      <c r="E47" s="44">
        <f t="shared" si="0"/>
        <v>873</v>
      </c>
      <c r="F47" s="44"/>
      <c r="G47" s="44"/>
      <c r="H47" s="278">
        <f t="shared" si="1"/>
        <v>5723</v>
      </c>
      <c r="I47" s="9">
        <f t="shared" si="2"/>
        <v>1.18</v>
      </c>
      <c r="J47" s="278"/>
    </row>
    <row r="48" spans="1:11" hidden="1">
      <c r="A48" s="275">
        <v>23</v>
      </c>
      <c r="B48" s="276" t="s">
        <v>207</v>
      </c>
      <c r="C48" s="277" t="s">
        <v>202</v>
      </c>
      <c r="D48" s="44">
        <v>10767</v>
      </c>
      <c r="E48" s="44">
        <f t="shared" si="0"/>
        <v>1938.06</v>
      </c>
      <c r="F48" s="44"/>
      <c r="G48" s="44"/>
      <c r="H48" s="278">
        <f t="shared" si="1"/>
        <v>12705.06</v>
      </c>
      <c r="I48" s="9">
        <f t="shared" si="2"/>
        <v>1.18</v>
      </c>
      <c r="J48" s="278"/>
      <c r="K48" s="278"/>
    </row>
    <row r="49" spans="1:31" hidden="1">
      <c r="A49" s="275">
        <v>36</v>
      </c>
      <c r="B49" s="276" t="s">
        <v>501</v>
      </c>
      <c r="C49" s="277" t="s">
        <v>202</v>
      </c>
      <c r="D49" s="44">
        <v>7166.67</v>
      </c>
      <c r="E49" s="44">
        <f t="shared" si="0"/>
        <v>1290.0006000000001</v>
      </c>
      <c r="F49" s="44"/>
      <c r="G49" s="44"/>
      <c r="H49" s="278">
        <f t="shared" si="1"/>
        <v>8456.6705999999995</v>
      </c>
      <c r="I49" s="9">
        <f t="shared" si="2"/>
        <v>1.18</v>
      </c>
      <c r="J49" s="278"/>
      <c r="K49" s="278"/>
    </row>
    <row r="50" spans="1:31" hidden="1">
      <c r="A50" s="275">
        <v>18</v>
      </c>
      <c r="B50" s="276" t="s">
        <v>208</v>
      </c>
      <c r="C50" s="277" t="s">
        <v>202</v>
      </c>
      <c r="D50" s="44">
        <v>7328.75</v>
      </c>
      <c r="E50" s="44">
        <f t="shared" si="0"/>
        <v>1319.175</v>
      </c>
      <c r="F50" s="44"/>
      <c r="G50" s="44"/>
      <c r="H50" s="279">
        <f t="shared" si="1"/>
        <v>8647.9249999999993</v>
      </c>
      <c r="I50" s="9">
        <f t="shared" si="2"/>
        <v>1.18</v>
      </c>
      <c r="J50" s="279"/>
      <c r="K50" s="278"/>
    </row>
    <row r="51" spans="1:31" hidden="1">
      <c r="A51" s="280"/>
      <c r="B51" s="113"/>
      <c r="C51" s="113"/>
      <c r="D51" s="44"/>
      <c r="E51" s="44"/>
      <c r="F51" s="44"/>
      <c r="G51" s="44"/>
      <c r="H51" s="278"/>
      <c r="I51" s="278"/>
      <c r="J51" s="278"/>
      <c r="K51" s="278"/>
    </row>
    <row r="52" spans="1:31" hidden="1">
      <c r="A52" s="280"/>
      <c r="B52" s="113" t="s">
        <v>97</v>
      </c>
      <c r="C52" s="113"/>
      <c r="D52" s="44">
        <f>SUM(D5:D50)</f>
        <v>221310.83000000005</v>
      </c>
      <c r="E52" s="44">
        <f>SUM(E5:E50)</f>
        <v>39835.949400000005</v>
      </c>
      <c r="F52" s="44">
        <f>SUM(F5:F50)</f>
        <v>0</v>
      </c>
      <c r="G52" s="44">
        <f>SUM(G5:G50)</f>
        <v>0</v>
      </c>
      <c r="H52" s="44">
        <f>SUM(H5:H50)</f>
        <v>261146.77939999997</v>
      </c>
      <c r="I52" s="9">
        <f t="shared" si="2"/>
        <v>1.1799999999999997</v>
      </c>
      <c r="J52" s="44"/>
      <c r="K52" s="278"/>
    </row>
    <row r="53" spans="1:31" hidden="1">
      <c r="A53" s="280"/>
      <c r="B53" s="113"/>
      <c r="C53" s="113"/>
      <c r="D53" s="44"/>
      <c r="E53" s="44"/>
      <c r="F53" s="44"/>
      <c r="G53" s="44"/>
      <c r="H53" s="44"/>
      <c r="I53" s="278"/>
      <c r="J53" s="44"/>
      <c r="K53" s="278"/>
    </row>
    <row r="54" spans="1:31" hidden="1">
      <c r="A54" s="280"/>
      <c r="B54" s="113"/>
      <c r="C54" s="113"/>
      <c r="D54" s="44"/>
      <c r="E54" s="44"/>
      <c r="F54" s="44"/>
      <c r="G54" s="44"/>
      <c r="H54" s="278"/>
      <c r="I54" s="278"/>
      <c r="J54" s="278"/>
      <c r="K54" s="278"/>
    </row>
    <row r="55" spans="1:31" hidden="1">
      <c r="A55" s="280"/>
      <c r="B55" s="281" t="s">
        <v>212</v>
      </c>
      <c r="C55" s="113"/>
      <c r="D55" s="44"/>
      <c r="E55" s="44"/>
      <c r="F55" s="44"/>
      <c r="G55" s="44"/>
      <c r="H55" s="278"/>
      <c r="I55" s="278"/>
      <c r="J55" s="278"/>
      <c r="K55" s="278"/>
    </row>
    <row r="56" spans="1:31" hidden="1">
      <c r="A56" s="275"/>
      <c r="B56" s="276" t="s">
        <v>207</v>
      </c>
      <c r="C56" s="277" t="s">
        <v>202</v>
      </c>
      <c r="D56" s="44">
        <v>5833.33</v>
      </c>
      <c r="E56" s="44">
        <v>0</v>
      </c>
      <c r="F56" s="44">
        <v>0</v>
      </c>
      <c r="G56" s="44">
        <v>0</v>
      </c>
      <c r="H56" s="278">
        <f t="shared" si="1"/>
        <v>5833.33</v>
      </c>
      <c r="I56" s="9">
        <f>H56/D56</f>
        <v>1</v>
      </c>
      <c r="J56" s="278"/>
      <c r="K56" s="278"/>
    </row>
    <row r="57" spans="1:31" hidden="1">
      <c r="A57" s="275"/>
      <c r="B57" s="276" t="s">
        <v>227</v>
      </c>
      <c r="C57" s="277" t="s">
        <v>202</v>
      </c>
      <c r="D57" s="44">
        <v>2916.67</v>
      </c>
      <c r="E57" s="44">
        <v>0</v>
      </c>
      <c r="F57" s="44">
        <v>0</v>
      </c>
      <c r="G57" s="44">
        <v>0</v>
      </c>
      <c r="H57" s="278">
        <f t="shared" si="1"/>
        <v>2916.67</v>
      </c>
      <c r="I57" s="9">
        <f>H57/D57</f>
        <v>1</v>
      </c>
      <c r="J57" s="278"/>
      <c r="K57" s="278"/>
    </row>
    <row r="58" spans="1:31" hidden="1">
      <c r="A58" s="275"/>
      <c r="B58" s="276" t="s">
        <v>208</v>
      </c>
      <c r="C58" s="277" t="s">
        <v>202</v>
      </c>
      <c r="D58" s="44">
        <v>5532.75</v>
      </c>
      <c r="E58" s="44">
        <v>0</v>
      </c>
      <c r="F58" s="44">
        <v>0</v>
      </c>
      <c r="G58" s="44">
        <v>0</v>
      </c>
      <c r="H58" s="278">
        <f t="shared" si="1"/>
        <v>5532.75</v>
      </c>
      <c r="I58" s="9">
        <f>H58/D58</f>
        <v>1</v>
      </c>
      <c r="J58" s="278"/>
      <c r="K58" s="278"/>
    </row>
    <row r="59" spans="1:31" hidden="1">
      <c r="A59" s="23"/>
      <c r="D59" s="278"/>
      <c r="E59" s="278"/>
      <c r="F59" s="278"/>
      <c r="G59" s="278"/>
      <c r="H59" s="278"/>
      <c r="I59" s="278"/>
      <c r="J59" s="278"/>
      <c r="K59" s="278"/>
    </row>
    <row r="60" spans="1:31" hidden="1">
      <c r="A60" s="23"/>
      <c r="D60" s="278">
        <f>SUM(D56:D59)</f>
        <v>14282.75</v>
      </c>
      <c r="E60" s="278">
        <f>SUM(E56:E59)</f>
        <v>0</v>
      </c>
      <c r="F60" s="278">
        <f>SUM(F56:F59)</f>
        <v>0</v>
      </c>
      <c r="G60" s="278">
        <f>SUM(G56:G59)</f>
        <v>0</v>
      </c>
      <c r="H60" s="278">
        <f>SUM(H56:H59)</f>
        <v>14282.75</v>
      </c>
      <c r="I60" s="9">
        <f>H60/D60</f>
        <v>1</v>
      </c>
      <c r="J60" s="278"/>
      <c r="K60" s="278"/>
    </row>
    <row r="61" spans="1:31" ht="41.45" customHeight="1">
      <c r="A61" s="23"/>
      <c r="D61" s="278"/>
      <c r="E61" s="278"/>
      <c r="F61" s="278"/>
      <c r="G61" s="278"/>
      <c r="H61" s="278"/>
      <c r="I61" s="278"/>
    </row>
    <row r="62" spans="1:31">
      <c r="A62" s="23"/>
      <c r="B62" s="68" t="s">
        <v>49</v>
      </c>
      <c r="D62" s="87" t="s">
        <v>50</v>
      </c>
      <c r="E62" s="87" t="s">
        <v>51</v>
      </c>
      <c r="F62" s="87" t="s">
        <v>52</v>
      </c>
      <c r="G62" s="87" t="s">
        <v>53</v>
      </c>
      <c r="H62" s="87" t="s">
        <v>54</v>
      </c>
      <c r="I62" s="87" t="s">
        <v>55</v>
      </c>
      <c r="J62" s="87" t="s">
        <v>56</v>
      </c>
      <c r="K62" s="87" t="s">
        <v>57</v>
      </c>
      <c r="L62" s="87" t="s">
        <v>58</v>
      </c>
      <c r="M62" s="87" t="s">
        <v>59</v>
      </c>
      <c r="N62" s="87" t="s">
        <v>60</v>
      </c>
      <c r="O62" s="87" t="s">
        <v>61</v>
      </c>
      <c r="P62" s="87" t="s">
        <v>97</v>
      </c>
      <c r="R62" s="9" t="s">
        <v>129</v>
      </c>
      <c r="T62" s="87" t="s">
        <v>50</v>
      </c>
      <c r="U62" s="87" t="s">
        <v>51</v>
      </c>
      <c r="V62" s="87" t="s">
        <v>52</v>
      </c>
      <c r="W62" s="87" t="s">
        <v>53</v>
      </c>
      <c r="X62" s="87" t="s">
        <v>54</v>
      </c>
      <c r="Y62" s="87" t="s">
        <v>55</v>
      </c>
      <c r="Z62" s="87" t="s">
        <v>56</v>
      </c>
      <c r="AA62" s="87" t="s">
        <v>57</v>
      </c>
      <c r="AB62" s="87" t="s">
        <v>58</v>
      </c>
      <c r="AC62" s="87" t="s">
        <v>59</v>
      </c>
      <c r="AD62" s="87" t="s">
        <v>60</v>
      </c>
      <c r="AE62" s="87" t="s">
        <v>61</v>
      </c>
    </row>
    <row r="63" spans="1:31">
      <c r="A63" s="23"/>
      <c r="D63" s="278"/>
      <c r="E63" s="278"/>
      <c r="F63" s="278"/>
      <c r="G63" s="278"/>
      <c r="H63" s="278"/>
      <c r="I63" s="278"/>
      <c r="R63" s="68" t="s">
        <v>215</v>
      </c>
      <c r="T63" s="278"/>
      <c r="U63" s="278"/>
      <c r="V63" s="278"/>
      <c r="W63" s="278"/>
      <c r="X63" s="278"/>
      <c r="Y63" s="278"/>
    </row>
    <row r="64" spans="1:31" hidden="1">
      <c r="A64" s="23"/>
      <c r="B64" s="9" t="s">
        <v>131</v>
      </c>
      <c r="D64" s="278">
        <v>0.1</v>
      </c>
      <c r="E64" s="278">
        <v>0</v>
      </c>
      <c r="F64" s="278">
        <v>0</v>
      </c>
      <c r="G64" s="278">
        <v>0</v>
      </c>
      <c r="H64" s="278">
        <v>0</v>
      </c>
      <c r="I64" s="278">
        <v>0</v>
      </c>
      <c r="J64" s="278">
        <v>0</v>
      </c>
      <c r="K64" s="278">
        <v>0</v>
      </c>
      <c r="L64" s="278">
        <v>0</v>
      </c>
      <c r="M64" s="278">
        <v>0</v>
      </c>
      <c r="N64" s="278">
        <v>0</v>
      </c>
      <c r="O64" s="278">
        <v>0</v>
      </c>
      <c r="R64" s="9" t="s">
        <v>131</v>
      </c>
      <c r="T64" s="278">
        <v>0.1</v>
      </c>
      <c r="U64" s="278">
        <v>0</v>
      </c>
      <c r="V64" s="278">
        <v>0</v>
      </c>
      <c r="W64" s="278">
        <v>0</v>
      </c>
      <c r="X64" s="278">
        <v>0</v>
      </c>
      <c r="Y64" s="278">
        <v>0</v>
      </c>
      <c r="Z64" s="278">
        <v>0</v>
      </c>
      <c r="AA64" s="278">
        <v>0</v>
      </c>
      <c r="AB64" s="278">
        <v>0</v>
      </c>
      <c r="AC64" s="278">
        <v>0</v>
      </c>
      <c r="AD64" s="278">
        <v>0</v>
      </c>
      <c r="AE64" s="278">
        <v>0</v>
      </c>
    </row>
    <row r="65" spans="1:31">
      <c r="A65" s="23"/>
      <c r="B65" s="9" t="s">
        <v>214</v>
      </c>
      <c r="D65" s="278">
        <f>1+D64</f>
        <v>1.1000000000000001</v>
      </c>
      <c r="E65" s="278">
        <f>D65+E64</f>
        <v>1.1000000000000001</v>
      </c>
      <c r="F65" s="278">
        <f t="shared" ref="F65:O65" si="3">E65+F64</f>
        <v>1.1000000000000001</v>
      </c>
      <c r="G65" s="278">
        <f t="shared" si="3"/>
        <v>1.1000000000000001</v>
      </c>
      <c r="H65" s="278">
        <f t="shared" si="3"/>
        <v>1.1000000000000001</v>
      </c>
      <c r="I65" s="278">
        <f t="shared" si="3"/>
        <v>1.1000000000000001</v>
      </c>
      <c r="J65" s="278">
        <f t="shared" si="3"/>
        <v>1.1000000000000001</v>
      </c>
      <c r="K65" s="278">
        <f t="shared" si="3"/>
        <v>1.1000000000000001</v>
      </c>
      <c r="L65" s="278">
        <f t="shared" si="3"/>
        <v>1.1000000000000001</v>
      </c>
      <c r="M65" s="278">
        <f t="shared" si="3"/>
        <v>1.1000000000000001</v>
      </c>
      <c r="N65" s="278">
        <f t="shared" si="3"/>
        <v>1.1000000000000001</v>
      </c>
      <c r="O65" s="278">
        <f t="shared" si="3"/>
        <v>1.1000000000000001</v>
      </c>
      <c r="R65" s="9" t="s">
        <v>214</v>
      </c>
      <c r="T65" s="278">
        <f>1+T64</f>
        <v>1.1000000000000001</v>
      </c>
      <c r="U65" s="278">
        <f t="shared" ref="U65:AE65" si="4">T65+U64</f>
        <v>1.1000000000000001</v>
      </c>
      <c r="V65" s="278">
        <f t="shared" si="4"/>
        <v>1.1000000000000001</v>
      </c>
      <c r="W65" s="278">
        <f t="shared" si="4"/>
        <v>1.1000000000000001</v>
      </c>
      <c r="X65" s="278">
        <f t="shared" si="4"/>
        <v>1.1000000000000001</v>
      </c>
      <c r="Y65" s="278">
        <f t="shared" si="4"/>
        <v>1.1000000000000001</v>
      </c>
      <c r="Z65" s="278">
        <f t="shared" si="4"/>
        <v>1.1000000000000001</v>
      </c>
      <c r="AA65" s="278">
        <f t="shared" si="4"/>
        <v>1.1000000000000001</v>
      </c>
      <c r="AB65" s="278">
        <f t="shared" si="4"/>
        <v>1.1000000000000001</v>
      </c>
      <c r="AC65" s="278">
        <f t="shared" si="4"/>
        <v>1.1000000000000001</v>
      </c>
      <c r="AD65" s="278">
        <f t="shared" si="4"/>
        <v>1.1000000000000001</v>
      </c>
      <c r="AE65" s="278">
        <f t="shared" si="4"/>
        <v>1.1000000000000001</v>
      </c>
    </row>
    <row r="66" spans="1:31" ht="12.6" customHeight="1">
      <c r="A66" s="23"/>
      <c r="B66" s="68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R66" s="68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</row>
    <row r="67" spans="1:31">
      <c r="A67" s="23"/>
      <c r="B67" s="9" t="s">
        <v>213</v>
      </c>
      <c r="D67" s="17">
        <f>$D$52*D65</f>
        <v>243441.91300000006</v>
      </c>
      <c r="E67" s="17">
        <f t="shared" ref="E67:O67" si="5">$D$52*E65</f>
        <v>243441.91300000006</v>
      </c>
      <c r="F67" s="17">
        <f t="shared" si="5"/>
        <v>243441.91300000006</v>
      </c>
      <c r="G67" s="17">
        <f t="shared" si="5"/>
        <v>243441.91300000006</v>
      </c>
      <c r="H67" s="17">
        <f t="shared" si="5"/>
        <v>243441.91300000006</v>
      </c>
      <c r="I67" s="17">
        <f t="shared" si="5"/>
        <v>243441.91300000006</v>
      </c>
      <c r="J67" s="17">
        <f t="shared" si="5"/>
        <v>243441.91300000006</v>
      </c>
      <c r="K67" s="17">
        <f t="shared" si="5"/>
        <v>243441.91300000006</v>
      </c>
      <c r="L67" s="17">
        <f t="shared" si="5"/>
        <v>243441.91300000006</v>
      </c>
      <c r="M67" s="17">
        <f t="shared" si="5"/>
        <v>243441.91300000006</v>
      </c>
      <c r="N67" s="17">
        <f t="shared" si="5"/>
        <v>243441.91300000006</v>
      </c>
      <c r="O67" s="17">
        <f t="shared" si="5"/>
        <v>243441.91300000006</v>
      </c>
      <c r="P67" s="17">
        <f>SUM(D67:O67)</f>
        <v>2921302.9560000016</v>
      </c>
      <c r="R67" s="9" t="s">
        <v>213</v>
      </c>
      <c r="T67" s="17">
        <f>O67*T65</f>
        <v>267786.10430000006</v>
      </c>
      <c r="U67" s="17">
        <f>T67</f>
        <v>267786.10430000006</v>
      </c>
      <c r="V67" s="17">
        <f t="shared" ref="V67:AE67" si="6">U67</f>
        <v>267786.10430000006</v>
      </c>
      <c r="W67" s="17">
        <f t="shared" si="6"/>
        <v>267786.10430000006</v>
      </c>
      <c r="X67" s="17">
        <f t="shared" si="6"/>
        <v>267786.10430000006</v>
      </c>
      <c r="Y67" s="17">
        <f t="shared" si="6"/>
        <v>267786.10430000006</v>
      </c>
      <c r="Z67" s="17">
        <f t="shared" si="6"/>
        <v>267786.10430000006</v>
      </c>
      <c r="AA67" s="17">
        <f t="shared" si="6"/>
        <v>267786.10430000006</v>
      </c>
      <c r="AB67" s="17">
        <f t="shared" si="6"/>
        <v>267786.10430000006</v>
      </c>
      <c r="AC67" s="17">
        <f t="shared" si="6"/>
        <v>267786.10430000006</v>
      </c>
      <c r="AD67" s="17">
        <f t="shared" si="6"/>
        <v>267786.10430000006</v>
      </c>
      <c r="AE67" s="17">
        <f t="shared" si="6"/>
        <v>267786.10430000006</v>
      </c>
    </row>
    <row r="68" spans="1:31">
      <c r="A68" s="23"/>
      <c r="B68" s="9" t="s">
        <v>216</v>
      </c>
      <c r="D68" s="17">
        <f>$E$52*D65</f>
        <v>43819.544340000008</v>
      </c>
      <c r="E68" s="17">
        <f t="shared" ref="E68:O68" si="7">$E$52*E65</f>
        <v>43819.544340000008</v>
      </c>
      <c r="F68" s="17">
        <f t="shared" si="7"/>
        <v>43819.544340000008</v>
      </c>
      <c r="G68" s="17">
        <f t="shared" si="7"/>
        <v>43819.544340000008</v>
      </c>
      <c r="H68" s="17">
        <f t="shared" si="7"/>
        <v>43819.544340000008</v>
      </c>
      <c r="I68" s="17">
        <f t="shared" si="7"/>
        <v>43819.544340000008</v>
      </c>
      <c r="J68" s="17">
        <f t="shared" si="7"/>
        <v>43819.544340000008</v>
      </c>
      <c r="K68" s="17">
        <f t="shared" si="7"/>
        <v>43819.544340000008</v>
      </c>
      <c r="L68" s="17">
        <f t="shared" si="7"/>
        <v>43819.544340000008</v>
      </c>
      <c r="M68" s="17">
        <f t="shared" si="7"/>
        <v>43819.544340000008</v>
      </c>
      <c r="N68" s="17">
        <f t="shared" si="7"/>
        <v>43819.544340000008</v>
      </c>
      <c r="O68" s="17">
        <f t="shared" si="7"/>
        <v>43819.544340000008</v>
      </c>
      <c r="P68" s="17">
        <f t="shared" ref="P68:P90" si="8">SUM(D68:O68)</f>
        <v>525834.53208000015</v>
      </c>
      <c r="R68" s="9" t="s">
        <v>216</v>
      </c>
      <c r="T68" s="17">
        <f>O68*T65</f>
        <v>48201.498774000014</v>
      </c>
      <c r="U68" s="17">
        <f>T68</f>
        <v>48201.498774000014</v>
      </c>
      <c r="V68" s="17">
        <f t="shared" ref="V68:AE68" si="9">U68</f>
        <v>48201.498774000014</v>
      </c>
      <c r="W68" s="17">
        <f t="shared" si="9"/>
        <v>48201.498774000014</v>
      </c>
      <c r="X68" s="17">
        <f t="shared" si="9"/>
        <v>48201.498774000014</v>
      </c>
      <c r="Y68" s="17">
        <f t="shared" si="9"/>
        <v>48201.498774000014</v>
      </c>
      <c r="Z68" s="17">
        <f t="shared" si="9"/>
        <v>48201.498774000014</v>
      </c>
      <c r="AA68" s="17">
        <f t="shared" si="9"/>
        <v>48201.498774000014</v>
      </c>
      <c r="AB68" s="17">
        <f t="shared" si="9"/>
        <v>48201.498774000014</v>
      </c>
      <c r="AC68" s="17">
        <f t="shared" si="9"/>
        <v>48201.498774000014</v>
      </c>
      <c r="AD68" s="17">
        <f t="shared" si="9"/>
        <v>48201.498774000014</v>
      </c>
      <c r="AE68" s="17">
        <f t="shared" si="9"/>
        <v>48201.498774000014</v>
      </c>
    </row>
    <row r="69" spans="1:31">
      <c r="A69" s="23"/>
      <c r="B69" s="9" t="s">
        <v>218</v>
      </c>
      <c r="D69" s="17">
        <f>SUM(D67:D68)/12</f>
        <v>23938.45477833334</v>
      </c>
      <c r="E69" s="17">
        <f t="shared" ref="E69:O69" si="10">SUM(E67:E68)/12</f>
        <v>23938.45477833334</v>
      </c>
      <c r="F69" s="17">
        <f t="shared" si="10"/>
        <v>23938.45477833334</v>
      </c>
      <c r="G69" s="17">
        <f t="shared" si="10"/>
        <v>23938.45477833334</v>
      </c>
      <c r="H69" s="17">
        <f t="shared" si="10"/>
        <v>23938.45477833334</v>
      </c>
      <c r="I69" s="17">
        <f t="shared" si="10"/>
        <v>23938.45477833334</v>
      </c>
      <c r="J69" s="17">
        <f t="shared" si="10"/>
        <v>23938.45477833334</v>
      </c>
      <c r="K69" s="17">
        <f t="shared" si="10"/>
        <v>23938.45477833334</v>
      </c>
      <c r="L69" s="17">
        <f t="shared" si="10"/>
        <v>23938.45477833334</v>
      </c>
      <c r="M69" s="17">
        <f t="shared" si="10"/>
        <v>23938.45477833334</v>
      </c>
      <c r="N69" s="17">
        <f t="shared" si="10"/>
        <v>23938.45477833334</v>
      </c>
      <c r="O69" s="17">
        <f t="shared" si="10"/>
        <v>23938.45477833334</v>
      </c>
      <c r="P69" s="17">
        <f t="shared" si="8"/>
        <v>287261.45734000008</v>
      </c>
      <c r="R69" s="9" t="s">
        <v>218</v>
      </c>
      <c r="T69" s="17">
        <f>SUM(T67:T68)/12</f>
        <v>26332.300256166676</v>
      </c>
      <c r="U69" s="17">
        <f t="shared" ref="U69:AE69" si="11">SUM(U67:U68)/12</f>
        <v>26332.300256166676</v>
      </c>
      <c r="V69" s="17">
        <f t="shared" si="11"/>
        <v>26332.300256166676</v>
      </c>
      <c r="W69" s="17">
        <f t="shared" si="11"/>
        <v>26332.300256166676</v>
      </c>
      <c r="X69" s="17">
        <f t="shared" si="11"/>
        <v>26332.300256166676</v>
      </c>
      <c r="Y69" s="17">
        <f t="shared" si="11"/>
        <v>26332.300256166676</v>
      </c>
      <c r="Z69" s="17">
        <f t="shared" si="11"/>
        <v>26332.300256166676</v>
      </c>
      <c r="AA69" s="17">
        <f t="shared" si="11"/>
        <v>26332.300256166676</v>
      </c>
      <c r="AB69" s="17">
        <f t="shared" si="11"/>
        <v>26332.300256166676</v>
      </c>
      <c r="AC69" s="17">
        <f t="shared" si="11"/>
        <v>26332.300256166676</v>
      </c>
      <c r="AD69" s="17">
        <f t="shared" si="11"/>
        <v>26332.300256166676</v>
      </c>
      <c r="AE69" s="17">
        <f t="shared" si="11"/>
        <v>26332.300256166676</v>
      </c>
    </row>
    <row r="70" spans="1:31" hidden="1">
      <c r="A70" s="23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idden="1">
      <c r="A71" s="23"/>
      <c r="D71" s="17"/>
      <c r="E71" s="17"/>
      <c r="F71" s="282"/>
      <c r="G71" s="17"/>
      <c r="H71" s="17"/>
      <c r="I71" s="17"/>
      <c r="J71" s="17"/>
      <c r="K71" s="17"/>
      <c r="L71" s="17"/>
      <c r="M71" s="17"/>
      <c r="N71" s="17"/>
      <c r="O71" s="17"/>
      <c r="P71" s="17"/>
      <c r="T71" s="17"/>
      <c r="U71" s="17"/>
      <c r="V71" s="282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idden="1">
      <c r="A72" s="23"/>
      <c r="B72" s="9" t="s">
        <v>131</v>
      </c>
      <c r="D72" s="278">
        <v>0</v>
      </c>
      <c r="E72" s="278">
        <f>D72</f>
        <v>0</v>
      </c>
      <c r="F72" s="278">
        <v>0</v>
      </c>
      <c r="G72" s="278">
        <v>0</v>
      </c>
      <c r="H72" s="278">
        <v>0</v>
      </c>
      <c r="I72" s="278">
        <v>0</v>
      </c>
      <c r="J72" s="278">
        <v>0</v>
      </c>
      <c r="K72" s="278">
        <v>0</v>
      </c>
      <c r="L72" s="278">
        <v>0</v>
      </c>
      <c r="M72" s="278">
        <v>0</v>
      </c>
      <c r="N72" s="278">
        <v>0</v>
      </c>
      <c r="O72" s="278">
        <v>0</v>
      </c>
      <c r="P72" s="17"/>
      <c r="R72" s="9" t="s">
        <v>131</v>
      </c>
      <c r="T72" s="278">
        <v>0</v>
      </c>
      <c r="U72" s="278">
        <v>0</v>
      </c>
      <c r="V72" s="278">
        <v>0</v>
      </c>
      <c r="W72" s="278">
        <v>0</v>
      </c>
      <c r="X72" s="278">
        <v>0</v>
      </c>
      <c r="Y72" s="278">
        <v>0</v>
      </c>
      <c r="Z72" s="278">
        <v>0</v>
      </c>
      <c r="AA72" s="278">
        <v>0</v>
      </c>
      <c r="AB72" s="278">
        <v>0</v>
      </c>
      <c r="AC72" s="278">
        <v>0</v>
      </c>
      <c r="AD72" s="278">
        <v>0</v>
      </c>
      <c r="AE72" s="278">
        <v>0</v>
      </c>
    </row>
    <row r="73" spans="1:31" hidden="1">
      <c r="A73" s="23"/>
      <c r="B73" s="9" t="s">
        <v>214</v>
      </c>
      <c r="D73" s="283">
        <v>1.1000000000000001</v>
      </c>
      <c r="E73" s="283">
        <f t="shared" ref="E73:O73" si="12">D73+E72</f>
        <v>1.1000000000000001</v>
      </c>
      <c r="F73" s="283">
        <f t="shared" si="12"/>
        <v>1.1000000000000001</v>
      </c>
      <c r="G73" s="283">
        <f t="shared" si="12"/>
        <v>1.1000000000000001</v>
      </c>
      <c r="H73" s="283">
        <f t="shared" si="12"/>
        <v>1.1000000000000001</v>
      </c>
      <c r="I73" s="283">
        <f t="shared" si="12"/>
        <v>1.1000000000000001</v>
      </c>
      <c r="J73" s="283">
        <f t="shared" si="12"/>
        <v>1.1000000000000001</v>
      </c>
      <c r="K73" s="283">
        <f t="shared" si="12"/>
        <v>1.1000000000000001</v>
      </c>
      <c r="L73" s="283">
        <f t="shared" si="12"/>
        <v>1.1000000000000001</v>
      </c>
      <c r="M73" s="283">
        <f t="shared" si="12"/>
        <v>1.1000000000000001</v>
      </c>
      <c r="N73" s="283">
        <f t="shared" si="12"/>
        <v>1.1000000000000001</v>
      </c>
      <c r="O73" s="283">
        <f t="shared" si="12"/>
        <v>1.1000000000000001</v>
      </c>
      <c r="P73" s="17"/>
      <c r="R73" s="9" t="s">
        <v>214</v>
      </c>
      <c r="T73" s="278">
        <v>1.1000000000000001</v>
      </c>
      <c r="U73" s="278">
        <f t="shared" ref="U73:AE73" si="13">T73+U72</f>
        <v>1.1000000000000001</v>
      </c>
      <c r="V73" s="278">
        <f t="shared" si="13"/>
        <v>1.1000000000000001</v>
      </c>
      <c r="W73" s="278">
        <f t="shared" si="13"/>
        <v>1.1000000000000001</v>
      </c>
      <c r="X73" s="278">
        <f t="shared" si="13"/>
        <v>1.1000000000000001</v>
      </c>
      <c r="Y73" s="278">
        <f t="shared" si="13"/>
        <v>1.1000000000000001</v>
      </c>
      <c r="Z73" s="278">
        <f t="shared" si="13"/>
        <v>1.1000000000000001</v>
      </c>
      <c r="AA73" s="278">
        <f t="shared" si="13"/>
        <v>1.1000000000000001</v>
      </c>
      <c r="AB73" s="278">
        <f t="shared" si="13"/>
        <v>1.1000000000000001</v>
      </c>
      <c r="AC73" s="278">
        <f t="shared" si="13"/>
        <v>1.1000000000000001</v>
      </c>
      <c r="AD73" s="278">
        <f t="shared" si="13"/>
        <v>1.1000000000000001</v>
      </c>
      <c r="AE73" s="278">
        <f t="shared" si="13"/>
        <v>1.1000000000000001</v>
      </c>
    </row>
    <row r="74" spans="1:31" hidden="1">
      <c r="B74" s="17" t="s">
        <v>225</v>
      </c>
      <c r="C74" s="17"/>
      <c r="D74" s="17">
        <f>D60*employees!D73</f>
        <v>15711.025000000001</v>
      </c>
      <c r="E74" s="17">
        <f>D74</f>
        <v>15711.025000000001</v>
      </c>
      <c r="F74" s="17">
        <f t="shared" ref="F74:O74" si="14">E74</f>
        <v>15711.025000000001</v>
      </c>
      <c r="G74" s="17">
        <f t="shared" si="14"/>
        <v>15711.025000000001</v>
      </c>
      <c r="H74" s="17">
        <f t="shared" si="14"/>
        <v>15711.025000000001</v>
      </c>
      <c r="I74" s="17">
        <f t="shared" si="14"/>
        <v>15711.025000000001</v>
      </c>
      <c r="J74" s="17">
        <f t="shared" si="14"/>
        <v>15711.025000000001</v>
      </c>
      <c r="K74" s="17">
        <f t="shared" si="14"/>
        <v>15711.025000000001</v>
      </c>
      <c r="L74" s="17">
        <f t="shared" si="14"/>
        <v>15711.025000000001</v>
      </c>
      <c r="M74" s="17">
        <f t="shared" si="14"/>
        <v>15711.025000000001</v>
      </c>
      <c r="N74" s="17">
        <f t="shared" si="14"/>
        <v>15711.025000000001</v>
      </c>
      <c r="O74" s="17">
        <f t="shared" si="14"/>
        <v>15711.025000000001</v>
      </c>
      <c r="P74" s="17">
        <f t="shared" si="8"/>
        <v>188532.29999999996</v>
      </c>
      <c r="R74" s="17" t="s">
        <v>225</v>
      </c>
      <c r="S74" s="17"/>
      <c r="T74" s="17">
        <f>O74*T73</f>
        <v>17282.127500000002</v>
      </c>
      <c r="U74" s="17">
        <f>T74</f>
        <v>17282.127500000002</v>
      </c>
      <c r="V74" s="17">
        <f t="shared" ref="V74:AE74" si="15">U74</f>
        <v>17282.127500000002</v>
      </c>
      <c r="W74" s="17">
        <f t="shared" si="15"/>
        <v>17282.127500000002</v>
      </c>
      <c r="X74" s="17">
        <f t="shared" si="15"/>
        <v>17282.127500000002</v>
      </c>
      <c r="Y74" s="17">
        <f t="shared" si="15"/>
        <v>17282.127500000002</v>
      </c>
      <c r="Z74" s="17">
        <f t="shared" si="15"/>
        <v>17282.127500000002</v>
      </c>
      <c r="AA74" s="17">
        <f t="shared" si="15"/>
        <v>17282.127500000002</v>
      </c>
      <c r="AB74" s="17">
        <f t="shared" si="15"/>
        <v>17282.127500000002</v>
      </c>
      <c r="AC74" s="17">
        <f t="shared" si="15"/>
        <v>17282.127500000002</v>
      </c>
      <c r="AD74" s="17">
        <f t="shared" si="15"/>
        <v>17282.127500000002</v>
      </c>
      <c r="AE74" s="17">
        <f t="shared" si="15"/>
        <v>17282.127500000002</v>
      </c>
    </row>
    <row r="75" spans="1:31">
      <c r="B75" s="17" t="s">
        <v>48</v>
      </c>
      <c r="C75" s="17"/>
      <c r="D75" s="17">
        <f>D74*Factors!C11</f>
        <v>67611.082017369001</v>
      </c>
      <c r="E75" s="17">
        <f>E74*Factors!D11</f>
        <v>67705.605199738013</v>
      </c>
      <c r="F75" s="17">
        <f>F74*Factors!E11</f>
        <v>67800.12838210701</v>
      </c>
      <c r="G75" s="17">
        <f>G74*Factors!F11</f>
        <v>67894.651564476022</v>
      </c>
      <c r="H75" s="17">
        <f>H74*Factors!G11</f>
        <v>67989.174746845019</v>
      </c>
      <c r="I75" s="17">
        <f>I74*Factors!H11</f>
        <v>68083.697929214031</v>
      </c>
      <c r="J75" s="17">
        <f>J74*Factors!I11</f>
        <v>68178.221111583029</v>
      </c>
      <c r="K75" s="17">
        <f>K74*Factors!J11</f>
        <v>68272.744293952041</v>
      </c>
      <c r="L75" s="17">
        <f>L74*Factors!K11</f>
        <v>68367.267476321038</v>
      </c>
      <c r="M75" s="17">
        <f>M74*Factors!L11</f>
        <v>68461.79065869005</v>
      </c>
      <c r="N75" s="17">
        <f>N74*Factors!M11</f>
        <v>68556.313841059047</v>
      </c>
      <c r="O75" s="17">
        <f>O74*Factors!N11</f>
        <v>68650.837023428059</v>
      </c>
      <c r="P75" s="17">
        <f t="shared" si="8"/>
        <v>817571.51424478239</v>
      </c>
      <c r="R75" s="17" t="s">
        <v>226</v>
      </c>
      <c r="S75" s="17"/>
      <c r="T75" s="17">
        <v>0</v>
      </c>
      <c r="U75" s="17">
        <f>T75</f>
        <v>0</v>
      </c>
      <c r="V75" s="17">
        <f t="shared" ref="V75:AE75" si="16">U75</f>
        <v>0</v>
      </c>
      <c r="W75" s="17">
        <f t="shared" si="16"/>
        <v>0</v>
      </c>
      <c r="X75" s="17">
        <f t="shared" si="16"/>
        <v>0</v>
      </c>
      <c r="Y75" s="17">
        <f t="shared" si="16"/>
        <v>0</v>
      </c>
      <c r="Z75" s="17">
        <f t="shared" si="16"/>
        <v>0</v>
      </c>
      <c r="AA75" s="17">
        <f t="shared" si="16"/>
        <v>0</v>
      </c>
      <c r="AB75" s="17">
        <f t="shared" si="16"/>
        <v>0</v>
      </c>
      <c r="AC75" s="17">
        <f t="shared" si="16"/>
        <v>0</v>
      </c>
      <c r="AD75" s="17">
        <f t="shared" si="16"/>
        <v>0</v>
      </c>
      <c r="AE75" s="17">
        <f t="shared" si="16"/>
        <v>0</v>
      </c>
    </row>
    <row r="76" spans="1:31" hidden="1"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idden="1"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>
      <c r="B78" s="77" t="s">
        <v>1180</v>
      </c>
      <c r="C78" s="17">
        <v>12</v>
      </c>
      <c r="D78" s="17">
        <f>((D60*Factors!F11)+employees!D52-employees!D50-employees!D49-employees!D48)*12*C78/100</f>
        <v>371189.98153895052</v>
      </c>
      <c r="E78" s="17"/>
      <c r="F78" s="17"/>
      <c r="H78" s="17"/>
      <c r="I78" s="17"/>
      <c r="J78" s="17"/>
      <c r="K78" s="17"/>
      <c r="L78" s="17"/>
      <c r="M78" s="17"/>
      <c r="N78" s="17"/>
      <c r="O78" s="17"/>
      <c r="P78" s="17">
        <f t="shared" si="8"/>
        <v>371189.98153895052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idden="1">
      <c r="B79" s="68" t="s">
        <v>216</v>
      </c>
      <c r="D79" s="17">
        <f>D78*21/121</f>
        <v>64421.401754693892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>
        <f t="shared" si="8"/>
        <v>64421.401754693892</v>
      </c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30.6" customHeight="1">
      <c r="B80" s="6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93" ht="13.5" thickBot="1">
      <c r="B81" s="208" t="s">
        <v>97</v>
      </c>
      <c r="C81" s="392"/>
      <c r="D81" s="209">
        <f>D67+D68+D69+D75+D78</f>
        <v>750000.97567465296</v>
      </c>
      <c r="E81" s="209">
        <f t="shared" ref="E81:P81" si="17">E67+E68+E69+E75+E78</f>
        <v>378905.51731807139</v>
      </c>
      <c r="F81" s="209">
        <f t="shared" si="17"/>
        <v>379000.0405004404</v>
      </c>
      <c r="G81" s="209">
        <f t="shared" si="17"/>
        <v>379094.56368280941</v>
      </c>
      <c r="H81" s="209">
        <f t="shared" si="17"/>
        <v>379189.08686517843</v>
      </c>
      <c r="I81" s="209">
        <f t="shared" si="17"/>
        <v>379283.61004754744</v>
      </c>
      <c r="J81" s="209">
        <f t="shared" si="17"/>
        <v>379378.13322991645</v>
      </c>
      <c r="K81" s="209">
        <f t="shared" si="17"/>
        <v>379472.6564122854</v>
      </c>
      <c r="L81" s="209">
        <f t="shared" si="17"/>
        <v>379567.17959465442</v>
      </c>
      <c r="M81" s="209">
        <f t="shared" si="17"/>
        <v>379661.70277702343</v>
      </c>
      <c r="N81" s="209">
        <f t="shared" si="17"/>
        <v>379756.22595939244</v>
      </c>
      <c r="O81" s="209">
        <f t="shared" si="17"/>
        <v>379850.74914176145</v>
      </c>
      <c r="P81" s="209">
        <f t="shared" si="17"/>
        <v>4923160.4412037348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93" ht="13.5" thickTop="1"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93"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93">
      <c r="B84" s="60" t="s">
        <v>24</v>
      </c>
      <c r="C84" s="17"/>
      <c r="D84" s="87" t="s">
        <v>50</v>
      </c>
      <c r="E84" s="87" t="s">
        <v>51</v>
      </c>
      <c r="F84" s="87" t="s">
        <v>52</v>
      </c>
      <c r="G84" s="87" t="s">
        <v>53</v>
      </c>
      <c r="H84" s="87" t="s">
        <v>54</v>
      </c>
      <c r="I84" s="87" t="s">
        <v>55</v>
      </c>
      <c r="J84" s="87" t="s">
        <v>56</v>
      </c>
      <c r="K84" s="87" t="s">
        <v>57</v>
      </c>
      <c r="L84" s="87" t="s">
        <v>58</v>
      </c>
      <c r="M84" s="87" t="s">
        <v>59</v>
      </c>
      <c r="N84" s="87" t="s">
        <v>60</v>
      </c>
      <c r="O84" s="87" t="s">
        <v>61</v>
      </c>
      <c r="P84" s="88" t="str">
        <f>P62</f>
        <v>Total</v>
      </c>
      <c r="R84" s="17"/>
      <c r="S84" s="17"/>
      <c r="T84" s="87" t="s">
        <v>50</v>
      </c>
      <c r="U84" s="87" t="s">
        <v>51</v>
      </c>
      <c r="V84" s="87" t="s">
        <v>52</v>
      </c>
      <c r="W84" s="87" t="s">
        <v>53</v>
      </c>
      <c r="X84" s="87" t="s">
        <v>54</v>
      </c>
      <c r="Y84" s="87" t="s">
        <v>55</v>
      </c>
      <c r="Z84" s="87" t="s">
        <v>56</v>
      </c>
      <c r="AA84" s="87" t="s">
        <v>57</v>
      </c>
      <c r="AB84" s="87" t="s">
        <v>58</v>
      </c>
      <c r="AC84" s="87" t="s">
        <v>59</v>
      </c>
      <c r="AD84" s="87" t="s">
        <v>60</v>
      </c>
      <c r="AE84" s="87" t="s">
        <v>61</v>
      </c>
    </row>
    <row r="85" spans="1:93">
      <c r="A85" s="74" t="s">
        <v>399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R85" s="60" t="s">
        <v>513</v>
      </c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93">
      <c r="A86" s="66" t="s">
        <v>400</v>
      </c>
      <c r="B86" s="59" t="s">
        <v>647</v>
      </c>
      <c r="C86" s="17"/>
      <c r="D86" s="17">
        <v>6300</v>
      </c>
      <c r="E86" s="17">
        <f>D86</f>
        <v>6300</v>
      </c>
      <c r="F86" s="17">
        <f t="shared" ref="F86:O89" si="18">E86</f>
        <v>6300</v>
      </c>
      <c r="G86" s="17">
        <f t="shared" si="18"/>
        <v>6300</v>
      </c>
      <c r="H86" s="17">
        <f t="shared" si="18"/>
        <v>6300</v>
      </c>
      <c r="I86" s="17">
        <f t="shared" si="18"/>
        <v>6300</v>
      </c>
      <c r="J86" s="17">
        <f t="shared" si="18"/>
        <v>6300</v>
      </c>
      <c r="K86" s="17">
        <f t="shared" si="18"/>
        <v>6300</v>
      </c>
      <c r="L86" s="17">
        <f t="shared" si="18"/>
        <v>6300</v>
      </c>
      <c r="M86" s="17">
        <f t="shared" si="18"/>
        <v>6300</v>
      </c>
      <c r="N86" s="17">
        <f t="shared" si="18"/>
        <v>6300</v>
      </c>
      <c r="O86" s="17">
        <f t="shared" si="18"/>
        <v>6300</v>
      </c>
      <c r="P86" s="17">
        <f t="shared" si="8"/>
        <v>75600</v>
      </c>
      <c r="Q86" s="17"/>
      <c r="R86" s="59" t="s">
        <v>401</v>
      </c>
      <c r="S86" s="17"/>
      <c r="T86" s="17">
        <v>6300</v>
      </c>
      <c r="U86" s="17">
        <f>T86</f>
        <v>6300</v>
      </c>
      <c r="V86" s="17">
        <f t="shared" ref="V86:AE86" si="19">U86</f>
        <v>6300</v>
      </c>
      <c r="W86" s="17">
        <f t="shared" si="19"/>
        <v>6300</v>
      </c>
      <c r="X86" s="17">
        <f t="shared" si="19"/>
        <v>6300</v>
      </c>
      <c r="Y86" s="17">
        <f t="shared" si="19"/>
        <v>6300</v>
      </c>
      <c r="Z86" s="17">
        <f t="shared" si="19"/>
        <v>6300</v>
      </c>
      <c r="AA86" s="17">
        <f t="shared" si="19"/>
        <v>6300</v>
      </c>
      <c r="AB86" s="17">
        <f t="shared" si="19"/>
        <v>6300</v>
      </c>
      <c r="AC86" s="17">
        <f t="shared" si="19"/>
        <v>6300</v>
      </c>
      <c r="AD86" s="17">
        <f t="shared" si="19"/>
        <v>6300</v>
      </c>
      <c r="AE86" s="17">
        <f t="shared" si="19"/>
        <v>6300</v>
      </c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</row>
    <row r="87" spans="1:93">
      <c r="A87" s="66" t="s">
        <v>402</v>
      </c>
      <c r="B87" s="59" t="s">
        <v>1227</v>
      </c>
      <c r="D87" s="17">
        <v>13500</v>
      </c>
      <c r="E87" s="17">
        <f>D87</f>
        <v>13500</v>
      </c>
      <c r="F87" s="17">
        <f t="shared" si="18"/>
        <v>13500</v>
      </c>
      <c r="G87" s="17">
        <f t="shared" si="18"/>
        <v>13500</v>
      </c>
      <c r="H87" s="17">
        <f t="shared" si="18"/>
        <v>13500</v>
      </c>
      <c r="I87" s="17">
        <f t="shared" si="18"/>
        <v>13500</v>
      </c>
      <c r="J87" s="17">
        <f t="shared" si="18"/>
        <v>13500</v>
      </c>
      <c r="K87" s="17">
        <f t="shared" si="18"/>
        <v>13500</v>
      </c>
      <c r="L87" s="17">
        <f t="shared" si="18"/>
        <v>13500</v>
      </c>
      <c r="M87" s="17">
        <f t="shared" si="18"/>
        <v>13500</v>
      </c>
      <c r="N87" s="17">
        <f t="shared" si="18"/>
        <v>13500</v>
      </c>
      <c r="O87" s="17">
        <f t="shared" si="18"/>
        <v>13500</v>
      </c>
      <c r="P87" s="17">
        <f t="shared" si="8"/>
        <v>162000</v>
      </c>
      <c r="Q87" s="17"/>
      <c r="R87" s="59" t="s">
        <v>403</v>
      </c>
      <c r="T87" s="17">
        <v>13140</v>
      </c>
      <c r="U87" s="17">
        <f>T87</f>
        <v>13140</v>
      </c>
      <c r="V87" s="17">
        <f t="shared" ref="V87:AE87" si="20">U87</f>
        <v>13140</v>
      </c>
      <c r="W87" s="17">
        <f t="shared" si="20"/>
        <v>13140</v>
      </c>
      <c r="X87" s="17">
        <f t="shared" si="20"/>
        <v>13140</v>
      </c>
      <c r="Y87" s="17">
        <f t="shared" si="20"/>
        <v>13140</v>
      </c>
      <c r="Z87" s="17">
        <f t="shared" si="20"/>
        <v>13140</v>
      </c>
      <c r="AA87" s="17">
        <f t="shared" si="20"/>
        <v>13140</v>
      </c>
      <c r="AB87" s="17">
        <f t="shared" si="20"/>
        <v>13140</v>
      </c>
      <c r="AC87" s="17">
        <f t="shared" si="20"/>
        <v>13140</v>
      </c>
      <c r="AD87" s="17">
        <f t="shared" si="20"/>
        <v>13140</v>
      </c>
      <c r="AE87" s="17">
        <f t="shared" si="20"/>
        <v>13140</v>
      </c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</row>
    <row r="88" spans="1:93">
      <c r="A88" s="66" t="s">
        <v>404</v>
      </c>
      <c r="B88" s="59" t="s">
        <v>1228</v>
      </c>
      <c r="C88" s="17"/>
      <c r="D88" s="17">
        <v>2500</v>
      </c>
      <c r="E88" s="17">
        <f>D88</f>
        <v>2500</v>
      </c>
      <c r="F88" s="17">
        <f t="shared" si="18"/>
        <v>2500</v>
      </c>
      <c r="G88" s="17">
        <f t="shared" si="18"/>
        <v>2500</v>
      </c>
      <c r="H88" s="17">
        <f t="shared" si="18"/>
        <v>2500</v>
      </c>
      <c r="I88" s="17">
        <f t="shared" si="18"/>
        <v>2500</v>
      </c>
      <c r="J88" s="17">
        <f t="shared" si="18"/>
        <v>2500</v>
      </c>
      <c r="K88" s="17">
        <f t="shared" si="18"/>
        <v>2500</v>
      </c>
      <c r="L88" s="17">
        <f t="shared" si="18"/>
        <v>2500</v>
      </c>
      <c r="M88" s="17">
        <f t="shared" si="18"/>
        <v>2500</v>
      </c>
      <c r="N88" s="17">
        <f t="shared" si="18"/>
        <v>2500</v>
      </c>
      <c r="O88" s="17">
        <f t="shared" si="18"/>
        <v>2500</v>
      </c>
      <c r="P88" s="17">
        <f t="shared" si="8"/>
        <v>30000</v>
      </c>
      <c r="Q88" s="17"/>
      <c r="R88" s="59" t="s">
        <v>405</v>
      </c>
      <c r="S88" s="17"/>
      <c r="T88" s="17">
        <v>1000</v>
      </c>
      <c r="U88" s="17">
        <f>T88</f>
        <v>1000</v>
      </c>
      <c r="V88" s="17">
        <f t="shared" ref="V88:AE88" si="21">U88</f>
        <v>1000</v>
      </c>
      <c r="W88" s="17">
        <f t="shared" si="21"/>
        <v>1000</v>
      </c>
      <c r="X88" s="17">
        <f t="shared" si="21"/>
        <v>1000</v>
      </c>
      <c r="Y88" s="17">
        <f t="shared" si="21"/>
        <v>1000</v>
      </c>
      <c r="Z88" s="17">
        <f t="shared" si="21"/>
        <v>1000</v>
      </c>
      <c r="AA88" s="17">
        <f t="shared" si="21"/>
        <v>1000</v>
      </c>
      <c r="AB88" s="17">
        <f t="shared" si="21"/>
        <v>1000</v>
      </c>
      <c r="AC88" s="17">
        <f t="shared" si="21"/>
        <v>1000</v>
      </c>
      <c r="AD88" s="17">
        <f t="shared" si="21"/>
        <v>1000</v>
      </c>
      <c r="AE88" s="17">
        <f t="shared" si="21"/>
        <v>1000</v>
      </c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</row>
    <row r="89" spans="1:93">
      <c r="A89" s="66" t="s">
        <v>406</v>
      </c>
      <c r="B89" s="59" t="s">
        <v>651</v>
      </c>
      <c r="C89" s="17"/>
      <c r="D89" s="17">
        <v>11000</v>
      </c>
      <c r="E89" s="17">
        <f>D89</f>
        <v>11000</v>
      </c>
      <c r="F89" s="17">
        <f t="shared" si="18"/>
        <v>11000</v>
      </c>
      <c r="G89" s="17">
        <f t="shared" si="18"/>
        <v>11000</v>
      </c>
      <c r="H89" s="17">
        <f t="shared" si="18"/>
        <v>11000</v>
      </c>
      <c r="I89" s="17">
        <f t="shared" si="18"/>
        <v>11000</v>
      </c>
      <c r="J89" s="17">
        <f t="shared" si="18"/>
        <v>11000</v>
      </c>
      <c r="K89" s="17">
        <f t="shared" si="18"/>
        <v>11000</v>
      </c>
      <c r="L89" s="17">
        <f t="shared" si="18"/>
        <v>11000</v>
      </c>
      <c r="M89" s="17">
        <f t="shared" si="18"/>
        <v>11000</v>
      </c>
      <c r="N89" s="17">
        <f t="shared" si="18"/>
        <v>11000</v>
      </c>
      <c r="O89" s="17">
        <f t="shared" si="18"/>
        <v>11000</v>
      </c>
      <c r="P89" s="17">
        <f t="shared" si="8"/>
        <v>132000</v>
      </c>
      <c r="Q89" s="17"/>
      <c r="R89" s="59" t="s">
        <v>407</v>
      </c>
      <c r="S89" s="17"/>
      <c r="T89" s="17">
        <v>5000</v>
      </c>
      <c r="U89" s="17">
        <f>T89</f>
        <v>5000</v>
      </c>
      <c r="V89" s="17">
        <f t="shared" ref="V89:AE89" si="22">U89</f>
        <v>5000</v>
      </c>
      <c r="W89" s="17">
        <f t="shared" si="22"/>
        <v>5000</v>
      </c>
      <c r="X89" s="17">
        <f t="shared" si="22"/>
        <v>5000</v>
      </c>
      <c r="Y89" s="17">
        <f t="shared" si="22"/>
        <v>5000</v>
      </c>
      <c r="Z89" s="17">
        <f t="shared" si="22"/>
        <v>5000</v>
      </c>
      <c r="AA89" s="17">
        <f t="shared" si="22"/>
        <v>5000</v>
      </c>
      <c r="AB89" s="17">
        <f t="shared" si="22"/>
        <v>5000</v>
      </c>
      <c r="AC89" s="17">
        <f t="shared" si="22"/>
        <v>5000</v>
      </c>
      <c r="AD89" s="17">
        <f t="shared" si="22"/>
        <v>5000</v>
      </c>
      <c r="AE89" s="17">
        <f t="shared" si="22"/>
        <v>5000</v>
      </c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</row>
    <row r="90" spans="1:93">
      <c r="A90" s="66" t="s">
        <v>408</v>
      </c>
      <c r="B90" s="59" t="s">
        <v>96</v>
      </c>
      <c r="D90" s="17">
        <v>1000</v>
      </c>
      <c r="E90" s="17">
        <f t="shared" ref="E90:O90" si="23">D90</f>
        <v>1000</v>
      </c>
      <c r="F90" s="17">
        <f t="shared" si="23"/>
        <v>1000</v>
      </c>
      <c r="G90" s="17">
        <f t="shared" si="23"/>
        <v>1000</v>
      </c>
      <c r="H90" s="17">
        <f t="shared" si="23"/>
        <v>1000</v>
      </c>
      <c r="I90" s="17">
        <f t="shared" si="23"/>
        <v>1000</v>
      </c>
      <c r="J90" s="17">
        <f t="shared" si="23"/>
        <v>1000</v>
      </c>
      <c r="K90" s="17">
        <f t="shared" si="23"/>
        <v>1000</v>
      </c>
      <c r="L90" s="17">
        <f t="shared" si="23"/>
        <v>1000</v>
      </c>
      <c r="M90" s="17">
        <f t="shared" si="23"/>
        <v>1000</v>
      </c>
      <c r="N90" s="17">
        <f t="shared" si="23"/>
        <v>1000</v>
      </c>
      <c r="O90" s="17">
        <f t="shared" si="23"/>
        <v>1000</v>
      </c>
      <c r="P90" s="17">
        <f t="shared" si="8"/>
        <v>12000</v>
      </c>
      <c r="Q90" s="17"/>
      <c r="R90" s="59" t="s">
        <v>409</v>
      </c>
      <c r="T90" s="17">
        <v>1000</v>
      </c>
      <c r="U90" s="17">
        <f t="shared" ref="U90:AE90" si="24">T90</f>
        <v>1000</v>
      </c>
      <c r="V90" s="17">
        <f t="shared" si="24"/>
        <v>1000</v>
      </c>
      <c r="W90" s="17">
        <f t="shared" si="24"/>
        <v>1000</v>
      </c>
      <c r="X90" s="17">
        <f t="shared" si="24"/>
        <v>1000</v>
      </c>
      <c r="Y90" s="17">
        <f t="shared" si="24"/>
        <v>1000</v>
      </c>
      <c r="Z90" s="17">
        <f t="shared" si="24"/>
        <v>1000</v>
      </c>
      <c r="AA90" s="17">
        <f t="shared" si="24"/>
        <v>1000</v>
      </c>
      <c r="AB90" s="17">
        <f t="shared" si="24"/>
        <v>1000</v>
      </c>
      <c r="AC90" s="17">
        <f t="shared" si="24"/>
        <v>1000</v>
      </c>
      <c r="AD90" s="17">
        <f t="shared" si="24"/>
        <v>1000</v>
      </c>
      <c r="AE90" s="17">
        <f t="shared" si="24"/>
        <v>1000</v>
      </c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</row>
    <row r="91" spans="1:93" ht="13.5" thickBot="1">
      <c r="B91" s="208" t="s">
        <v>97</v>
      </c>
      <c r="C91" s="392"/>
      <c r="D91" s="209">
        <f>SUM(D86:D90)</f>
        <v>34300</v>
      </c>
      <c r="E91" s="209">
        <f t="shared" ref="E91:P91" si="25">SUM(E86:E90)</f>
        <v>34300</v>
      </c>
      <c r="F91" s="209">
        <f t="shared" si="25"/>
        <v>34300</v>
      </c>
      <c r="G91" s="209">
        <f t="shared" si="25"/>
        <v>34300</v>
      </c>
      <c r="H91" s="209">
        <f t="shared" si="25"/>
        <v>34300</v>
      </c>
      <c r="I91" s="209">
        <f t="shared" si="25"/>
        <v>34300</v>
      </c>
      <c r="J91" s="209">
        <f t="shared" si="25"/>
        <v>34300</v>
      </c>
      <c r="K91" s="209">
        <f t="shared" si="25"/>
        <v>34300</v>
      </c>
      <c r="L91" s="209">
        <f t="shared" si="25"/>
        <v>34300</v>
      </c>
      <c r="M91" s="209">
        <f t="shared" si="25"/>
        <v>34300</v>
      </c>
      <c r="N91" s="209">
        <f t="shared" si="25"/>
        <v>34300</v>
      </c>
      <c r="O91" s="209">
        <f t="shared" si="25"/>
        <v>34300</v>
      </c>
      <c r="P91" s="209">
        <f t="shared" si="25"/>
        <v>411600</v>
      </c>
    </row>
    <row r="92" spans="1:93" ht="13.5" thickTop="1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93">
      <c r="B93" s="284"/>
      <c r="C93" s="87"/>
      <c r="D93" s="285"/>
      <c r="E93" s="285"/>
      <c r="F93" s="285"/>
      <c r="G93" s="285"/>
      <c r="H93" s="285"/>
      <c r="I93" s="285"/>
      <c r="J93" s="285"/>
      <c r="K93" s="285"/>
      <c r="L93" s="285"/>
      <c r="M93" s="285"/>
      <c r="N93" s="285"/>
      <c r="O93" s="285"/>
    </row>
    <row r="94" spans="1:93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93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93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2:1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2:15">
      <c r="B103" s="17"/>
      <c r="C103" s="17"/>
      <c r="D103" s="17"/>
      <c r="E103" s="286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2:15">
      <c r="B104" s="17"/>
      <c r="C104" s="17"/>
      <c r="D104" s="17"/>
      <c r="E104" s="286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2:1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2:1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2:1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2:1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2:1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2:1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2:1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2:1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2:14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2:14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2:14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2:14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2:14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spans="2:14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spans="2:14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2:14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spans="2:14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2:14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2:14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2:14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2:14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2:14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2:14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2:14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2:13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2:13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2:13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2:13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2:13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2:13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2:13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2:13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2:13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2:13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2:13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2:13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2:13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2:13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2:13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2:13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2:13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2:13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2:13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2:13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2:13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2:13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2:13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2:13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2:1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2:13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2:13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2:13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2:13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2:13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2:13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2:13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2:13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2:13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2:1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2:13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2:13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2:13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2:13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2:13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2:13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2:13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2:13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2:13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2:1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2:13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2:13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2:1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2:13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2:13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2:13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2:13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2:13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2:13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2:1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2:13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2:1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2:1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2:13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2:13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2:1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2:13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2:13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2:13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2:1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2:13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2:13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2:13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2:13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2:13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2:13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2:13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2:13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2:13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2:1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2:13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2:13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2:13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2:13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2:13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2:13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2:13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2:13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2:13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2:1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2:13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2:13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2:13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2:13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2:1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2:13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2:13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2:13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2:13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2:1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2:13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2:13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2:13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2:13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2:1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2:1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2:1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2:1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2:1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2:1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2:13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2:13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2:13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2:13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2:13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2:13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2:13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2:13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2:13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2:1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2:13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2:13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2:13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2:13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2:13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</sheetData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10"/>
  <sheetViews>
    <sheetView view="pageBreakPreview" topLeftCell="A2" zoomScale="75" zoomScaleNormal="75" workbookViewId="0">
      <selection activeCell="E34" sqref="E34"/>
    </sheetView>
  </sheetViews>
  <sheetFormatPr defaultColWidth="8.85546875" defaultRowHeight="12.75"/>
  <cols>
    <col min="1" max="1" width="20.42578125" style="9" customWidth="1"/>
    <col min="2" max="13" width="12.7109375" style="9" bestFit="1" customWidth="1"/>
    <col min="14" max="14" width="16.140625" style="9" customWidth="1"/>
    <col min="15" max="16384" width="8.85546875" style="9"/>
  </cols>
  <sheetData>
    <row r="1" spans="1:14">
      <c r="A1" s="68" t="str">
        <f>Factors!A1</f>
        <v>ENS BUDGET - YEAR 2002</v>
      </c>
    </row>
    <row r="2" spans="1:14" ht="25.9" customHeight="1">
      <c r="A2" s="220" t="s">
        <v>8</v>
      </c>
    </row>
    <row r="3" spans="1:14" ht="18">
      <c r="A3" s="270" t="s">
        <v>9</v>
      </c>
    </row>
    <row r="4" spans="1:14" hidden="1"/>
    <row r="5" spans="1:14" hidden="1">
      <c r="A5" s="9" t="s">
        <v>217</v>
      </c>
    </row>
    <row r="6" spans="1:14" hidden="1"/>
    <row r="7" spans="1:14" hidden="1">
      <c r="A7" s="9" t="s">
        <v>520</v>
      </c>
    </row>
    <row r="8" spans="1:14" hidden="1">
      <c r="A8" s="9" t="s">
        <v>521</v>
      </c>
      <c r="B8" s="17">
        <v>50000</v>
      </c>
    </row>
    <row r="9" spans="1:14" hidden="1">
      <c r="A9" s="9" t="s">
        <v>522</v>
      </c>
      <c r="B9" s="17">
        <v>50000</v>
      </c>
    </row>
    <row r="10" spans="1:14" hidden="1">
      <c r="A10" s="195" t="s">
        <v>129</v>
      </c>
      <c r="B10" s="17">
        <f>SUM(B8:B9)</f>
        <v>100000</v>
      </c>
    </row>
    <row r="11" spans="1:14" hidden="1">
      <c r="A11" s="195" t="s">
        <v>144</v>
      </c>
      <c r="B11" s="17">
        <v>23500</v>
      </c>
    </row>
    <row r="12" spans="1:14" hidden="1">
      <c r="B12" s="17"/>
    </row>
    <row r="13" spans="1:14" ht="68.45" customHeight="1"/>
    <row r="14" spans="1:14">
      <c r="B14" s="87" t="s">
        <v>50</v>
      </c>
      <c r="C14" s="87" t="s">
        <v>51</v>
      </c>
      <c r="D14" s="87" t="s">
        <v>52</v>
      </c>
      <c r="E14" s="87" t="s">
        <v>53</v>
      </c>
      <c r="F14" s="87" t="s">
        <v>54</v>
      </c>
      <c r="G14" s="87" t="s">
        <v>55</v>
      </c>
      <c r="H14" s="87" t="s">
        <v>56</v>
      </c>
      <c r="I14" s="87" t="s">
        <v>57</v>
      </c>
      <c r="J14" s="87" t="s">
        <v>58</v>
      </c>
      <c r="K14" s="87" t="s">
        <v>59</v>
      </c>
      <c r="L14" s="87" t="s">
        <v>60</v>
      </c>
      <c r="M14" s="87" t="s">
        <v>61</v>
      </c>
      <c r="N14" s="87"/>
    </row>
    <row r="15" spans="1:14" hidden="1">
      <c r="A15" s="9" t="s">
        <v>127</v>
      </c>
      <c r="B15" s="17">
        <f>130000000+B11</f>
        <v>130023500</v>
      </c>
      <c r="C15" s="17">
        <f>B18</f>
        <v>130023500</v>
      </c>
      <c r="D15" s="17">
        <f t="shared" ref="D15:M15" si="0">C18</f>
        <v>130023500</v>
      </c>
      <c r="E15" s="17">
        <f t="shared" si="0"/>
        <v>130023500</v>
      </c>
      <c r="F15" s="17">
        <f t="shared" si="0"/>
        <v>130023500</v>
      </c>
      <c r="G15" s="17">
        <f t="shared" si="0"/>
        <v>130023500</v>
      </c>
      <c r="H15" s="17">
        <f t="shared" si="0"/>
        <v>130023500</v>
      </c>
      <c r="I15" s="17">
        <f t="shared" si="0"/>
        <v>130023500</v>
      </c>
      <c r="J15" s="17">
        <f t="shared" si="0"/>
        <v>130023500</v>
      </c>
      <c r="K15" s="17">
        <f t="shared" si="0"/>
        <v>130023500</v>
      </c>
      <c r="L15" s="17">
        <f t="shared" si="0"/>
        <v>130023500</v>
      </c>
      <c r="M15" s="17">
        <f t="shared" si="0"/>
        <v>130023500</v>
      </c>
    </row>
    <row r="16" spans="1:14" hidden="1">
      <c r="A16" s="9" t="s">
        <v>505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 hidden="1">
      <c r="A17" s="9" t="s">
        <v>506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4" hidden="1">
      <c r="A18" s="9" t="s">
        <v>128</v>
      </c>
      <c r="B18" s="17">
        <f t="shared" ref="B18:M18" si="1">SUM(B15:B17)</f>
        <v>130023500</v>
      </c>
      <c r="C18" s="17">
        <f t="shared" si="1"/>
        <v>130023500</v>
      </c>
      <c r="D18" s="17">
        <f t="shared" si="1"/>
        <v>130023500</v>
      </c>
      <c r="E18" s="17">
        <f t="shared" si="1"/>
        <v>130023500</v>
      </c>
      <c r="F18" s="17">
        <f t="shared" si="1"/>
        <v>130023500</v>
      </c>
      <c r="G18" s="17">
        <f t="shared" si="1"/>
        <v>130023500</v>
      </c>
      <c r="H18" s="17">
        <f t="shared" si="1"/>
        <v>130023500</v>
      </c>
      <c r="I18" s="17">
        <f t="shared" si="1"/>
        <v>130023500</v>
      </c>
      <c r="J18" s="17">
        <f t="shared" si="1"/>
        <v>130023500</v>
      </c>
      <c r="K18" s="17">
        <f t="shared" si="1"/>
        <v>130023500</v>
      </c>
      <c r="L18" s="17">
        <f t="shared" si="1"/>
        <v>130023500</v>
      </c>
      <c r="M18" s="17">
        <f t="shared" si="1"/>
        <v>130023500</v>
      </c>
    </row>
    <row r="19" spans="1:14" hidden="1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4" ht="28.15" customHeight="1">
      <c r="A20" s="299" t="s">
        <v>11</v>
      </c>
      <c r="B20" s="17">
        <f>(Balance!C10+Balance!C21)*1000</f>
        <v>571729200.00000012</v>
      </c>
      <c r="C20" s="17">
        <f>B24</f>
        <v>571865947.00000012</v>
      </c>
      <c r="D20" s="17">
        <f t="shared" ref="D20:M20" si="2">C24</f>
        <v>571865947.00000012</v>
      </c>
      <c r="E20" s="17">
        <f t="shared" si="2"/>
        <v>571900911.28571439</v>
      </c>
      <c r="F20" s="17">
        <f t="shared" si="2"/>
        <v>571900911.28571439</v>
      </c>
      <c r="G20" s="17">
        <f t="shared" si="2"/>
        <v>571900911.28571439</v>
      </c>
      <c r="H20" s="17">
        <f t="shared" si="2"/>
        <v>571961554.14285719</v>
      </c>
      <c r="I20" s="17">
        <f t="shared" si="2"/>
        <v>571961554.14285719</v>
      </c>
      <c r="J20" s="17">
        <f t="shared" si="2"/>
        <v>571961554.14285719</v>
      </c>
      <c r="K20" s="17">
        <f t="shared" si="2"/>
        <v>571961554.14285719</v>
      </c>
      <c r="L20" s="17">
        <f t="shared" si="2"/>
        <v>571961554.14285719</v>
      </c>
      <c r="M20" s="17">
        <f t="shared" si="2"/>
        <v>571961554.14285719</v>
      </c>
      <c r="N20" s="17"/>
    </row>
    <row r="21" spans="1:14">
      <c r="A21" s="299" t="s">
        <v>505</v>
      </c>
      <c r="B21" s="17">
        <f>'Capital budget'!B30</f>
        <v>136747</v>
      </c>
      <c r="C21" s="17">
        <f>'Capital budget'!C30</f>
        <v>0</v>
      </c>
      <c r="D21" s="17">
        <f>'Capital budget'!D30</f>
        <v>34964.28571428571</v>
      </c>
      <c r="E21" s="17">
        <f>'Capital budget'!E30</f>
        <v>0</v>
      </c>
      <c r="F21" s="17">
        <f>'Capital budget'!F30</f>
        <v>0</v>
      </c>
      <c r="G21" s="17">
        <f>'Capital budget'!G30</f>
        <v>60642.857142857138</v>
      </c>
      <c r="H21" s="17">
        <f>'Capital budget'!H30</f>
        <v>0</v>
      </c>
      <c r="I21" s="17">
        <f>'Capital budget'!I30</f>
        <v>0</v>
      </c>
      <c r="J21" s="17">
        <f>'Capital budget'!J30</f>
        <v>0</v>
      </c>
      <c r="K21" s="17">
        <f>'Capital budget'!K30</f>
        <v>0</v>
      </c>
      <c r="L21" s="17">
        <f>'Capital budget'!L30</f>
        <v>0</v>
      </c>
      <c r="M21" s="17">
        <f>'Capital budget'!M30</f>
        <v>0</v>
      </c>
    </row>
    <row r="22" spans="1:14">
      <c r="A22" s="299" t="s">
        <v>506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4">
      <c r="A23" s="299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4" ht="25.5">
      <c r="A24" s="299" t="s">
        <v>12</v>
      </c>
      <c r="B24" s="17">
        <f t="shared" ref="B24:M24" si="3">SUM(B20:B23)</f>
        <v>571865947.00000012</v>
      </c>
      <c r="C24" s="17">
        <f t="shared" si="3"/>
        <v>571865947.00000012</v>
      </c>
      <c r="D24" s="17">
        <f t="shared" si="3"/>
        <v>571900911.28571439</v>
      </c>
      <c r="E24" s="17">
        <f t="shared" si="3"/>
        <v>571900911.28571439</v>
      </c>
      <c r="F24" s="17">
        <f t="shared" si="3"/>
        <v>571900911.28571439</v>
      </c>
      <c r="G24" s="17">
        <f t="shared" si="3"/>
        <v>571961554.14285719</v>
      </c>
      <c r="H24" s="17">
        <f t="shared" si="3"/>
        <v>571961554.14285719</v>
      </c>
      <c r="I24" s="17">
        <f t="shared" si="3"/>
        <v>571961554.14285719</v>
      </c>
      <c r="J24" s="17">
        <f t="shared" si="3"/>
        <v>571961554.14285719</v>
      </c>
      <c r="K24" s="17">
        <f t="shared" si="3"/>
        <v>571961554.14285719</v>
      </c>
      <c r="L24" s="17">
        <f t="shared" si="3"/>
        <v>571961554.14285719</v>
      </c>
      <c r="M24" s="17">
        <f t="shared" si="3"/>
        <v>571961554.14285719</v>
      </c>
      <c r="N24" s="17"/>
    </row>
    <row r="25" spans="1:14">
      <c r="A25" s="299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>
      <c r="A26" s="299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>
      <c r="A27" s="299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4">
      <c r="A28" s="299"/>
      <c r="B28" s="87" t="s">
        <v>50</v>
      </c>
      <c r="C28" s="87" t="s">
        <v>51</v>
      </c>
      <c r="D28" s="87" t="s">
        <v>52</v>
      </c>
      <c r="E28" s="87" t="s">
        <v>53</v>
      </c>
      <c r="F28" s="87" t="s">
        <v>54</v>
      </c>
      <c r="G28" s="87" t="s">
        <v>55</v>
      </c>
      <c r="H28" s="87" t="s">
        <v>56</v>
      </c>
      <c r="I28" s="87" t="s">
        <v>57</v>
      </c>
      <c r="J28" s="87" t="s">
        <v>58</v>
      </c>
      <c r="K28" s="87" t="s">
        <v>59</v>
      </c>
      <c r="L28" s="87" t="s">
        <v>60</v>
      </c>
      <c r="M28" s="87" t="s">
        <v>61</v>
      </c>
      <c r="N28" s="87" t="s">
        <v>97</v>
      </c>
    </row>
    <row r="29" spans="1:14" hidden="1">
      <c r="A29" s="299" t="s">
        <v>126</v>
      </c>
      <c r="B29" s="17">
        <f>$B$34*B15/12</f>
        <v>668537.49583333335</v>
      </c>
      <c r="C29" s="17">
        <f t="shared" ref="C29:M29" si="4">$B$34*C15/12</f>
        <v>668537.49583333335</v>
      </c>
      <c r="D29" s="17">
        <f t="shared" si="4"/>
        <v>668537.49583333335</v>
      </c>
      <c r="E29" s="17">
        <f t="shared" si="4"/>
        <v>668537.49583333335</v>
      </c>
      <c r="F29" s="17">
        <f t="shared" si="4"/>
        <v>668537.49583333335</v>
      </c>
      <c r="G29" s="17">
        <f t="shared" si="4"/>
        <v>668537.49583333335</v>
      </c>
      <c r="H29" s="17">
        <f t="shared" si="4"/>
        <v>668537.49583333335</v>
      </c>
      <c r="I29" s="17">
        <f t="shared" si="4"/>
        <v>668537.49583333335</v>
      </c>
      <c r="J29" s="17">
        <f t="shared" si="4"/>
        <v>668537.49583333335</v>
      </c>
      <c r="K29" s="17">
        <f t="shared" si="4"/>
        <v>668537.49583333335</v>
      </c>
      <c r="L29" s="17">
        <f t="shared" si="4"/>
        <v>668537.49583333335</v>
      </c>
      <c r="M29" s="17">
        <f t="shared" si="4"/>
        <v>668537.49583333335</v>
      </c>
      <c r="N29" s="17">
        <f>SUM(B29:M29)</f>
        <v>8022449.950000002</v>
      </c>
    </row>
    <row r="30" spans="1:14" hidden="1">
      <c r="A30" s="29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4" ht="13.5" thickBot="1">
      <c r="A31" s="109" t="s">
        <v>125</v>
      </c>
      <c r="B31" s="209">
        <f>$B$34*B20/12</f>
        <v>2939640.9700000007</v>
      </c>
      <c r="C31" s="209">
        <f t="shared" ref="C31:M31" si="5">$B$34*C20/12</f>
        <v>2940344.0774916671</v>
      </c>
      <c r="D31" s="209">
        <f t="shared" si="5"/>
        <v>2940344.0774916671</v>
      </c>
      <c r="E31" s="209">
        <f t="shared" si="5"/>
        <v>2940523.852194048</v>
      </c>
      <c r="F31" s="209">
        <f t="shared" si="5"/>
        <v>2940523.852194048</v>
      </c>
      <c r="G31" s="209">
        <f t="shared" si="5"/>
        <v>2940523.852194048</v>
      </c>
      <c r="H31" s="209">
        <f t="shared" si="5"/>
        <v>2940835.6575511904</v>
      </c>
      <c r="I31" s="209">
        <f t="shared" si="5"/>
        <v>2940835.6575511904</v>
      </c>
      <c r="J31" s="209">
        <f t="shared" si="5"/>
        <v>2940835.6575511904</v>
      </c>
      <c r="K31" s="209">
        <f t="shared" si="5"/>
        <v>2940835.6575511904</v>
      </c>
      <c r="L31" s="209">
        <f t="shared" si="5"/>
        <v>2940835.6575511904</v>
      </c>
      <c r="M31" s="209">
        <f t="shared" si="5"/>
        <v>2940835.6575511904</v>
      </c>
      <c r="N31" s="209">
        <f>SUM(B31:M31)</f>
        <v>35286914.626872629</v>
      </c>
    </row>
    <row r="32" spans="1:14" ht="13.5" thickTop="1">
      <c r="A32" s="30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3.5" thickBot="1">
      <c r="A33" s="299"/>
    </row>
    <row r="34" spans="1:13" ht="13.5" thickBot="1">
      <c r="A34" s="299" t="s">
        <v>507</v>
      </c>
      <c r="B34" s="298">
        <v>6.1699999999999998E-2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29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30.15" customHeight="1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22.5">
      <c r="A37" s="287" t="s">
        <v>822</v>
      </c>
      <c r="B37" s="288"/>
      <c r="D37" s="143"/>
      <c r="E37" s="289"/>
      <c r="F37" s="149"/>
      <c r="G37" s="144"/>
      <c r="H37" s="145"/>
      <c r="I37" s="17"/>
      <c r="J37" s="17"/>
      <c r="K37" s="17"/>
      <c r="L37" s="17"/>
      <c r="M37" s="17"/>
    </row>
    <row r="38" spans="1:13">
      <c r="A38" s="146"/>
      <c r="B38" s="146"/>
      <c r="C38" s="147"/>
      <c r="D38" s="147"/>
      <c r="E38" s="148"/>
      <c r="F38" s="149"/>
      <c r="G38" s="144"/>
      <c r="H38" s="145"/>
      <c r="I38" s="17"/>
      <c r="J38" s="17"/>
      <c r="K38" s="17"/>
      <c r="L38" s="17"/>
      <c r="M38" s="17"/>
    </row>
    <row r="39" spans="1:13" ht="57" thickBot="1">
      <c r="A39" s="150" t="s">
        <v>823</v>
      </c>
      <c r="B39" s="150" t="s">
        <v>824</v>
      </c>
      <c r="C39" s="150" t="s">
        <v>825</v>
      </c>
      <c r="D39" s="151" t="s">
        <v>826</v>
      </c>
      <c r="E39" s="152" t="s">
        <v>827</v>
      </c>
      <c r="F39" s="153" t="s">
        <v>828</v>
      </c>
      <c r="G39" s="154" t="s">
        <v>829</v>
      </c>
      <c r="H39" s="154" t="s">
        <v>830</v>
      </c>
      <c r="I39" s="17"/>
      <c r="J39" s="17"/>
      <c r="K39" s="17"/>
      <c r="L39" s="17"/>
      <c r="M39" s="17"/>
    </row>
    <row r="40" spans="1:13" ht="97.5" thickTop="1" thickBot="1">
      <c r="A40" s="155">
        <v>1</v>
      </c>
      <c r="B40" s="156">
        <v>101001</v>
      </c>
      <c r="C40" s="157" t="s">
        <v>831</v>
      </c>
      <c r="D40" s="157" t="s">
        <v>832</v>
      </c>
      <c r="E40" s="158">
        <v>2.5000000000000001E-2</v>
      </c>
      <c r="F40" s="159" t="s">
        <v>833</v>
      </c>
      <c r="G40" s="290">
        <f>32082383.16+44359.74+4410</f>
        <v>32131152.899999999</v>
      </c>
      <c r="H40" s="290">
        <f>G40*E40/12</f>
        <v>66939.901874999996</v>
      </c>
      <c r="I40" s="17"/>
      <c r="J40" s="17"/>
      <c r="K40" s="17"/>
      <c r="L40" s="17"/>
      <c r="M40" s="17"/>
    </row>
    <row r="41" spans="1:13" ht="37.5" thickTop="1" thickBot="1">
      <c r="A41" s="155">
        <v>2</v>
      </c>
      <c r="B41" s="156">
        <v>101002</v>
      </c>
      <c r="C41" s="157" t="s">
        <v>834</v>
      </c>
      <c r="D41" s="157" t="s">
        <v>835</v>
      </c>
      <c r="E41" s="158">
        <v>2.5000000000000001E-2</v>
      </c>
      <c r="F41" s="159" t="s">
        <v>833</v>
      </c>
      <c r="G41" s="290">
        <v>3208729.08</v>
      </c>
      <c r="H41" s="290">
        <f t="shared" ref="H41:H104" si="6">G41*E41/12</f>
        <v>6684.8522500000008</v>
      </c>
      <c r="I41" s="17"/>
      <c r="J41" s="17"/>
      <c r="K41" s="17"/>
      <c r="L41" s="17"/>
      <c r="M41" s="17"/>
    </row>
    <row r="42" spans="1:13" ht="37.5" thickTop="1" thickBot="1">
      <c r="A42" s="155">
        <v>3</v>
      </c>
      <c r="B42" s="156">
        <v>101003</v>
      </c>
      <c r="C42" s="157" t="s">
        <v>836</v>
      </c>
      <c r="D42" s="157" t="s">
        <v>837</v>
      </c>
      <c r="E42" s="158">
        <v>2.5000000000000001E-2</v>
      </c>
      <c r="F42" s="159" t="s">
        <v>833</v>
      </c>
      <c r="G42" s="290">
        <v>4741663.57</v>
      </c>
      <c r="H42" s="290">
        <f t="shared" si="6"/>
        <v>9878.4657708333343</v>
      </c>
      <c r="I42" s="17"/>
      <c r="J42" s="17"/>
      <c r="K42" s="17"/>
      <c r="L42" s="17"/>
      <c r="M42" s="17"/>
    </row>
    <row r="43" spans="1:13" ht="49.5" thickTop="1" thickBot="1">
      <c r="A43" s="155">
        <v>4</v>
      </c>
      <c r="B43" s="156">
        <v>101004</v>
      </c>
      <c r="C43" s="157" t="s">
        <v>838</v>
      </c>
      <c r="D43" s="157" t="s">
        <v>839</v>
      </c>
      <c r="E43" s="158">
        <v>2.5000000000000001E-2</v>
      </c>
      <c r="F43" s="159" t="s">
        <v>833</v>
      </c>
      <c r="G43" s="290">
        <v>888144.59</v>
      </c>
      <c r="H43" s="290">
        <f t="shared" si="6"/>
        <v>1850.3012291666666</v>
      </c>
      <c r="I43" s="17"/>
      <c r="J43" s="17"/>
      <c r="K43" s="17"/>
      <c r="L43" s="17"/>
      <c r="M43" s="17"/>
    </row>
    <row r="44" spans="1:13" ht="49.5" thickTop="1" thickBot="1">
      <c r="A44" s="155">
        <v>5</v>
      </c>
      <c r="B44" s="156">
        <v>101005</v>
      </c>
      <c r="C44" s="157" t="s">
        <v>840</v>
      </c>
      <c r="D44" s="157" t="s">
        <v>841</v>
      </c>
      <c r="E44" s="158">
        <v>2.5000000000000001E-2</v>
      </c>
      <c r="F44" s="159" t="s">
        <v>833</v>
      </c>
      <c r="G44" s="290">
        <v>1217399.42</v>
      </c>
      <c r="H44" s="290">
        <f t="shared" si="6"/>
        <v>2536.2487916666664</v>
      </c>
    </row>
    <row r="45" spans="1:13" ht="14.25" thickTop="1" thickBot="1">
      <c r="A45" s="155">
        <v>6</v>
      </c>
      <c r="B45" s="156">
        <v>109001</v>
      </c>
      <c r="C45" s="157" t="s">
        <v>842</v>
      </c>
      <c r="D45" s="157" t="s">
        <v>843</v>
      </c>
      <c r="E45" s="158">
        <v>2.5000000000000001E-2</v>
      </c>
      <c r="F45" s="159" t="s">
        <v>833</v>
      </c>
      <c r="G45" s="290">
        <v>1361723.5</v>
      </c>
      <c r="H45" s="290">
        <f t="shared" si="6"/>
        <v>2836.9239583333333</v>
      </c>
    </row>
    <row r="46" spans="1:13" ht="37.5" thickTop="1" thickBot="1">
      <c r="A46" s="155">
        <v>7</v>
      </c>
      <c r="B46" s="160">
        <v>201001</v>
      </c>
      <c r="C46" s="161" t="s">
        <v>844</v>
      </c>
      <c r="D46" s="161" t="s">
        <v>845</v>
      </c>
      <c r="E46" s="162">
        <v>4.4999999999999998E-2</v>
      </c>
      <c r="F46" s="163" t="s">
        <v>833</v>
      </c>
      <c r="G46" s="291">
        <v>554626.92000000004</v>
      </c>
      <c r="H46" s="291">
        <f t="shared" si="6"/>
        <v>2079.85095</v>
      </c>
    </row>
    <row r="47" spans="1:13" ht="37.5" thickTop="1" thickBot="1">
      <c r="A47" s="155">
        <v>8</v>
      </c>
      <c r="B47" s="160">
        <v>201002</v>
      </c>
      <c r="C47" s="161" t="s">
        <v>846</v>
      </c>
      <c r="D47" s="161" t="s">
        <v>845</v>
      </c>
      <c r="E47" s="162">
        <v>4.4999999999999998E-2</v>
      </c>
      <c r="F47" s="163" t="s">
        <v>833</v>
      </c>
      <c r="G47" s="291">
        <v>554626.92000000004</v>
      </c>
      <c r="H47" s="291">
        <f t="shared" si="6"/>
        <v>2079.85095</v>
      </c>
    </row>
    <row r="48" spans="1:13" ht="49.5" thickTop="1" thickBot="1">
      <c r="A48" s="155">
        <v>9</v>
      </c>
      <c r="B48" s="160">
        <v>201003</v>
      </c>
      <c r="C48" s="161" t="s">
        <v>847</v>
      </c>
      <c r="D48" s="161" t="s">
        <v>848</v>
      </c>
      <c r="E48" s="162">
        <v>4.4999999999999998E-2</v>
      </c>
      <c r="F48" s="163" t="s">
        <v>833</v>
      </c>
      <c r="G48" s="291">
        <v>307847.52</v>
      </c>
      <c r="H48" s="291">
        <f t="shared" si="6"/>
        <v>1154.4282000000001</v>
      </c>
    </row>
    <row r="49" spans="1:8" ht="37.5" thickTop="1" thickBot="1">
      <c r="A49" s="155">
        <v>10</v>
      </c>
      <c r="B49" s="160">
        <v>201004</v>
      </c>
      <c r="C49" s="161" t="s">
        <v>849</v>
      </c>
      <c r="D49" s="161" t="s">
        <v>850</v>
      </c>
      <c r="E49" s="162">
        <v>4.4999999999999998E-2</v>
      </c>
      <c r="F49" s="163" t="s">
        <v>833</v>
      </c>
      <c r="G49" s="291">
        <v>307847.52</v>
      </c>
      <c r="H49" s="291">
        <f t="shared" si="6"/>
        <v>1154.4282000000001</v>
      </c>
    </row>
    <row r="50" spans="1:8" ht="49.5" thickTop="1" thickBot="1">
      <c r="A50" s="155">
        <v>11</v>
      </c>
      <c r="B50" s="160">
        <v>201005</v>
      </c>
      <c r="C50" s="161" t="s">
        <v>851</v>
      </c>
      <c r="D50" s="161" t="s">
        <v>852</v>
      </c>
      <c r="E50" s="162">
        <v>4.4999999999999998E-2</v>
      </c>
      <c r="F50" s="163" t="s">
        <v>833</v>
      </c>
      <c r="G50" s="291">
        <v>2305729.9900000002</v>
      </c>
      <c r="H50" s="291">
        <f t="shared" si="6"/>
        <v>8646.4874624999993</v>
      </c>
    </row>
    <row r="51" spans="1:8" ht="49.5" thickTop="1" thickBot="1">
      <c r="A51" s="155">
        <v>12</v>
      </c>
      <c r="B51" s="160">
        <v>201006</v>
      </c>
      <c r="C51" s="161" t="s">
        <v>853</v>
      </c>
      <c r="D51" s="161" t="s">
        <v>854</v>
      </c>
      <c r="E51" s="162">
        <v>4.4999999999999998E-2</v>
      </c>
      <c r="F51" s="163" t="s">
        <v>833</v>
      </c>
      <c r="G51" s="291">
        <v>2305729.9900000002</v>
      </c>
      <c r="H51" s="291">
        <f t="shared" si="6"/>
        <v>8646.4874624999993</v>
      </c>
    </row>
    <row r="52" spans="1:8" ht="25.5" thickTop="1" thickBot="1">
      <c r="A52" s="155">
        <v>13</v>
      </c>
      <c r="B52" s="160">
        <v>211001</v>
      </c>
      <c r="C52" s="161" t="s">
        <v>855</v>
      </c>
      <c r="D52" s="161" t="s">
        <v>856</v>
      </c>
      <c r="E52" s="162">
        <v>4.4999999999999998E-2</v>
      </c>
      <c r="F52" s="163" t="s">
        <v>833</v>
      </c>
      <c r="G52" s="291">
        <v>200363.16</v>
      </c>
      <c r="H52" s="291">
        <f t="shared" si="6"/>
        <v>751.36184999999989</v>
      </c>
    </row>
    <row r="53" spans="1:8" ht="25.5" thickTop="1" thickBot="1">
      <c r="A53" s="155">
        <v>14</v>
      </c>
      <c r="B53" s="160">
        <v>211002</v>
      </c>
      <c r="C53" s="161" t="s">
        <v>857</v>
      </c>
      <c r="D53" s="161" t="s">
        <v>858</v>
      </c>
      <c r="E53" s="162">
        <v>4.4999999999999998E-2</v>
      </c>
      <c r="F53" s="163" t="s">
        <v>833</v>
      </c>
      <c r="G53" s="291">
        <v>2203994.77</v>
      </c>
      <c r="H53" s="291">
        <f t="shared" si="6"/>
        <v>8264.9803874999998</v>
      </c>
    </row>
    <row r="54" spans="1:8" ht="37.5" thickTop="1" thickBot="1">
      <c r="A54" s="155">
        <v>15</v>
      </c>
      <c r="B54" s="160">
        <v>211003</v>
      </c>
      <c r="C54" s="161" t="s">
        <v>859</v>
      </c>
      <c r="D54" s="161" t="s">
        <v>860</v>
      </c>
      <c r="E54" s="162">
        <v>0.05</v>
      </c>
      <c r="F54" s="163" t="s">
        <v>833</v>
      </c>
      <c r="G54" s="291">
        <v>16302764.15</v>
      </c>
      <c r="H54" s="291">
        <f t="shared" si="6"/>
        <v>67928.183958333335</v>
      </c>
    </row>
    <row r="55" spans="1:8" ht="49.5" thickTop="1" thickBot="1">
      <c r="A55" s="155">
        <v>16</v>
      </c>
      <c r="B55" s="160">
        <v>211004</v>
      </c>
      <c r="C55" s="161" t="s">
        <v>861</v>
      </c>
      <c r="D55" s="161" t="s">
        <v>862</v>
      </c>
      <c r="E55" s="162">
        <v>4.4999999999999998E-2</v>
      </c>
      <c r="F55" s="163" t="s">
        <v>833</v>
      </c>
      <c r="G55" s="291">
        <v>247507.43</v>
      </c>
      <c r="H55" s="291">
        <f t="shared" si="6"/>
        <v>928.15286249999997</v>
      </c>
    </row>
    <row r="56" spans="1:8" ht="37.5" thickTop="1" thickBot="1">
      <c r="A56" s="155">
        <v>17</v>
      </c>
      <c r="B56" s="160">
        <v>211005</v>
      </c>
      <c r="C56" s="161" t="s">
        <v>863</v>
      </c>
      <c r="D56" s="161" t="s">
        <v>864</v>
      </c>
      <c r="E56" s="162">
        <v>4.4999999999999998E-2</v>
      </c>
      <c r="F56" s="163" t="s">
        <v>833</v>
      </c>
      <c r="G56" s="291">
        <f>76609.44+38304.72</f>
        <v>114914.16</v>
      </c>
      <c r="H56" s="291">
        <f t="shared" si="6"/>
        <v>430.92810000000003</v>
      </c>
    </row>
    <row r="57" spans="1:8" ht="49.5" thickTop="1" thickBot="1">
      <c r="A57" s="155">
        <v>18</v>
      </c>
      <c r="B57" s="160">
        <v>211006</v>
      </c>
      <c r="C57" s="161" t="s">
        <v>865</v>
      </c>
      <c r="D57" s="161" t="s">
        <v>866</v>
      </c>
      <c r="E57" s="162">
        <v>4.4999999999999998E-2</v>
      </c>
      <c r="F57" s="163" t="s">
        <v>833</v>
      </c>
      <c r="G57" s="291">
        <v>1388599.48</v>
      </c>
      <c r="H57" s="291">
        <f t="shared" si="6"/>
        <v>5207.2480499999992</v>
      </c>
    </row>
    <row r="58" spans="1:8" ht="37.5" thickTop="1" thickBot="1">
      <c r="A58" s="155">
        <v>19</v>
      </c>
      <c r="B58" s="160">
        <v>211007</v>
      </c>
      <c r="C58" s="161" t="s">
        <v>867</v>
      </c>
      <c r="D58" s="161" t="s">
        <v>868</v>
      </c>
      <c r="E58" s="162">
        <v>4.4999999999999998E-2</v>
      </c>
      <c r="F58" s="163" t="s">
        <v>833</v>
      </c>
      <c r="G58" s="291">
        <v>7329273.96</v>
      </c>
      <c r="H58" s="291">
        <f t="shared" si="6"/>
        <v>27484.77735</v>
      </c>
    </row>
    <row r="59" spans="1:8" ht="37.5" thickTop="1" thickBot="1">
      <c r="A59" s="155">
        <v>20</v>
      </c>
      <c r="B59" s="160">
        <v>211008</v>
      </c>
      <c r="C59" s="161" t="s">
        <v>869</v>
      </c>
      <c r="D59" s="161" t="s">
        <v>870</v>
      </c>
      <c r="E59" s="162">
        <v>4.4999999999999998E-2</v>
      </c>
      <c r="F59" s="163" t="s">
        <v>833</v>
      </c>
      <c r="G59" s="291">
        <v>2929792.32</v>
      </c>
      <c r="H59" s="291">
        <f t="shared" si="6"/>
        <v>10986.7212</v>
      </c>
    </row>
    <row r="60" spans="1:8" ht="25.5" thickTop="1" thickBot="1">
      <c r="A60" s="155">
        <v>21</v>
      </c>
      <c r="B60" s="160">
        <v>211009</v>
      </c>
      <c r="C60" s="161" t="s">
        <v>871</v>
      </c>
      <c r="D60" s="161" t="s">
        <v>872</v>
      </c>
      <c r="E60" s="162">
        <v>4.4999999999999998E-2</v>
      </c>
      <c r="F60" s="163" t="s">
        <v>833</v>
      </c>
      <c r="G60" s="291">
        <v>8695088.4100000001</v>
      </c>
      <c r="H60" s="291">
        <f t="shared" si="6"/>
        <v>32606.581537499998</v>
      </c>
    </row>
    <row r="61" spans="1:8" ht="25.5" thickTop="1" thickBot="1">
      <c r="A61" s="155">
        <v>22</v>
      </c>
      <c r="B61" s="160">
        <v>211010</v>
      </c>
      <c r="C61" s="161" t="s">
        <v>873</v>
      </c>
      <c r="D61" s="161" t="s">
        <v>874</v>
      </c>
      <c r="E61" s="162">
        <v>4.4999999999999998E-2</v>
      </c>
      <c r="F61" s="163" t="s">
        <v>833</v>
      </c>
      <c r="G61" s="291">
        <v>2736276.53</v>
      </c>
      <c r="H61" s="291">
        <f t="shared" si="6"/>
        <v>10261.036987499998</v>
      </c>
    </row>
    <row r="62" spans="1:8" ht="25.5" thickTop="1" thickBot="1">
      <c r="A62" s="155">
        <v>23</v>
      </c>
      <c r="B62" s="160">
        <v>211011</v>
      </c>
      <c r="C62" s="161" t="s">
        <v>875</v>
      </c>
      <c r="D62" s="161" t="s">
        <v>876</v>
      </c>
      <c r="E62" s="162">
        <v>4.4999999999999998E-2</v>
      </c>
      <c r="F62" s="163" t="s">
        <v>833</v>
      </c>
      <c r="G62" s="291">
        <v>6200666.7699999996</v>
      </c>
      <c r="H62" s="291">
        <f t="shared" si="6"/>
        <v>23252.500387499997</v>
      </c>
    </row>
    <row r="63" spans="1:8" ht="49.5" thickTop="1" thickBot="1">
      <c r="A63" s="155">
        <v>24</v>
      </c>
      <c r="B63" s="160">
        <v>211012</v>
      </c>
      <c r="C63" s="161" t="s">
        <v>877</v>
      </c>
      <c r="D63" s="161" t="s">
        <v>878</v>
      </c>
      <c r="E63" s="162">
        <v>4.4999999999999998E-2</v>
      </c>
      <c r="F63" s="163" t="s">
        <v>833</v>
      </c>
      <c r="G63" s="291">
        <v>2446052.9500000002</v>
      </c>
      <c r="H63" s="291">
        <f t="shared" si="6"/>
        <v>9172.6985624999998</v>
      </c>
    </row>
    <row r="64" spans="1:8" ht="25.5" thickTop="1" thickBot="1">
      <c r="A64" s="155">
        <v>25</v>
      </c>
      <c r="B64" s="160">
        <v>211013</v>
      </c>
      <c r="C64" s="161" t="s">
        <v>879</v>
      </c>
      <c r="D64" s="161" t="s">
        <v>880</v>
      </c>
      <c r="E64" s="162">
        <v>4.4999999999999998E-2</v>
      </c>
      <c r="F64" s="163" t="s">
        <v>833</v>
      </c>
      <c r="G64" s="291">
        <v>9363890.8200000003</v>
      </c>
      <c r="H64" s="291">
        <f t="shared" si="6"/>
        <v>35114.590575000002</v>
      </c>
    </row>
    <row r="65" spans="1:8" ht="37.5" thickTop="1" thickBot="1">
      <c r="A65" s="155">
        <v>26</v>
      </c>
      <c r="B65" s="160">
        <v>211014</v>
      </c>
      <c r="C65" s="161" t="s">
        <v>881</v>
      </c>
      <c r="D65" s="161" t="s">
        <v>882</v>
      </c>
      <c r="E65" s="162">
        <v>4.4999999999999998E-2</v>
      </c>
      <c r="F65" s="163" t="s">
        <v>833</v>
      </c>
      <c r="G65" s="291">
        <v>5336058.9400000004</v>
      </c>
      <c r="H65" s="291">
        <f t="shared" si="6"/>
        <v>20010.221025000003</v>
      </c>
    </row>
    <row r="66" spans="1:8" ht="25.5" thickTop="1" thickBot="1">
      <c r="A66" s="155">
        <v>27</v>
      </c>
      <c r="B66" s="160">
        <v>211015</v>
      </c>
      <c r="C66" s="161" t="s">
        <v>883</v>
      </c>
      <c r="D66" s="161" t="s">
        <v>884</v>
      </c>
      <c r="E66" s="162">
        <v>4.4999999999999998E-2</v>
      </c>
      <c r="F66" s="163" t="s">
        <v>833</v>
      </c>
      <c r="G66" s="291">
        <v>2926770.6</v>
      </c>
      <c r="H66" s="291">
        <f t="shared" si="6"/>
        <v>10975.38975</v>
      </c>
    </row>
    <row r="67" spans="1:8" ht="49.5" thickTop="1" thickBot="1">
      <c r="A67" s="155">
        <v>28</v>
      </c>
      <c r="B67" s="160">
        <v>211016</v>
      </c>
      <c r="C67" s="161" t="s">
        <v>885</v>
      </c>
      <c r="D67" s="161" t="s">
        <v>886</v>
      </c>
      <c r="E67" s="162">
        <v>4.4999999999999998E-2</v>
      </c>
      <c r="F67" s="163" t="s">
        <v>833</v>
      </c>
      <c r="G67" s="291">
        <v>1941194.09</v>
      </c>
      <c r="H67" s="291">
        <f t="shared" si="6"/>
        <v>7279.4778374999996</v>
      </c>
    </row>
    <row r="68" spans="1:8" ht="37.5" thickTop="1" thickBot="1">
      <c r="A68" s="155">
        <v>29</v>
      </c>
      <c r="B68" s="160">
        <v>211017</v>
      </c>
      <c r="C68" s="161" t="s">
        <v>887</v>
      </c>
      <c r="D68" s="161" t="s">
        <v>888</v>
      </c>
      <c r="E68" s="162">
        <v>4.4999999999999998E-2</v>
      </c>
      <c r="F68" s="163" t="s">
        <v>833</v>
      </c>
      <c r="G68" s="291">
        <v>2380785.7999999998</v>
      </c>
      <c r="H68" s="291">
        <f t="shared" si="6"/>
        <v>8927.9467499999992</v>
      </c>
    </row>
    <row r="69" spans="1:8" ht="121.5" thickTop="1" thickBot="1">
      <c r="A69" s="155">
        <v>30</v>
      </c>
      <c r="B69" s="160">
        <v>211018</v>
      </c>
      <c r="C69" s="161" t="s">
        <v>889</v>
      </c>
      <c r="D69" s="161" t="s">
        <v>890</v>
      </c>
      <c r="E69" s="162">
        <v>4.4999999999999998E-2</v>
      </c>
      <c r="F69" s="163" t="s">
        <v>833</v>
      </c>
      <c r="G69" s="291">
        <v>4394198.88</v>
      </c>
      <c r="H69" s="291">
        <f t="shared" si="6"/>
        <v>16478.245800000001</v>
      </c>
    </row>
    <row r="70" spans="1:8" ht="37.5" thickTop="1" thickBot="1">
      <c r="A70" s="155">
        <v>31</v>
      </c>
      <c r="B70" s="160">
        <v>211019</v>
      </c>
      <c r="C70" s="161" t="s">
        <v>891</v>
      </c>
      <c r="D70" s="161" t="s">
        <v>892</v>
      </c>
      <c r="E70" s="162">
        <v>4.4999999999999998E-2</v>
      </c>
      <c r="F70" s="163" t="s">
        <v>833</v>
      </c>
      <c r="G70" s="291">
        <v>428897</v>
      </c>
      <c r="H70" s="291">
        <f t="shared" si="6"/>
        <v>1608.3637499999998</v>
      </c>
    </row>
    <row r="71" spans="1:8" ht="61.5" thickTop="1" thickBot="1">
      <c r="A71" s="155">
        <v>32</v>
      </c>
      <c r="B71" s="160">
        <v>220001</v>
      </c>
      <c r="C71" s="161" t="s">
        <v>893</v>
      </c>
      <c r="D71" s="161" t="s">
        <v>894</v>
      </c>
      <c r="E71" s="162">
        <v>4.4999999999999998E-2</v>
      </c>
      <c r="F71" s="163" t="s">
        <v>895</v>
      </c>
      <c r="G71" s="291">
        <f>2149575.98+23238.19+37997.87</f>
        <v>2210812.04</v>
      </c>
      <c r="H71" s="291">
        <f t="shared" si="6"/>
        <v>8290.5451499999999</v>
      </c>
    </row>
    <row r="72" spans="1:8" ht="37.5" thickTop="1" thickBot="1">
      <c r="A72" s="155">
        <v>33</v>
      </c>
      <c r="B72" s="160">
        <v>221001</v>
      </c>
      <c r="C72" s="161" t="s">
        <v>896</v>
      </c>
      <c r="D72" s="161" t="s">
        <v>897</v>
      </c>
      <c r="E72" s="162">
        <v>4.4999999999999998E-2</v>
      </c>
      <c r="F72" s="163" t="s">
        <v>833</v>
      </c>
      <c r="G72" s="291">
        <v>4011135.9</v>
      </c>
      <c r="H72" s="291">
        <f t="shared" si="6"/>
        <v>15041.759624999999</v>
      </c>
    </row>
    <row r="73" spans="1:8" ht="49.5" thickTop="1" thickBot="1">
      <c r="A73" s="155">
        <v>34</v>
      </c>
      <c r="B73" s="160">
        <v>223001</v>
      </c>
      <c r="C73" s="161" t="s">
        <v>898</v>
      </c>
      <c r="D73" s="161" t="s">
        <v>899</v>
      </c>
      <c r="E73" s="162">
        <v>4.4999999999999998E-2</v>
      </c>
      <c r="F73" s="163" t="s">
        <v>833</v>
      </c>
      <c r="G73" s="291">
        <v>1783968.67</v>
      </c>
      <c r="H73" s="291">
        <f t="shared" si="6"/>
        <v>6689.8825124999994</v>
      </c>
    </row>
    <row r="74" spans="1:8" ht="25.5" thickTop="1" thickBot="1">
      <c r="A74" s="155">
        <v>35</v>
      </c>
      <c r="B74" s="160">
        <v>291001</v>
      </c>
      <c r="C74" s="161" t="s">
        <v>900</v>
      </c>
      <c r="D74" s="161" t="s">
        <v>901</v>
      </c>
      <c r="E74" s="162">
        <v>2.5000000000000001E-2</v>
      </c>
      <c r="F74" s="163" t="s">
        <v>833</v>
      </c>
      <c r="G74" s="291">
        <v>644872.79</v>
      </c>
      <c r="H74" s="291">
        <f t="shared" si="6"/>
        <v>1343.4849791666668</v>
      </c>
    </row>
    <row r="75" spans="1:8" ht="37.5" thickTop="1" thickBot="1">
      <c r="A75" s="155"/>
      <c r="B75" s="160">
        <v>291002</v>
      </c>
      <c r="C75" s="161" t="s">
        <v>902</v>
      </c>
      <c r="D75" s="161"/>
      <c r="E75" s="162">
        <v>2.5000000000000001E-2</v>
      </c>
      <c r="F75" s="163" t="s">
        <v>903</v>
      </c>
      <c r="G75" s="291">
        <v>125979.04</v>
      </c>
      <c r="H75" s="291">
        <f t="shared" si="6"/>
        <v>262.45633333333336</v>
      </c>
    </row>
    <row r="76" spans="1:8" ht="37.5" thickTop="1" thickBot="1">
      <c r="A76" s="155">
        <v>36</v>
      </c>
      <c r="B76" s="164">
        <v>313001</v>
      </c>
      <c r="C76" s="165" t="s">
        <v>904</v>
      </c>
      <c r="D76" s="165" t="s">
        <v>905</v>
      </c>
      <c r="E76" s="166">
        <v>0.05</v>
      </c>
      <c r="F76" s="167" t="s">
        <v>833</v>
      </c>
      <c r="G76" s="292">
        <v>3949504.11</v>
      </c>
      <c r="H76" s="292">
        <f t="shared" si="6"/>
        <v>16456.267125000002</v>
      </c>
    </row>
    <row r="77" spans="1:8" ht="37.5" thickTop="1" thickBot="1">
      <c r="A77" s="155">
        <v>37</v>
      </c>
      <c r="B77" s="164">
        <v>313002</v>
      </c>
      <c r="C77" s="165" t="s">
        <v>906</v>
      </c>
      <c r="D77" s="165" t="s">
        <v>907</v>
      </c>
      <c r="E77" s="166">
        <v>0.05</v>
      </c>
      <c r="F77" s="167" t="s">
        <v>833</v>
      </c>
      <c r="G77" s="292">
        <v>3949504.11</v>
      </c>
      <c r="H77" s="292">
        <f t="shared" si="6"/>
        <v>16456.267125000002</v>
      </c>
    </row>
    <row r="78" spans="1:8" ht="37.5" thickTop="1" thickBot="1">
      <c r="A78" s="155">
        <v>38</v>
      </c>
      <c r="B78" s="164">
        <v>313003</v>
      </c>
      <c r="C78" s="165" t="s">
        <v>908</v>
      </c>
      <c r="D78" s="165" t="s">
        <v>909</v>
      </c>
      <c r="E78" s="166">
        <v>0.05</v>
      </c>
      <c r="F78" s="167" t="s">
        <v>833</v>
      </c>
      <c r="G78" s="292">
        <v>4005578.24</v>
      </c>
      <c r="H78" s="292">
        <f t="shared" si="6"/>
        <v>16689.909333333333</v>
      </c>
    </row>
    <row r="79" spans="1:8" ht="37.5" thickTop="1" thickBot="1">
      <c r="A79" s="155">
        <v>39</v>
      </c>
      <c r="B79" s="164">
        <v>313004</v>
      </c>
      <c r="C79" s="165" t="s">
        <v>910</v>
      </c>
      <c r="D79" s="165" t="s">
        <v>911</v>
      </c>
      <c r="E79" s="166">
        <v>0.05</v>
      </c>
      <c r="F79" s="167" t="s">
        <v>833</v>
      </c>
      <c r="G79" s="292">
        <v>3998377.23</v>
      </c>
      <c r="H79" s="292">
        <f t="shared" si="6"/>
        <v>16659.905125000001</v>
      </c>
    </row>
    <row r="80" spans="1:8" ht="37.5" thickTop="1" thickBot="1">
      <c r="A80" s="155">
        <v>40</v>
      </c>
      <c r="B80" s="164">
        <v>313005</v>
      </c>
      <c r="C80" s="165" t="s">
        <v>912</v>
      </c>
      <c r="D80" s="165" t="s">
        <v>913</v>
      </c>
      <c r="E80" s="166">
        <v>0.05</v>
      </c>
      <c r="F80" s="167" t="s">
        <v>833</v>
      </c>
      <c r="G80" s="292">
        <v>4190864.71</v>
      </c>
      <c r="H80" s="292">
        <f t="shared" si="6"/>
        <v>17461.936291666669</v>
      </c>
    </row>
    <row r="81" spans="1:8" ht="37.5" thickTop="1" thickBot="1">
      <c r="A81" s="155">
        <v>41</v>
      </c>
      <c r="B81" s="164">
        <v>313006</v>
      </c>
      <c r="C81" s="165" t="s">
        <v>914</v>
      </c>
      <c r="D81" s="165" t="s">
        <v>915</v>
      </c>
      <c r="E81" s="166">
        <v>0.05</v>
      </c>
      <c r="F81" s="167" t="s">
        <v>833</v>
      </c>
      <c r="G81" s="292">
        <v>20460769.43</v>
      </c>
      <c r="H81" s="292">
        <f t="shared" si="6"/>
        <v>85253.205958333332</v>
      </c>
    </row>
    <row r="82" spans="1:8" ht="37.5" thickTop="1" thickBot="1">
      <c r="A82" s="155">
        <v>42</v>
      </c>
      <c r="B82" s="164">
        <v>313007</v>
      </c>
      <c r="C82" s="165" t="s">
        <v>916</v>
      </c>
      <c r="D82" s="165" t="s">
        <v>917</v>
      </c>
      <c r="E82" s="166">
        <v>0.05</v>
      </c>
      <c r="F82" s="167" t="s">
        <v>833</v>
      </c>
      <c r="G82" s="292">
        <v>20613988.309999999</v>
      </c>
      <c r="H82" s="292">
        <f t="shared" si="6"/>
        <v>85891.617958333329</v>
      </c>
    </row>
    <row r="83" spans="1:8" ht="37.5" thickTop="1" thickBot="1">
      <c r="A83" s="155">
        <v>43</v>
      </c>
      <c r="B83" s="164">
        <v>340001</v>
      </c>
      <c r="C83" s="165" t="s">
        <v>918</v>
      </c>
      <c r="D83" s="165" t="s">
        <v>919</v>
      </c>
      <c r="E83" s="166">
        <v>0.05</v>
      </c>
      <c r="F83" s="167" t="s">
        <v>833</v>
      </c>
      <c r="G83" s="292">
        <v>90936524.900000006</v>
      </c>
      <c r="H83" s="292">
        <f t="shared" si="6"/>
        <v>378902.18708333332</v>
      </c>
    </row>
    <row r="84" spans="1:8" ht="37.5" thickTop="1" thickBot="1">
      <c r="A84" s="155">
        <v>44</v>
      </c>
      <c r="B84" s="164">
        <v>343001</v>
      </c>
      <c r="C84" s="165" t="s">
        <v>920</v>
      </c>
      <c r="D84" s="165" t="s">
        <v>921</v>
      </c>
      <c r="E84" s="166">
        <v>0.14000000000000001</v>
      </c>
      <c r="F84" s="167" t="s">
        <v>833</v>
      </c>
      <c r="G84" s="292">
        <v>327293.96999999997</v>
      </c>
      <c r="H84" s="292">
        <f t="shared" si="6"/>
        <v>3818.42965</v>
      </c>
    </row>
    <row r="85" spans="1:8" ht="37.5" thickTop="1" thickBot="1">
      <c r="A85" s="155">
        <v>45</v>
      </c>
      <c r="B85" s="164">
        <v>348001</v>
      </c>
      <c r="C85" s="165" t="s">
        <v>922</v>
      </c>
      <c r="D85" s="165" t="s">
        <v>923</v>
      </c>
      <c r="E85" s="166">
        <v>0.05</v>
      </c>
      <c r="F85" s="167" t="s">
        <v>833</v>
      </c>
      <c r="G85" s="292">
        <v>89217400.739999995</v>
      </c>
      <c r="H85" s="292">
        <f t="shared" si="6"/>
        <v>371739.16974999994</v>
      </c>
    </row>
    <row r="86" spans="1:8" ht="37.5" thickTop="1" thickBot="1">
      <c r="A86" s="155">
        <v>46</v>
      </c>
      <c r="B86" s="164">
        <v>348002</v>
      </c>
      <c r="C86" s="165" t="s">
        <v>924</v>
      </c>
      <c r="D86" s="165" t="s">
        <v>925</v>
      </c>
      <c r="E86" s="166">
        <v>0.05</v>
      </c>
      <c r="F86" s="167" t="s">
        <v>833</v>
      </c>
      <c r="G86" s="292">
        <v>89205614.659999996</v>
      </c>
      <c r="H86" s="292">
        <f t="shared" si="6"/>
        <v>371690.06108333333</v>
      </c>
    </row>
    <row r="87" spans="1:8" ht="37.5" thickTop="1" thickBot="1">
      <c r="A87" s="155">
        <v>47</v>
      </c>
      <c r="B87" s="168">
        <v>441001</v>
      </c>
      <c r="C87" s="169" t="s">
        <v>926</v>
      </c>
      <c r="D87" s="169" t="s">
        <v>927</v>
      </c>
      <c r="E87" s="170">
        <v>0.14000000000000001</v>
      </c>
      <c r="F87" s="171" t="s">
        <v>833</v>
      </c>
      <c r="G87" s="293">
        <v>1198571.27</v>
      </c>
      <c r="H87" s="293">
        <f t="shared" si="6"/>
        <v>13983.331483333335</v>
      </c>
    </row>
    <row r="88" spans="1:8" ht="37.5" thickTop="1" thickBot="1">
      <c r="A88" s="155">
        <v>48</v>
      </c>
      <c r="B88" s="168">
        <v>441002</v>
      </c>
      <c r="C88" s="169" t="s">
        <v>928</v>
      </c>
      <c r="D88" s="169" t="s">
        <v>929</v>
      </c>
      <c r="E88" s="170">
        <v>0.14000000000000001</v>
      </c>
      <c r="F88" s="171" t="s">
        <v>833</v>
      </c>
      <c r="G88" s="293">
        <v>1198571.27</v>
      </c>
      <c r="H88" s="293">
        <f t="shared" si="6"/>
        <v>13983.331483333335</v>
      </c>
    </row>
    <row r="89" spans="1:8" ht="61.5" thickTop="1" thickBot="1">
      <c r="A89" s="155">
        <v>49</v>
      </c>
      <c r="B89" s="168">
        <v>441003</v>
      </c>
      <c r="C89" s="169" t="s">
        <v>930</v>
      </c>
      <c r="D89" s="169" t="s">
        <v>931</v>
      </c>
      <c r="E89" s="170">
        <v>0.14000000000000001</v>
      </c>
      <c r="F89" s="171" t="s">
        <v>833</v>
      </c>
      <c r="G89" s="293">
        <v>71302.12</v>
      </c>
      <c r="H89" s="293">
        <f t="shared" si="6"/>
        <v>831.85806666666667</v>
      </c>
    </row>
    <row r="90" spans="1:8" ht="61.5" thickTop="1" thickBot="1">
      <c r="A90" s="155">
        <v>50</v>
      </c>
      <c r="B90" s="168">
        <v>441004</v>
      </c>
      <c r="C90" s="169" t="s">
        <v>932</v>
      </c>
      <c r="D90" s="169" t="s">
        <v>933</v>
      </c>
      <c r="E90" s="170">
        <v>0.14000000000000001</v>
      </c>
      <c r="F90" s="171" t="s">
        <v>833</v>
      </c>
      <c r="G90" s="293">
        <v>71302.12</v>
      </c>
      <c r="H90" s="293">
        <f t="shared" si="6"/>
        <v>831.85806666666667</v>
      </c>
    </row>
    <row r="91" spans="1:8" ht="61.5" thickTop="1" thickBot="1">
      <c r="A91" s="155">
        <v>51</v>
      </c>
      <c r="B91" s="168">
        <v>441005</v>
      </c>
      <c r="C91" s="169" t="s">
        <v>934</v>
      </c>
      <c r="D91" s="169" t="s">
        <v>935</v>
      </c>
      <c r="E91" s="170">
        <v>0.14000000000000001</v>
      </c>
      <c r="F91" s="171" t="s">
        <v>833</v>
      </c>
      <c r="G91" s="293">
        <v>71302.12</v>
      </c>
      <c r="H91" s="293">
        <f t="shared" si="6"/>
        <v>831.85806666666667</v>
      </c>
    </row>
    <row r="92" spans="1:8" ht="49.5" thickTop="1" thickBot="1">
      <c r="A92" s="155">
        <v>52</v>
      </c>
      <c r="B92" s="168">
        <v>441006</v>
      </c>
      <c r="C92" s="169" t="s">
        <v>936</v>
      </c>
      <c r="D92" s="169" t="s">
        <v>937</v>
      </c>
      <c r="E92" s="170">
        <v>0.14000000000000001</v>
      </c>
      <c r="F92" s="171" t="s">
        <v>833</v>
      </c>
      <c r="G92" s="293">
        <v>71302.12</v>
      </c>
      <c r="H92" s="293">
        <f t="shared" si="6"/>
        <v>831.85806666666667</v>
      </c>
    </row>
    <row r="93" spans="1:8" ht="49.5" thickTop="1" thickBot="1">
      <c r="A93" s="155">
        <v>53</v>
      </c>
      <c r="B93" s="168">
        <v>441007</v>
      </c>
      <c r="C93" s="169" t="s">
        <v>938</v>
      </c>
      <c r="D93" s="169" t="s">
        <v>939</v>
      </c>
      <c r="E93" s="170">
        <v>0.14000000000000001</v>
      </c>
      <c r="F93" s="171" t="s">
        <v>833</v>
      </c>
      <c r="G93" s="293">
        <v>71302.12</v>
      </c>
      <c r="H93" s="293">
        <f t="shared" si="6"/>
        <v>831.85806666666667</v>
      </c>
    </row>
    <row r="94" spans="1:8" ht="37.5" thickTop="1" thickBot="1">
      <c r="A94" s="155">
        <v>54</v>
      </c>
      <c r="B94" s="168">
        <v>441008</v>
      </c>
      <c r="C94" s="169" t="s">
        <v>940</v>
      </c>
      <c r="D94" s="169" t="s">
        <v>941</v>
      </c>
      <c r="E94" s="170">
        <v>0.14000000000000001</v>
      </c>
      <c r="F94" s="171" t="s">
        <v>833</v>
      </c>
      <c r="G94" s="293">
        <v>741663.89</v>
      </c>
      <c r="H94" s="293">
        <f t="shared" si="6"/>
        <v>8652.7453833333348</v>
      </c>
    </row>
    <row r="95" spans="1:8" ht="37.5" thickTop="1" thickBot="1">
      <c r="A95" s="155">
        <v>55</v>
      </c>
      <c r="B95" s="168">
        <v>441009</v>
      </c>
      <c r="C95" s="169" t="s">
        <v>942</v>
      </c>
      <c r="D95" s="169" t="s">
        <v>943</v>
      </c>
      <c r="E95" s="170">
        <v>0.14000000000000001</v>
      </c>
      <c r="F95" s="171" t="s">
        <v>833</v>
      </c>
      <c r="G95" s="293">
        <v>741663.89</v>
      </c>
      <c r="H95" s="293">
        <f t="shared" si="6"/>
        <v>8652.7453833333348</v>
      </c>
    </row>
    <row r="96" spans="1:8" ht="37.5" thickTop="1" thickBot="1">
      <c r="A96" s="155">
        <v>56</v>
      </c>
      <c r="B96" s="168">
        <v>441010</v>
      </c>
      <c r="C96" s="169" t="s">
        <v>944</v>
      </c>
      <c r="D96" s="169" t="s">
        <v>945</v>
      </c>
      <c r="E96" s="170">
        <v>0.14000000000000001</v>
      </c>
      <c r="F96" s="171" t="s">
        <v>833</v>
      </c>
      <c r="G96" s="293">
        <v>741663.89</v>
      </c>
      <c r="H96" s="293">
        <f t="shared" si="6"/>
        <v>8652.7453833333348</v>
      </c>
    </row>
    <row r="97" spans="1:8" ht="37.5" thickTop="1" thickBot="1">
      <c r="A97" s="155">
        <v>57</v>
      </c>
      <c r="B97" s="168">
        <v>441011</v>
      </c>
      <c r="C97" s="169" t="s">
        <v>946</v>
      </c>
      <c r="D97" s="169" t="s">
        <v>947</v>
      </c>
      <c r="E97" s="170">
        <v>0.14000000000000001</v>
      </c>
      <c r="F97" s="171" t="s">
        <v>833</v>
      </c>
      <c r="G97" s="293">
        <v>531931.37</v>
      </c>
      <c r="H97" s="293">
        <f t="shared" si="6"/>
        <v>6205.865983333334</v>
      </c>
    </row>
    <row r="98" spans="1:8" ht="37.5" thickTop="1" thickBot="1">
      <c r="A98" s="155">
        <v>58</v>
      </c>
      <c r="B98" s="168">
        <v>441012</v>
      </c>
      <c r="C98" s="169" t="s">
        <v>948</v>
      </c>
      <c r="D98" s="169" t="s">
        <v>949</v>
      </c>
      <c r="E98" s="170">
        <v>0.14000000000000001</v>
      </c>
      <c r="F98" s="171" t="s">
        <v>833</v>
      </c>
      <c r="G98" s="293">
        <v>531931.37</v>
      </c>
      <c r="H98" s="293">
        <f t="shared" si="6"/>
        <v>6205.865983333334</v>
      </c>
    </row>
    <row r="99" spans="1:8" ht="25.5" thickTop="1" thickBot="1">
      <c r="A99" s="155">
        <v>59</v>
      </c>
      <c r="B99" s="168">
        <v>444001</v>
      </c>
      <c r="C99" s="169" t="s">
        <v>950</v>
      </c>
      <c r="D99" s="169" t="s">
        <v>951</v>
      </c>
      <c r="E99" s="170">
        <v>0.14000000000000001</v>
      </c>
      <c r="F99" s="171" t="s">
        <v>833</v>
      </c>
      <c r="G99" s="293">
        <v>193926.29</v>
      </c>
      <c r="H99" s="293">
        <f t="shared" si="6"/>
        <v>2262.4733833333335</v>
      </c>
    </row>
    <row r="100" spans="1:8" ht="25.5" thickTop="1" thickBot="1">
      <c r="A100" s="155">
        <v>60</v>
      </c>
      <c r="B100" s="168">
        <v>444002</v>
      </c>
      <c r="C100" s="169" t="s">
        <v>952</v>
      </c>
      <c r="D100" s="169" t="s">
        <v>953</v>
      </c>
      <c r="E100" s="170">
        <v>0.14000000000000001</v>
      </c>
      <c r="F100" s="171" t="s">
        <v>833</v>
      </c>
      <c r="G100" s="293">
        <v>193926.29</v>
      </c>
      <c r="H100" s="293">
        <f t="shared" si="6"/>
        <v>2262.4733833333335</v>
      </c>
    </row>
    <row r="101" spans="1:8" ht="37.5" thickTop="1" thickBot="1">
      <c r="A101" s="155">
        <v>61</v>
      </c>
      <c r="B101" s="168">
        <v>463001</v>
      </c>
      <c r="C101" s="169" t="s">
        <v>954</v>
      </c>
      <c r="D101" s="169" t="s">
        <v>955</v>
      </c>
      <c r="E101" s="170">
        <v>0.14000000000000001</v>
      </c>
      <c r="F101" s="171" t="s">
        <v>833</v>
      </c>
      <c r="G101" s="293">
        <v>743376.42</v>
      </c>
      <c r="H101" s="293">
        <f t="shared" si="6"/>
        <v>8672.7249000000011</v>
      </c>
    </row>
    <row r="102" spans="1:8" ht="37.5" thickTop="1" thickBot="1">
      <c r="A102" s="155">
        <v>62</v>
      </c>
      <c r="B102" s="168">
        <v>484001</v>
      </c>
      <c r="C102" s="169" t="s">
        <v>956</v>
      </c>
      <c r="D102" s="169" t="s">
        <v>957</v>
      </c>
      <c r="E102" s="170">
        <v>0.18</v>
      </c>
      <c r="F102" s="171" t="s">
        <v>958</v>
      </c>
      <c r="G102" s="293">
        <v>16372</v>
      </c>
      <c r="H102" s="293">
        <f t="shared" si="6"/>
        <v>245.58</v>
      </c>
    </row>
    <row r="103" spans="1:8" ht="37.5" thickTop="1" thickBot="1">
      <c r="A103" s="155">
        <v>63</v>
      </c>
      <c r="B103" s="168">
        <v>484002</v>
      </c>
      <c r="C103" s="169" t="s">
        <v>959</v>
      </c>
      <c r="D103" s="169" t="s">
        <v>960</v>
      </c>
      <c r="E103" s="170">
        <v>0.18</v>
      </c>
      <c r="F103" s="171" t="s">
        <v>958</v>
      </c>
      <c r="G103" s="293">
        <v>6341</v>
      </c>
      <c r="H103" s="293">
        <f t="shared" si="6"/>
        <v>95.114999999999995</v>
      </c>
    </row>
    <row r="104" spans="1:8" ht="73.5" thickTop="1" thickBot="1">
      <c r="A104" s="155">
        <v>64</v>
      </c>
      <c r="B104" s="168" t="s">
        <v>961</v>
      </c>
      <c r="C104" s="169" t="s">
        <v>962</v>
      </c>
      <c r="D104" s="169" t="s">
        <v>963</v>
      </c>
      <c r="E104" s="170">
        <v>0.3</v>
      </c>
      <c r="F104" s="171" t="s">
        <v>964</v>
      </c>
      <c r="G104" s="293">
        <f>11428+51201+67331+8413+7862+25145+12857+51919.37+53776.66+2780+3258+1504+58810</f>
        <v>356285.03</v>
      </c>
      <c r="H104" s="293">
        <f t="shared" si="6"/>
        <v>8907.1257500000011</v>
      </c>
    </row>
    <row r="105" spans="1:8" ht="25.5" thickTop="1" thickBot="1">
      <c r="A105" s="155">
        <v>65</v>
      </c>
      <c r="B105" s="168" t="s">
        <v>965</v>
      </c>
      <c r="C105" s="169" t="s">
        <v>966</v>
      </c>
      <c r="D105" s="169" t="s">
        <v>967</v>
      </c>
      <c r="E105" s="170">
        <v>0.3</v>
      </c>
      <c r="F105" s="171" t="s">
        <v>968</v>
      </c>
      <c r="G105" s="293">
        <v>13606</v>
      </c>
      <c r="H105" s="293">
        <f t="shared" ref="H105:H168" si="7">G105*E105/12</f>
        <v>340.15</v>
      </c>
    </row>
    <row r="106" spans="1:8" ht="25.5" thickTop="1" thickBot="1">
      <c r="A106" s="155">
        <v>66</v>
      </c>
      <c r="B106" s="168" t="s">
        <v>969</v>
      </c>
      <c r="C106" s="169" t="s">
        <v>966</v>
      </c>
      <c r="D106" s="169" t="s">
        <v>967</v>
      </c>
      <c r="E106" s="170">
        <v>0.3</v>
      </c>
      <c r="F106" s="171" t="s">
        <v>968</v>
      </c>
      <c r="G106" s="293">
        <v>13606</v>
      </c>
      <c r="H106" s="293">
        <f t="shared" si="7"/>
        <v>340.15</v>
      </c>
    </row>
    <row r="107" spans="1:8" ht="25.5" thickTop="1" thickBot="1">
      <c r="A107" s="155">
        <v>67</v>
      </c>
      <c r="B107" s="168" t="s">
        <v>970</v>
      </c>
      <c r="C107" s="169" t="s">
        <v>966</v>
      </c>
      <c r="D107" s="169" t="s">
        <v>967</v>
      </c>
      <c r="E107" s="170">
        <v>0.3</v>
      </c>
      <c r="F107" s="171" t="s">
        <v>968</v>
      </c>
      <c r="G107" s="293">
        <v>13606</v>
      </c>
      <c r="H107" s="293">
        <f t="shared" si="7"/>
        <v>340.15</v>
      </c>
    </row>
    <row r="108" spans="1:8" ht="25.5" thickTop="1" thickBot="1">
      <c r="A108" s="155">
        <v>68</v>
      </c>
      <c r="B108" s="168" t="s">
        <v>971</v>
      </c>
      <c r="C108" s="169" t="s">
        <v>966</v>
      </c>
      <c r="D108" s="169" t="s">
        <v>967</v>
      </c>
      <c r="E108" s="170">
        <v>0.3</v>
      </c>
      <c r="F108" s="171" t="s">
        <v>968</v>
      </c>
      <c r="G108" s="293">
        <v>13606</v>
      </c>
      <c r="H108" s="293">
        <f t="shared" si="7"/>
        <v>340.15</v>
      </c>
    </row>
    <row r="109" spans="1:8" ht="37.5" thickTop="1" thickBot="1">
      <c r="A109" s="155">
        <v>69</v>
      </c>
      <c r="B109" s="168" t="s">
        <v>972</v>
      </c>
      <c r="C109" s="169" t="s">
        <v>973</v>
      </c>
      <c r="D109" s="169" t="s">
        <v>974</v>
      </c>
      <c r="E109" s="170">
        <v>0.3</v>
      </c>
      <c r="F109" s="171" t="s">
        <v>975</v>
      </c>
      <c r="G109" s="293">
        <v>25779</v>
      </c>
      <c r="H109" s="293">
        <f t="shared" si="7"/>
        <v>644.47500000000002</v>
      </c>
    </row>
    <row r="110" spans="1:8" ht="25.5" thickTop="1" thickBot="1">
      <c r="A110" s="155">
        <v>70</v>
      </c>
      <c r="B110" s="168" t="s">
        <v>976</v>
      </c>
      <c r="C110" s="169" t="s">
        <v>966</v>
      </c>
      <c r="D110" s="169" t="s">
        <v>967</v>
      </c>
      <c r="E110" s="170">
        <v>0.3</v>
      </c>
      <c r="F110" s="171" t="s">
        <v>977</v>
      </c>
      <c r="G110" s="293">
        <v>13045</v>
      </c>
      <c r="H110" s="293">
        <f t="shared" si="7"/>
        <v>326.125</v>
      </c>
    </row>
    <row r="111" spans="1:8" ht="25.5" thickTop="1" thickBot="1">
      <c r="A111" s="155">
        <v>71</v>
      </c>
      <c r="B111" s="168" t="s">
        <v>978</v>
      </c>
      <c r="C111" s="169" t="s">
        <v>966</v>
      </c>
      <c r="D111" s="169" t="s">
        <v>967</v>
      </c>
      <c r="E111" s="170">
        <v>0.3</v>
      </c>
      <c r="F111" s="171" t="s">
        <v>977</v>
      </c>
      <c r="G111" s="293">
        <v>13045</v>
      </c>
      <c r="H111" s="293">
        <f t="shared" si="7"/>
        <v>326.125</v>
      </c>
    </row>
    <row r="112" spans="1:8" ht="25.5" thickTop="1" thickBot="1">
      <c r="A112" s="155">
        <v>72</v>
      </c>
      <c r="B112" s="168" t="s">
        <v>979</v>
      </c>
      <c r="C112" s="169" t="s">
        <v>966</v>
      </c>
      <c r="D112" s="169" t="s">
        <v>967</v>
      </c>
      <c r="E112" s="170">
        <v>0.3</v>
      </c>
      <c r="F112" s="171" t="s">
        <v>977</v>
      </c>
      <c r="G112" s="293">
        <v>13045</v>
      </c>
      <c r="H112" s="293">
        <f t="shared" si="7"/>
        <v>326.125</v>
      </c>
    </row>
    <row r="113" spans="1:8" ht="25.5" thickTop="1" thickBot="1">
      <c r="A113" s="155">
        <v>73</v>
      </c>
      <c r="B113" s="168" t="s">
        <v>980</v>
      </c>
      <c r="C113" s="169" t="s">
        <v>966</v>
      </c>
      <c r="D113" s="169" t="s">
        <v>967</v>
      </c>
      <c r="E113" s="170">
        <v>0.3</v>
      </c>
      <c r="F113" s="171" t="s">
        <v>981</v>
      </c>
      <c r="G113" s="293">
        <v>13297</v>
      </c>
      <c r="H113" s="293">
        <f t="shared" si="7"/>
        <v>332.42500000000001</v>
      </c>
    </row>
    <row r="114" spans="1:8" ht="25.5" thickTop="1" thickBot="1">
      <c r="A114" s="155">
        <v>74</v>
      </c>
      <c r="B114" s="168" t="s">
        <v>982</v>
      </c>
      <c r="C114" s="169" t="s">
        <v>966</v>
      </c>
      <c r="D114" s="169" t="s">
        <v>967</v>
      </c>
      <c r="E114" s="170">
        <v>0.3</v>
      </c>
      <c r="F114" s="171" t="s">
        <v>981</v>
      </c>
      <c r="G114" s="293">
        <v>13297</v>
      </c>
      <c r="H114" s="293">
        <f t="shared" si="7"/>
        <v>332.42500000000001</v>
      </c>
    </row>
    <row r="115" spans="1:8" ht="25.5" thickTop="1" thickBot="1">
      <c r="A115" s="155">
        <v>75</v>
      </c>
      <c r="B115" s="168" t="s">
        <v>983</v>
      </c>
      <c r="C115" s="169" t="s">
        <v>966</v>
      </c>
      <c r="D115" s="169" t="s">
        <v>967</v>
      </c>
      <c r="E115" s="170">
        <v>0.3</v>
      </c>
      <c r="F115" s="171" t="s">
        <v>981</v>
      </c>
      <c r="G115" s="293">
        <v>13297</v>
      </c>
      <c r="H115" s="293">
        <f t="shared" si="7"/>
        <v>332.42500000000001</v>
      </c>
    </row>
    <row r="116" spans="1:8" ht="25.5" thickTop="1" thickBot="1">
      <c r="A116" s="155">
        <v>76</v>
      </c>
      <c r="B116" s="168" t="s">
        <v>984</v>
      </c>
      <c r="C116" s="169" t="s">
        <v>966</v>
      </c>
      <c r="D116" s="169" t="s">
        <v>967</v>
      </c>
      <c r="E116" s="170">
        <v>0.3</v>
      </c>
      <c r="F116" s="171" t="s">
        <v>985</v>
      </c>
      <c r="G116" s="293">
        <v>13770</v>
      </c>
      <c r="H116" s="293">
        <f t="shared" si="7"/>
        <v>344.25</v>
      </c>
    </row>
    <row r="117" spans="1:8" ht="14.25" thickTop="1" thickBot="1">
      <c r="A117" s="155">
        <v>77</v>
      </c>
      <c r="B117" s="168" t="s">
        <v>986</v>
      </c>
      <c r="C117" s="169" t="s">
        <v>987</v>
      </c>
      <c r="D117" s="169" t="s">
        <v>988</v>
      </c>
      <c r="E117" s="170">
        <v>0.3</v>
      </c>
      <c r="F117" s="171" t="s">
        <v>989</v>
      </c>
      <c r="G117" s="293">
        <v>3281.97</v>
      </c>
      <c r="H117" s="293">
        <f t="shared" si="7"/>
        <v>82.049249999999986</v>
      </c>
    </row>
    <row r="118" spans="1:8" ht="37.5" thickTop="1" thickBot="1">
      <c r="A118" s="155">
        <v>78</v>
      </c>
      <c r="B118" s="168" t="s">
        <v>990</v>
      </c>
      <c r="C118" s="169" t="s">
        <v>991</v>
      </c>
      <c r="D118" s="169" t="s">
        <v>992</v>
      </c>
      <c r="E118" s="170">
        <v>0.3</v>
      </c>
      <c r="F118" s="171" t="s">
        <v>993</v>
      </c>
      <c r="G118" s="293">
        <f>15332+1700</f>
        <v>17032</v>
      </c>
      <c r="H118" s="293">
        <f t="shared" si="7"/>
        <v>425.79999999999995</v>
      </c>
    </row>
    <row r="119" spans="1:8" ht="25.5" thickTop="1" thickBot="1">
      <c r="A119" s="155">
        <v>79</v>
      </c>
      <c r="B119" s="168" t="s">
        <v>994</v>
      </c>
      <c r="C119" s="169" t="s">
        <v>966</v>
      </c>
      <c r="D119" s="169" t="s">
        <v>967</v>
      </c>
      <c r="E119" s="170">
        <v>0.3</v>
      </c>
      <c r="F119" s="171" t="s">
        <v>995</v>
      </c>
      <c r="G119" s="293">
        <v>9402</v>
      </c>
      <c r="H119" s="293">
        <f t="shared" si="7"/>
        <v>235.04999999999998</v>
      </c>
    </row>
    <row r="120" spans="1:8" ht="25.5" thickTop="1" thickBot="1">
      <c r="A120" s="155">
        <v>80</v>
      </c>
      <c r="B120" s="168" t="s">
        <v>996</v>
      </c>
      <c r="C120" s="169" t="s">
        <v>966</v>
      </c>
      <c r="D120" s="169" t="s">
        <v>967</v>
      </c>
      <c r="E120" s="170">
        <v>0.3</v>
      </c>
      <c r="F120" s="171" t="s">
        <v>997</v>
      </c>
      <c r="G120" s="293">
        <v>7492</v>
      </c>
      <c r="H120" s="293">
        <f t="shared" si="7"/>
        <v>187.29999999999998</v>
      </c>
    </row>
    <row r="121" spans="1:8" ht="25.5" thickTop="1" thickBot="1">
      <c r="A121" s="155">
        <v>81</v>
      </c>
      <c r="B121" s="168" t="s">
        <v>998</v>
      </c>
      <c r="C121" s="169" t="s">
        <v>966</v>
      </c>
      <c r="D121" s="169" t="s">
        <v>967</v>
      </c>
      <c r="E121" s="170">
        <v>0.3</v>
      </c>
      <c r="F121" s="171" t="s">
        <v>997</v>
      </c>
      <c r="G121" s="293">
        <v>7492</v>
      </c>
      <c r="H121" s="293">
        <f t="shared" si="7"/>
        <v>187.29999999999998</v>
      </c>
    </row>
    <row r="122" spans="1:8" ht="37.5" thickTop="1" thickBot="1">
      <c r="A122" s="155">
        <v>82</v>
      </c>
      <c r="B122" s="168" t="s">
        <v>999</v>
      </c>
      <c r="C122" s="169" t="s">
        <v>973</v>
      </c>
      <c r="D122" s="169" t="s">
        <v>974</v>
      </c>
      <c r="E122" s="170">
        <v>0.3</v>
      </c>
      <c r="F122" s="171" t="s">
        <v>1000</v>
      </c>
      <c r="G122" s="293">
        <v>11216</v>
      </c>
      <c r="H122" s="293">
        <f t="shared" si="7"/>
        <v>280.39999999999998</v>
      </c>
    </row>
    <row r="123" spans="1:8" ht="37.5" thickTop="1" thickBot="1">
      <c r="A123" s="155">
        <v>83</v>
      </c>
      <c r="B123" s="168" t="s">
        <v>1001</v>
      </c>
      <c r="C123" s="169" t="s">
        <v>1002</v>
      </c>
      <c r="D123" s="169" t="s">
        <v>1003</v>
      </c>
      <c r="E123" s="170">
        <v>0.3</v>
      </c>
      <c r="F123" s="171" t="s">
        <v>1004</v>
      </c>
      <c r="G123" s="293">
        <v>4633.6099999999997</v>
      </c>
      <c r="H123" s="293">
        <f t="shared" si="7"/>
        <v>115.84024999999998</v>
      </c>
    </row>
    <row r="124" spans="1:8" ht="25.5" thickTop="1" thickBot="1">
      <c r="A124" s="155">
        <v>84</v>
      </c>
      <c r="B124" s="168" t="s">
        <v>1005</v>
      </c>
      <c r="C124" s="169" t="s">
        <v>966</v>
      </c>
      <c r="D124" s="169" t="s">
        <v>967</v>
      </c>
      <c r="E124" s="170">
        <v>0.3</v>
      </c>
      <c r="F124" s="171" t="s">
        <v>1006</v>
      </c>
      <c r="G124" s="293">
        <v>7481</v>
      </c>
      <c r="H124" s="293">
        <f t="shared" si="7"/>
        <v>187.02499999999998</v>
      </c>
    </row>
    <row r="125" spans="1:8" ht="25.5" thickTop="1" thickBot="1">
      <c r="A125" s="155">
        <v>85</v>
      </c>
      <c r="B125" s="168" t="s">
        <v>1007</v>
      </c>
      <c r="C125" s="169" t="s">
        <v>966</v>
      </c>
      <c r="D125" s="169" t="s">
        <v>967</v>
      </c>
      <c r="E125" s="170">
        <v>0.3</v>
      </c>
      <c r="F125" s="171" t="s">
        <v>1006</v>
      </c>
      <c r="G125" s="293">
        <v>7481</v>
      </c>
      <c r="H125" s="293">
        <f t="shared" si="7"/>
        <v>187.02499999999998</v>
      </c>
    </row>
    <row r="126" spans="1:8" ht="37.5" thickTop="1" thickBot="1">
      <c r="A126" s="155">
        <v>86</v>
      </c>
      <c r="B126" s="168">
        <v>492001</v>
      </c>
      <c r="C126" s="169" t="s">
        <v>1008</v>
      </c>
      <c r="D126" s="169" t="s">
        <v>1009</v>
      </c>
      <c r="E126" s="170">
        <v>0.18</v>
      </c>
      <c r="F126" s="171" t="s">
        <v>833</v>
      </c>
      <c r="G126" s="293">
        <v>9388596.3000000007</v>
      </c>
      <c r="H126" s="293">
        <f t="shared" si="7"/>
        <v>140828.94450000001</v>
      </c>
    </row>
    <row r="127" spans="1:8" ht="25.5" thickTop="1" thickBot="1">
      <c r="A127" s="155">
        <v>87</v>
      </c>
      <c r="B127" s="172">
        <v>604001</v>
      </c>
      <c r="C127" s="173" t="s">
        <v>1010</v>
      </c>
      <c r="D127" s="173" t="s">
        <v>1011</v>
      </c>
      <c r="E127" s="174">
        <v>0.1</v>
      </c>
      <c r="F127" s="175" t="s">
        <v>833</v>
      </c>
      <c r="G127" s="294">
        <v>954671.53</v>
      </c>
      <c r="H127" s="294">
        <f t="shared" si="7"/>
        <v>7955.5960833333338</v>
      </c>
    </row>
    <row r="128" spans="1:8" ht="37.5" thickTop="1" thickBot="1">
      <c r="A128" s="155">
        <v>88</v>
      </c>
      <c r="B128" s="172">
        <v>604002</v>
      </c>
      <c r="C128" s="173" t="s">
        <v>1012</v>
      </c>
      <c r="D128" s="173" t="s">
        <v>1013</v>
      </c>
      <c r="E128" s="174">
        <v>0.1</v>
      </c>
      <c r="F128" s="175" t="s">
        <v>833</v>
      </c>
      <c r="G128" s="294">
        <v>942885.47</v>
      </c>
      <c r="H128" s="294">
        <f t="shared" si="7"/>
        <v>7857.3789166666675</v>
      </c>
    </row>
    <row r="129" spans="1:8" ht="37.5" thickTop="1" thickBot="1">
      <c r="A129" s="155">
        <v>89</v>
      </c>
      <c r="B129" s="172">
        <v>604003</v>
      </c>
      <c r="C129" s="173" t="s">
        <v>1014</v>
      </c>
      <c r="D129" s="173" t="s">
        <v>1015</v>
      </c>
      <c r="E129" s="174">
        <v>0.1</v>
      </c>
      <c r="F129" s="175" t="s">
        <v>833</v>
      </c>
      <c r="G129" s="294">
        <v>942885.47</v>
      </c>
      <c r="H129" s="294">
        <f t="shared" si="7"/>
        <v>7857.3789166666675</v>
      </c>
    </row>
    <row r="130" spans="1:8" ht="37.5" thickTop="1" thickBot="1">
      <c r="A130" s="155">
        <v>90</v>
      </c>
      <c r="B130" s="172">
        <v>604004</v>
      </c>
      <c r="C130" s="173" t="s">
        <v>1016</v>
      </c>
      <c r="D130" s="173" t="s">
        <v>1017</v>
      </c>
      <c r="E130" s="174">
        <v>0.1</v>
      </c>
      <c r="F130" s="175" t="s">
        <v>833</v>
      </c>
      <c r="G130" s="294">
        <v>5561642.7599999998</v>
      </c>
      <c r="H130" s="294">
        <f t="shared" si="7"/>
        <v>46347.022999999994</v>
      </c>
    </row>
    <row r="131" spans="1:8" ht="37.5" thickTop="1" thickBot="1">
      <c r="A131" s="155">
        <v>91</v>
      </c>
      <c r="B131" s="172">
        <v>604005</v>
      </c>
      <c r="C131" s="173" t="s">
        <v>1018</v>
      </c>
      <c r="D131" s="173" t="s">
        <v>1019</v>
      </c>
      <c r="E131" s="174">
        <v>0.1</v>
      </c>
      <c r="F131" s="175" t="s">
        <v>833</v>
      </c>
      <c r="G131" s="294">
        <v>5561642.7599999998</v>
      </c>
      <c r="H131" s="294">
        <f t="shared" si="7"/>
        <v>46347.022999999994</v>
      </c>
    </row>
    <row r="132" spans="1:8" ht="61.5" thickTop="1" thickBot="1">
      <c r="A132" s="155">
        <v>92</v>
      </c>
      <c r="B132" s="172">
        <v>604006</v>
      </c>
      <c r="C132" s="173" t="s">
        <v>1020</v>
      </c>
      <c r="D132" s="173" t="s">
        <v>1021</v>
      </c>
      <c r="E132" s="174">
        <v>0.1</v>
      </c>
      <c r="F132" s="175" t="s">
        <v>833</v>
      </c>
      <c r="G132" s="294">
        <v>154288.82999999999</v>
      </c>
      <c r="H132" s="294">
        <f t="shared" si="7"/>
        <v>1285.7402500000001</v>
      </c>
    </row>
    <row r="133" spans="1:8" ht="49.5" thickTop="1" thickBot="1">
      <c r="A133" s="155">
        <v>93</v>
      </c>
      <c r="B133" s="172">
        <v>604007</v>
      </c>
      <c r="C133" s="173" t="s">
        <v>1022</v>
      </c>
      <c r="D133" s="173" t="s">
        <v>1023</v>
      </c>
      <c r="E133" s="174">
        <v>0.1</v>
      </c>
      <c r="F133" s="175" t="s">
        <v>1024</v>
      </c>
      <c r="G133" s="294">
        <v>1550166.69</v>
      </c>
      <c r="H133" s="294">
        <f t="shared" si="7"/>
        <v>12918.05575</v>
      </c>
    </row>
    <row r="134" spans="1:8" ht="73.5" thickTop="1" thickBot="1">
      <c r="A134" s="155">
        <v>94</v>
      </c>
      <c r="B134" s="172">
        <v>604008</v>
      </c>
      <c r="C134" s="173" t="s">
        <v>1025</v>
      </c>
      <c r="D134" s="173" t="s">
        <v>1026</v>
      </c>
      <c r="E134" s="174">
        <v>0.1</v>
      </c>
      <c r="F134" s="175" t="s">
        <v>1027</v>
      </c>
      <c r="G134" s="294">
        <v>431656.4</v>
      </c>
      <c r="H134" s="294">
        <f t="shared" si="7"/>
        <v>3597.1366666666672</v>
      </c>
    </row>
    <row r="135" spans="1:8" ht="37.5" thickTop="1" thickBot="1">
      <c r="A135" s="155">
        <v>95</v>
      </c>
      <c r="B135" s="172">
        <v>610001</v>
      </c>
      <c r="C135" s="173" t="s">
        <v>1028</v>
      </c>
      <c r="D135" s="173" t="s">
        <v>1029</v>
      </c>
      <c r="E135" s="174">
        <v>0.18</v>
      </c>
      <c r="F135" s="175" t="s">
        <v>833</v>
      </c>
      <c r="G135" s="294">
        <v>5959337.3799999999</v>
      </c>
      <c r="H135" s="294">
        <f t="shared" si="7"/>
        <v>89390.060699999987</v>
      </c>
    </row>
    <row r="136" spans="1:8" ht="61.5" thickTop="1" thickBot="1">
      <c r="A136" s="155">
        <v>96</v>
      </c>
      <c r="B136" s="172">
        <v>610002</v>
      </c>
      <c r="C136" s="173" t="s">
        <v>1030</v>
      </c>
      <c r="D136" s="173" t="s">
        <v>1031</v>
      </c>
      <c r="E136" s="174">
        <v>0.18</v>
      </c>
      <c r="F136" s="175" t="s">
        <v>833</v>
      </c>
      <c r="G136" s="294">
        <v>7647666.7699999996</v>
      </c>
      <c r="H136" s="294">
        <f t="shared" si="7"/>
        <v>114715.00154999999</v>
      </c>
    </row>
    <row r="137" spans="1:8" ht="37.5" thickTop="1" thickBot="1">
      <c r="A137" s="155">
        <v>97</v>
      </c>
      <c r="B137" s="172">
        <v>610003</v>
      </c>
      <c r="C137" s="173" t="s">
        <v>1032</v>
      </c>
      <c r="D137" s="173" t="s">
        <v>1033</v>
      </c>
      <c r="E137" s="174">
        <v>0.18</v>
      </c>
      <c r="F137" s="175" t="s">
        <v>833</v>
      </c>
      <c r="G137" s="294">
        <v>835816.95999999996</v>
      </c>
      <c r="H137" s="294">
        <f t="shared" si="7"/>
        <v>12537.254399999998</v>
      </c>
    </row>
    <row r="138" spans="1:8" ht="37.5" thickTop="1" thickBot="1">
      <c r="A138" s="155">
        <v>98</v>
      </c>
      <c r="B138" s="172">
        <v>614001</v>
      </c>
      <c r="C138" s="173" t="s">
        <v>1034</v>
      </c>
      <c r="D138" s="173" t="s">
        <v>1035</v>
      </c>
      <c r="E138" s="174">
        <v>0.18</v>
      </c>
      <c r="F138" s="175" t="s">
        <v>833</v>
      </c>
      <c r="G138" s="294">
        <f>873581.61+1831584.43</f>
        <v>2705166.04</v>
      </c>
      <c r="H138" s="294">
        <f t="shared" si="7"/>
        <v>40577.490599999997</v>
      </c>
    </row>
    <row r="139" spans="1:8" ht="37.5" thickTop="1" thickBot="1">
      <c r="A139" s="155">
        <v>99</v>
      </c>
      <c r="B139" s="172">
        <v>626001</v>
      </c>
      <c r="C139" s="173" t="s">
        <v>1036</v>
      </c>
      <c r="D139" s="173" t="s">
        <v>1037</v>
      </c>
      <c r="E139" s="174">
        <v>0.1</v>
      </c>
      <c r="F139" s="175" t="s">
        <v>833</v>
      </c>
      <c r="G139" s="294">
        <f>333380.67+5650</f>
        <v>339030.67</v>
      </c>
      <c r="H139" s="294">
        <f t="shared" si="7"/>
        <v>2825.2555833333336</v>
      </c>
    </row>
    <row r="140" spans="1:8" ht="49.5" thickTop="1" thickBot="1">
      <c r="A140" s="155">
        <v>100</v>
      </c>
      <c r="B140" s="172">
        <v>630001</v>
      </c>
      <c r="C140" s="173" t="s">
        <v>1038</v>
      </c>
      <c r="D140" s="173" t="s">
        <v>1039</v>
      </c>
      <c r="E140" s="174">
        <v>0.1</v>
      </c>
      <c r="F140" s="175" t="s">
        <v>833</v>
      </c>
      <c r="G140" s="294">
        <v>5245214.18</v>
      </c>
      <c r="H140" s="294">
        <f t="shared" si="7"/>
        <v>43710.11816666666</v>
      </c>
    </row>
    <row r="141" spans="1:8" ht="49.5" thickTop="1" thickBot="1">
      <c r="A141" s="155">
        <v>101</v>
      </c>
      <c r="B141" s="172">
        <v>630002</v>
      </c>
      <c r="C141" s="173" t="s">
        <v>1040</v>
      </c>
      <c r="D141" s="173" t="s">
        <v>1041</v>
      </c>
      <c r="E141" s="174">
        <v>0.1</v>
      </c>
      <c r="F141" s="175" t="s">
        <v>833</v>
      </c>
      <c r="G141" s="294">
        <v>5245214.18</v>
      </c>
      <c r="H141" s="294">
        <f t="shared" si="7"/>
        <v>43710.11816666666</v>
      </c>
    </row>
    <row r="142" spans="1:8" ht="49.5" thickTop="1" thickBot="1">
      <c r="A142" s="155">
        <v>102</v>
      </c>
      <c r="B142" s="172">
        <v>630003</v>
      </c>
      <c r="C142" s="173" t="s">
        <v>1042</v>
      </c>
      <c r="D142" s="173" t="s">
        <v>1043</v>
      </c>
      <c r="E142" s="174">
        <v>0.1</v>
      </c>
      <c r="F142" s="175" t="s">
        <v>833</v>
      </c>
      <c r="G142" s="294">
        <v>5245214.18</v>
      </c>
      <c r="H142" s="294">
        <f t="shared" si="7"/>
        <v>43710.11816666666</v>
      </c>
    </row>
    <row r="143" spans="1:8" ht="49.5" thickTop="1" thickBot="1">
      <c r="A143" s="155">
        <v>103</v>
      </c>
      <c r="B143" s="172">
        <v>630004</v>
      </c>
      <c r="C143" s="173" t="s">
        <v>1044</v>
      </c>
      <c r="D143" s="173" t="s">
        <v>1045</v>
      </c>
      <c r="E143" s="174">
        <v>0.1</v>
      </c>
      <c r="F143" s="175" t="s">
        <v>833</v>
      </c>
      <c r="G143" s="294">
        <v>458663.06</v>
      </c>
      <c r="H143" s="294">
        <f t="shared" si="7"/>
        <v>3822.1921666666672</v>
      </c>
    </row>
    <row r="144" spans="1:8" ht="49.5" thickTop="1" thickBot="1">
      <c r="A144" s="155">
        <v>104</v>
      </c>
      <c r="B144" s="172">
        <v>630005</v>
      </c>
      <c r="C144" s="173" t="s">
        <v>1044</v>
      </c>
      <c r="D144" s="173" t="s">
        <v>1045</v>
      </c>
      <c r="E144" s="174">
        <v>0.1</v>
      </c>
      <c r="F144" s="175" t="s">
        <v>833</v>
      </c>
      <c r="G144" s="294">
        <v>458663.06</v>
      </c>
      <c r="H144" s="294">
        <f t="shared" si="7"/>
        <v>3822.1921666666672</v>
      </c>
    </row>
    <row r="145" spans="1:8" ht="37.5" thickTop="1" thickBot="1">
      <c r="A145" s="155">
        <v>105</v>
      </c>
      <c r="B145" s="172">
        <v>630006</v>
      </c>
      <c r="C145" s="173" t="s">
        <v>1046</v>
      </c>
      <c r="D145" s="173" t="s">
        <v>1047</v>
      </c>
      <c r="E145" s="174">
        <v>0.1</v>
      </c>
      <c r="F145" s="175" t="s">
        <v>833</v>
      </c>
      <c r="G145" s="294">
        <v>458663.06</v>
      </c>
      <c r="H145" s="294">
        <f t="shared" si="7"/>
        <v>3822.1921666666672</v>
      </c>
    </row>
    <row r="146" spans="1:8" ht="37.5" thickTop="1" thickBot="1">
      <c r="A146" s="155">
        <v>106</v>
      </c>
      <c r="B146" s="172">
        <v>630007</v>
      </c>
      <c r="C146" s="173" t="s">
        <v>1048</v>
      </c>
      <c r="D146" s="173" t="s">
        <v>1047</v>
      </c>
      <c r="E146" s="174">
        <v>0.1</v>
      </c>
      <c r="F146" s="175" t="s">
        <v>833</v>
      </c>
      <c r="G146" s="294">
        <v>458663.06</v>
      </c>
      <c r="H146" s="294">
        <f t="shared" si="7"/>
        <v>3822.1921666666672</v>
      </c>
    </row>
    <row r="147" spans="1:8" ht="25.5" thickTop="1" thickBot="1">
      <c r="A147" s="155">
        <v>107</v>
      </c>
      <c r="B147" s="172">
        <v>633001</v>
      </c>
      <c r="C147" s="173" t="s">
        <v>1049</v>
      </c>
      <c r="D147" s="173" t="s">
        <v>1050</v>
      </c>
      <c r="E147" s="174">
        <v>0.2</v>
      </c>
      <c r="F147" s="175" t="s">
        <v>833</v>
      </c>
      <c r="G147" s="294">
        <v>1614619.97</v>
      </c>
      <c r="H147" s="294">
        <f t="shared" si="7"/>
        <v>26910.332833333334</v>
      </c>
    </row>
    <row r="148" spans="1:8" ht="37.5" thickTop="1" thickBot="1">
      <c r="A148" s="155">
        <v>108</v>
      </c>
      <c r="B148" s="172">
        <v>646001</v>
      </c>
      <c r="C148" s="173" t="s">
        <v>1051</v>
      </c>
      <c r="D148" s="173" t="s">
        <v>1052</v>
      </c>
      <c r="E148" s="174">
        <v>0.1</v>
      </c>
      <c r="F148" s="175" t="s">
        <v>833</v>
      </c>
      <c r="G148" s="294">
        <v>2129776.5</v>
      </c>
      <c r="H148" s="294">
        <f t="shared" si="7"/>
        <v>17748.137500000001</v>
      </c>
    </row>
    <row r="149" spans="1:8" ht="25.5" thickTop="1" thickBot="1">
      <c r="A149" s="155">
        <v>109</v>
      </c>
      <c r="B149" s="172">
        <v>653001</v>
      </c>
      <c r="C149" s="173" t="s">
        <v>1053</v>
      </c>
      <c r="D149" s="173" t="s">
        <v>1054</v>
      </c>
      <c r="E149" s="174">
        <v>0.1</v>
      </c>
      <c r="F149" s="175" t="s">
        <v>1055</v>
      </c>
      <c r="G149" s="294">
        <v>2565</v>
      </c>
      <c r="H149" s="294">
        <f t="shared" si="7"/>
        <v>21.375</v>
      </c>
    </row>
    <row r="150" spans="1:8" ht="25.5" thickTop="1" thickBot="1">
      <c r="A150" s="155">
        <v>110</v>
      </c>
      <c r="B150" s="172">
        <v>653002</v>
      </c>
      <c r="C150" s="173" t="s">
        <v>1056</v>
      </c>
      <c r="D150" s="173" t="s">
        <v>1057</v>
      </c>
      <c r="E150" s="174">
        <v>0.1</v>
      </c>
      <c r="F150" s="175" t="s">
        <v>833</v>
      </c>
      <c r="G150" s="294">
        <v>355515.33</v>
      </c>
      <c r="H150" s="294">
        <f t="shared" si="7"/>
        <v>2962.6277500000001</v>
      </c>
    </row>
    <row r="151" spans="1:8" ht="73.5" thickTop="1" thickBot="1">
      <c r="A151" s="155">
        <v>111</v>
      </c>
      <c r="B151" s="172">
        <v>654001</v>
      </c>
      <c r="C151" s="173" t="s">
        <v>1058</v>
      </c>
      <c r="D151" s="173" t="s">
        <v>1057</v>
      </c>
      <c r="E151" s="174">
        <v>0.1</v>
      </c>
      <c r="F151" s="175" t="s">
        <v>1059</v>
      </c>
      <c r="G151" s="294">
        <f>20042194.47+102000+12460</f>
        <v>20156654.469999999</v>
      </c>
      <c r="H151" s="294">
        <f t="shared" si="7"/>
        <v>167972.12058333334</v>
      </c>
    </row>
    <row r="152" spans="1:8" ht="37.5" thickTop="1" thickBot="1">
      <c r="A152" s="155">
        <v>112</v>
      </c>
      <c r="B152" s="172">
        <v>655001</v>
      </c>
      <c r="C152" s="173" t="s">
        <v>1060</v>
      </c>
      <c r="D152" s="173" t="s">
        <v>1061</v>
      </c>
      <c r="E152" s="174">
        <v>0.1</v>
      </c>
      <c r="F152" s="175" t="s">
        <v>833</v>
      </c>
      <c r="G152" s="294">
        <v>325196.73</v>
      </c>
      <c r="H152" s="294">
        <f t="shared" si="7"/>
        <v>2709.9727499999999</v>
      </c>
    </row>
    <row r="153" spans="1:8" ht="49.5" thickTop="1" thickBot="1">
      <c r="A153" s="155">
        <v>113</v>
      </c>
      <c r="B153" s="172">
        <v>662001</v>
      </c>
      <c r="C153" s="173" t="s">
        <v>1062</v>
      </c>
      <c r="D153" s="173" t="s">
        <v>1063</v>
      </c>
      <c r="E153" s="174">
        <v>0.1</v>
      </c>
      <c r="F153" s="175" t="s">
        <v>1064</v>
      </c>
      <c r="G153" s="294">
        <v>17160</v>
      </c>
      <c r="H153" s="294">
        <f t="shared" si="7"/>
        <v>143</v>
      </c>
    </row>
    <row r="154" spans="1:8" ht="97.5" thickTop="1" thickBot="1">
      <c r="A154" s="155">
        <v>114</v>
      </c>
      <c r="B154" s="172">
        <v>663002</v>
      </c>
      <c r="C154" s="173" t="s">
        <v>1065</v>
      </c>
      <c r="D154" s="173" t="s">
        <v>1066</v>
      </c>
      <c r="E154" s="174">
        <v>0.1</v>
      </c>
      <c r="F154" s="175" t="s">
        <v>833</v>
      </c>
      <c r="G154" s="294">
        <v>7803218.5099999998</v>
      </c>
      <c r="H154" s="294">
        <f t="shared" si="7"/>
        <v>65026.820916666671</v>
      </c>
    </row>
    <row r="155" spans="1:8" ht="49.5" thickTop="1" thickBot="1">
      <c r="A155" s="155">
        <v>115</v>
      </c>
      <c r="B155" s="160">
        <v>741001</v>
      </c>
      <c r="C155" s="161" t="s">
        <v>1067</v>
      </c>
      <c r="D155" s="161" t="s">
        <v>1068</v>
      </c>
      <c r="E155" s="162">
        <v>0.17</v>
      </c>
      <c r="F155" s="163" t="s">
        <v>1069</v>
      </c>
      <c r="G155" s="291">
        <v>90563</v>
      </c>
      <c r="H155" s="291">
        <f t="shared" si="7"/>
        <v>1282.9758333333334</v>
      </c>
    </row>
    <row r="156" spans="1:8" ht="49.5" thickTop="1" thickBot="1">
      <c r="A156" s="155">
        <v>116</v>
      </c>
      <c r="B156" s="160">
        <v>741002</v>
      </c>
      <c r="C156" s="161" t="s">
        <v>1070</v>
      </c>
      <c r="D156" s="161" t="s">
        <v>1068</v>
      </c>
      <c r="E156" s="162">
        <v>0.17</v>
      </c>
      <c r="F156" s="163" t="s">
        <v>1069</v>
      </c>
      <c r="G156" s="291">
        <v>70690</v>
      </c>
      <c r="H156" s="291">
        <f t="shared" si="7"/>
        <v>1001.4416666666667</v>
      </c>
    </row>
    <row r="157" spans="1:8" ht="49.5" thickTop="1" thickBot="1">
      <c r="A157" s="155">
        <v>117</v>
      </c>
      <c r="B157" s="160">
        <v>742001</v>
      </c>
      <c r="C157" s="161" t="s">
        <v>1071</v>
      </c>
      <c r="D157" s="161" t="s">
        <v>1068</v>
      </c>
      <c r="E157" s="162">
        <v>0.17</v>
      </c>
      <c r="F157" s="163" t="s">
        <v>1072</v>
      </c>
      <c r="G157" s="291">
        <v>58762.3</v>
      </c>
      <c r="H157" s="291">
        <f t="shared" si="7"/>
        <v>832.46591666666666</v>
      </c>
    </row>
    <row r="158" spans="1:8" ht="49.5" thickTop="1" thickBot="1">
      <c r="A158" s="155">
        <v>118</v>
      </c>
      <c r="B158" s="160">
        <v>741003</v>
      </c>
      <c r="C158" s="161" t="s">
        <v>1073</v>
      </c>
      <c r="D158" s="161" t="s">
        <v>1068</v>
      </c>
      <c r="E158" s="162">
        <v>0.17</v>
      </c>
      <c r="F158" s="163" t="s">
        <v>1074</v>
      </c>
      <c r="G158" s="291">
        <v>76105.83</v>
      </c>
      <c r="H158" s="291">
        <f t="shared" si="7"/>
        <v>1078.165925</v>
      </c>
    </row>
    <row r="159" spans="1:8" ht="49.5" thickTop="1" thickBot="1">
      <c r="A159" s="155">
        <v>119</v>
      </c>
      <c r="B159" s="160">
        <v>742002</v>
      </c>
      <c r="C159" s="161" t="s">
        <v>1075</v>
      </c>
      <c r="D159" s="161" t="s">
        <v>1076</v>
      </c>
      <c r="E159" s="162">
        <v>0.17</v>
      </c>
      <c r="F159" s="163" t="s">
        <v>1077</v>
      </c>
      <c r="G159" s="291">
        <v>56967.21</v>
      </c>
      <c r="H159" s="291">
        <f t="shared" si="7"/>
        <v>807.03547500000002</v>
      </c>
    </row>
    <row r="160" spans="1:8" ht="37.5" thickTop="1" thickBot="1">
      <c r="A160" s="155">
        <v>120</v>
      </c>
      <c r="B160" s="160">
        <v>741004</v>
      </c>
      <c r="C160" s="161" t="s">
        <v>1078</v>
      </c>
      <c r="D160" s="161" t="s">
        <v>1068</v>
      </c>
      <c r="E160" s="162">
        <v>0.17</v>
      </c>
      <c r="F160" s="163" t="s">
        <v>1079</v>
      </c>
      <c r="G160" s="291">
        <v>56847.8</v>
      </c>
      <c r="H160" s="291">
        <f t="shared" si="7"/>
        <v>805.34383333333346</v>
      </c>
    </row>
    <row r="161" spans="1:8" ht="25.5" thickTop="1" thickBot="1">
      <c r="A161" s="155">
        <v>121</v>
      </c>
      <c r="B161" s="160">
        <v>763001</v>
      </c>
      <c r="C161" s="161" t="s">
        <v>1080</v>
      </c>
      <c r="D161" s="161" t="s">
        <v>1081</v>
      </c>
      <c r="E161" s="162">
        <v>0.14000000000000001</v>
      </c>
      <c r="F161" s="163" t="s">
        <v>1082</v>
      </c>
      <c r="G161" s="291">
        <v>73352</v>
      </c>
      <c r="H161" s="291">
        <f t="shared" si="7"/>
        <v>855.77333333333343</v>
      </c>
    </row>
    <row r="162" spans="1:8" ht="25.5" thickTop="1" thickBot="1">
      <c r="A162" s="155">
        <v>122</v>
      </c>
      <c r="B162" s="160">
        <v>748001</v>
      </c>
      <c r="C162" s="161" t="s">
        <v>1083</v>
      </c>
      <c r="D162" s="161" t="s">
        <v>1084</v>
      </c>
      <c r="E162" s="162">
        <v>0.14000000000000001</v>
      </c>
      <c r="F162" s="163" t="s">
        <v>1082</v>
      </c>
      <c r="G162" s="291">
        <v>5900</v>
      </c>
      <c r="H162" s="291">
        <f t="shared" si="7"/>
        <v>68.833333333333343</v>
      </c>
    </row>
    <row r="163" spans="1:8" ht="37.5" thickTop="1" thickBot="1">
      <c r="A163" s="155">
        <v>123</v>
      </c>
      <c r="B163" s="160">
        <v>741005</v>
      </c>
      <c r="C163" s="161" t="s">
        <v>1085</v>
      </c>
      <c r="D163" s="161" t="s">
        <v>1086</v>
      </c>
      <c r="E163" s="162">
        <v>0.2</v>
      </c>
      <c r="F163" s="163" t="s">
        <v>1087</v>
      </c>
      <c r="G163" s="291">
        <v>152687.12</v>
      </c>
      <c r="H163" s="291">
        <f t="shared" si="7"/>
        <v>2544.7853333333333</v>
      </c>
    </row>
    <row r="164" spans="1:8" ht="37.5" thickTop="1" thickBot="1">
      <c r="A164" s="155">
        <v>124</v>
      </c>
      <c r="B164" s="160">
        <v>741006</v>
      </c>
      <c r="C164" s="161" t="s">
        <v>1088</v>
      </c>
      <c r="D164" s="161" t="s">
        <v>1086</v>
      </c>
      <c r="E164" s="162">
        <v>0.2</v>
      </c>
      <c r="F164" s="163" t="s">
        <v>1087</v>
      </c>
      <c r="G164" s="291">
        <v>105551.46</v>
      </c>
      <c r="H164" s="291">
        <f t="shared" si="7"/>
        <v>1759.191</v>
      </c>
    </row>
    <row r="165" spans="1:8" ht="37.5" thickTop="1" thickBot="1">
      <c r="A165" s="155">
        <v>125</v>
      </c>
      <c r="B165" s="160">
        <v>741007</v>
      </c>
      <c r="C165" s="161" t="s">
        <v>1089</v>
      </c>
      <c r="D165" s="161" t="s">
        <v>1086</v>
      </c>
      <c r="E165" s="162">
        <v>0.2</v>
      </c>
      <c r="F165" s="163" t="s">
        <v>1087</v>
      </c>
      <c r="G165" s="291">
        <v>107961.2</v>
      </c>
      <c r="H165" s="291">
        <f t="shared" si="7"/>
        <v>1799.3533333333335</v>
      </c>
    </row>
    <row r="166" spans="1:8" ht="37.5" thickTop="1" thickBot="1">
      <c r="A166" s="155">
        <v>126</v>
      </c>
      <c r="B166" s="160">
        <v>741008</v>
      </c>
      <c r="C166" s="161" t="s">
        <v>1090</v>
      </c>
      <c r="D166" s="161" t="s">
        <v>1086</v>
      </c>
      <c r="E166" s="162">
        <v>0.2</v>
      </c>
      <c r="F166" s="163" t="s">
        <v>1087</v>
      </c>
      <c r="G166" s="291">
        <v>89675.45</v>
      </c>
      <c r="H166" s="291">
        <f t="shared" si="7"/>
        <v>1494.5908333333334</v>
      </c>
    </row>
    <row r="167" spans="1:8" ht="25.5" thickTop="1" thickBot="1">
      <c r="A167" s="155">
        <v>127</v>
      </c>
      <c r="B167" s="176">
        <v>800001</v>
      </c>
      <c r="C167" s="177" t="s">
        <v>1091</v>
      </c>
      <c r="D167" s="177" t="s">
        <v>1092</v>
      </c>
      <c r="E167" s="178">
        <v>0.2</v>
      </c>
      <c r="F167" s="179" t="s">
        <v>958</v>
      </c>
      <c r="G167" s="295">
        <v>5179</v>
      </c>
      <c r="H167" s="295">
        <f t="shared" si="7"/>
        <v>86.316666666666663</v>
      </c>
    </row>
    <row r="168" spans="1:8" ht="25.5" thickTop="1" thickBot="1">
      <c r="A168" s="155">
        <v>128</v>
      </c>
      <c r="B168" s="176">
        <v>800002</v>
      </c>
      <c r="C168" s="177" t="s">
        <v>1091</v>
      </c>
      <c r="D168" s="177" t="s">
        <v>1092</v>
      </c>
      <c r="E168" s="178">
        <v>0.2</v>
      </c>
      <c r="F168" s="179" t="s">
        <v>1093</v>
      </c>
      <c r="G168" s="295">
        <v>3582</v>
      </c>
      <c r="H168" s="295">
        <f t="shared" si="7"/>
        <v>59.70000000000001</v>
      </c>
    </row>
    <row r="169" spans="1:8" ht="25.5" thickTop="1" thickBot="1">
      <c r="A169" s="155">
        <v>129</v>
      </c>
      <c r="B169" s="176">
        <v>800003</v>
      </c>
      <c r="C169" s="177" t="s">
        <v>1094</v>
      </c>
      <c r="D169" s="177" t="s">
        <v>1092</v>
      </c>
      <c r="E169" s="178">
        <v>0.2</v>
      </c>
      <c r="F169" s="179" t="s">
        <v>1095</v>
      </c>
      <c r="G169" s="295">
        <v>8645</v>
      </c>
      <c r="H169" s="295">
        <f t="shared" ref="H169:H207" si="8">G169*E169/12</f>
        <v>144.08333333333334</v>
      </c>
    </row>
    <row r="170" spans="1:8" ht="25.5" thickTop="1" thickBot="1">
      <c r="A170" s="155">
        <v>130</v>
      </c>
      <c r="B170" s="176">
        <v>800004</v>
      </c>
      <c r="C170" s="177" t="s">
        <v>1096</v>
      </c>
      <c r="D170" s="177" t="s">
        <v>1092</v>
      </c>
      <c r="E170" s="178">
        <v>0.2</v>
      </c>
      <c r="F170" s="179" t="s">
        <v>1095</v>
      </c>
      <c r="G170" s="295">
        <v>9521</v>
      </c>
      <c r="H170" s="295">
        <f t="shared" si="8"/>
        <v>158.68333333333334</v>
      </c>
    </row>
    <row r="171" spans="1:8" ht="25.5" thickTop="1" thickBot="1">
      <c r="A171" s="155">
        <v>131</v>
      </c>
      <c r="B171" s="176">
        <v>800005</v>
      </c>
      <c r="C171" s="177" t="s">
        <v>1097</v>
      </c>
      <c r="D171" s="177" t="s">
        <v>1092</v>
      </c>
      <c r="E171" s="178">
        <v>0.2</v>
      </c>
      <c r="F171" s="179" t="s">
        <v>1093</v>
      </c>
      <c r="G171" s="295">
        <v>4830</v>
      </c>
      <c r="H171" s="295">
        <f t="shared" si="8"/>
        <v>80.5</v>
      </c>
    </row>
    <row r="172" spans="1:8" ht="25.5" thickTop="1" thickBot="1">
      <c r="A172" s="155">
        <v>132</v>
      </c>
      <c r="B172" s="176">
        <v>800006</v>
      </c>
      <c r="C172" s="177" t="s">
        <v>1098</v>
      </c>
      <c r="D172" s="177" t="s">
        <v>1092</v>
      </c>
      <c r="E172" s="178">
        <v>0.2</v>
      </c>
      <c r="F172" s="179" t="s">
        <v>958</v>
      </c>
      <c r="G172" s="295">
        <v>8955</v>
      </c>
      <c r="H172" s="295">
        <f t="shared" si="8"/>
        <v>149.25</v>
      </c>
    </row>
    <row r="173" spans="1:8" ht="14.25" thickTop="1" thickBot="1">
      <c r="A173" s="155">
        <v>133</v>
      </c>
      <c r="B173" s="176">
        <v>800007</v>
      </c>
      <c r="C173" s="177" t="s">
        <v>1099</v>
      </c>
      <c r="D173" s="177" t="s">
        <v>1092</v>
      </c>
      <c r="E173" s="178">
        <v>0.2</v>
      </c>
      <c r="F173" s="179" t="s">
        <v>1100</v>
      </c>
      <c r="G173" s="295">
        <v>4808</v>
      </c>
      <c r="H173" s="295">
        <f t="shared" si="8"/>
        <v>80.13333333333334</v>
      </c>
    </row>
    <row r="174" spans="1:8" ht="25.5" thickTop="1" thickBot="1">
      <c r="A174" s="155">
        <v>134</v>
      </c>
      <c r="B174" s="176">
        <v>800008</v>
      </c>
      <c r="C174" s="177" t="s">
        <v>1101</v>
      </c>
      <c r="D174" s="177" t="s">
        <v>1092</v>
      </c>
      <c r="E174" s="178">
        <v>0.2</v>
      </c>
      <c r="F174" s="179" t="s">
        <v>1082</v>
      </c>
      <c r="G174" s="295">
        <v>3359</v>
      </c>
      <c r="H174" s="295">
        <f t="shared" si="8"/>
        <v>55.983333333333341</v>
      </c>
    </row>
    <row r="175" spans="1:8" ht="25.5" thickTop="1" thickBot="1">
      <c r="A175" s="155">
        <v>135</v>
      </c>
      <c r="B175" s="176">
        <v>800009</v>
      </c>
      <c r="C175" s="177" t="s">
        <v>1102</v>
      </c>
      <c r="D175" s="177" t="s">
        <v>1092</v>
      </c>
      <c r="E175" s="178">
        <v>0.2</v>
      </c>
      <c r="F175" s="179" t="s">
        <v>1103</v>
      </c>
      <c r="G175" s="295">
        <v>13757.19</v>
      </c>
      <c r="H175" s="295">
        <f t="shared" si="8"/>
        <v>229.28650000000002</v>
      </c>
    </row>
    <row r="176" spans="1:8" ht="14.25" thickTop="1" thickBot="1">
      <c r="A176" s="155">
        <v>136</v>
      </c>
      <c r="B176" s="176">
        <v>801001</v>
      </c>
      <c r="C176" s="177" t="s">
        <v>1104</v>
      </c>
      <c r="D176" s="177" t="s">
        <v>1105</v>
      </c>
      <c r="E176" s="178">
        <v>0.25</v>
      </c>
      <c r="F176" s="179" t="s">
        <v>997</v>
      </c>
      <c r="G176" s="295">
        <v>59064.95</v>
      </c>
      <c r="H176" s="295">
        <f t="shared" si="8"/>
        <v>1230.5197916666666</v>
      </c>
    </row>
    <row r="177" spans="1:8" ht="25.5" thickTop="1" thickBot="1">
      <c r="A177" s="155">
        <v>137</v>
      </c>
      <c r="B177" s="176">
        <v>801002</v>
      </c>
      <c r="C177" s="177" t="s">
        <v>1106</v>
      </c>
      <c r="D177" s="177" t="s">
        <v>1105</v>
      </c>
      <c r="E177" s="178">
        <v>0.25</v>
      </c>
      <c r="F177" s="179" t="s">
        <v>997</v>
      </c>
      <c r="G177" s="295">
        <v>25679.23</v>
      </c>
      <c r="H177" s="295">
        <f t="shared" si="8"/>
        <v>534.98395833333336</v>
      </c>
    </row>
    <row r="178" spans="1:8" ht="14.25" thickTop="1" thickBot="1">
      <c r="A178" s="155">
        <v>138</v>
      </c>
      <c r="B178" s="176">
        <v>801003</v>
      </c>
      <c r="C178" s="177" t="s">
        <v>1107</v>
      </c>
      <c r="D178" s="177" t="s">
        <v>1105</v>
      </c>
      <c r="E178" s="178">
        <v>0.25</v>
      </c>
      <c r="F178" s="179" t="s">
        <v>1108</v>
      </c>
      <c r="G178" s="295">
        <v>12722.08</v>
      </c>
      <c r="H178" s="295">
        <f t="shared" si="8"/>
        <v>265.04333333333335</v>
      </c>
    </row>
    <row r="179" spans="1:8" ht="14.25" thickTop="1" thickBot="1">
      <c r="A179" s="155">
        <v>139</v>
      </c>
      <c r="B179" s="176">
        <v>801004</v>
      </c>
      <c r="C179" s="177" t="s">
        <v>1109</v>
      </c>
      <c r="D179" s="177" t="s">
        <v>1105</v>
      </c>
      <c r="E179" s="178">
        <v>0.25</v>
      </c>
      <c r="F179" s="179" t="s">
        <v>1108</v>
      </c>
      <c r="G179" s="295">
        <v>8939.84</v>
      </c>
      <c r="H179" s="295">
        <f t="shared" si="8"/>
        <v>186.24666666666667</v>
      </c>
    </row>
    <row r="180" spans="1:8" ht="37.5" thickTop="1" thickBot="1">
      <c r="A180" s="155">
        <v>140</v>
      </c>
      <c r="B180" s="176">
        <v>801005</v>
      </c>
      <c r="C180" s="177" t="s">
        <v>1110</v>
      </c>
      <c r="D180" s="177" t="s">
        <v>1105</v>
      </c>
      <c r="E180" s="178">
        <v>0.25</v>
      </c>
      <c r="F180" s="179" t="s">
        <v>1108</v>
      </c>
      <c r="G180" s="295">
        <v>3825.22</v>
      </c>
      <c r="H180" s="295">
        <f t="shared" si="8"/>
        <v>79.692083333333329</v>
      </c>
    </row>
    <row r="181" spans="1:8" ht="25.5" thickTop="1" thickBot="1">
      <c r="A181" s="155">
        <v>141</v>
      </c>
      <c r="B181" s="176">
        <v>801006</v>
      </c>
      <c r="C181" s="177" t="s">
        <v>1111</v>
      </c>
      <c r="D181" s="177" t="s">
        <v>1105</v>
      </c>
      <c r="E181" s="178">
        <v>0.25</v>
      </c>
      <c r="F181" s="180" t="s">
        <v>1108</v>
      </c>
      <c r="G181" s="295">
        <v>7048.72</v>
      </c>
      <c r="H181" s="295">
        <f t="shared" si="8"/>
        <v>146.84833333333333</v>
      </c>
    </row>
    <row r="182" spans="1:8" ht="25.5" thickTop="1" thickBot="1">
      <c r="A182" s="155">
        <v>142</v>
      </c>
      <c r="B182" s="176">
        <v>803001</v>
      </c>
      <c r="C182" s="177" t="s">
        <v>1112</v>
      </c>
      <c r="D182" s="177" t="s">
        <v>1113</v>
      </c>
      <c r="E182" s="178">
        <v>0.14000000000000001</v>
      </c>
      <c r="F182" s="179" t="s">
        <v>1114</v>
      </c>
      <c r="G182" s="295">
        <v>38607.85</v>
      </c>
      <c r="H182" s="295">
        <f t="shared" si="8"/>
        <v>450.42491666666666</v>
      </c>
    </row>
    <row r="183" spans="1:8" ht="25.5" thickTop="1" thickBot="1">
      <c r="A183" s="155">
        <v>143</v>
      </c>
      <c r="B183" s="176">
        <v>803002</v>
      </c>
      <c r="C183" s="177" t="s">
        <v>1115</v>
      </c>
      <c r="D183" s="177" t="s">
        <v>1116</v>
      </c>
      <c r="E183" s="178">
        <v>0.14000000000000001</v>
      </c>
      <c r="F183" s="179" t="s">
        <v>1117</v>
      </c>
      <c r="G183" s="295">
        <v>8531</v>
      </c>
      <c r="H183" s="295">
        <f t="shared" si="8"/>
        <v>99.52833333333335</v>
      </c>
    </row>
    <row r="184" spans="1:8" ht="37.5" thickTop="1" thickBot="1">
      <c r="A184" s="155">
        <v>144</v>
      </c>
      <c r="B184" s="176">
        <v>803003</v>
      </c>
      <c r="C184" s="177" t="s">
        <v>1118</v>
      </c>
      <c r="D184" s="177" t="s">
        <v>1119</v>
      </c>
      <c r="E184" s="178">
        <v>0.14000000000000001</v>
      </c>
      <c r="F184" s="179" t="s">
        <v>1120</v>
      </c>
      <c r="G184" s="295">
        <f>8798+18854+1836.07+3153.27+3850+2950+2964+897.54</f>
        <v>43302.879999999997</v>
      </c>
      <c r="H184" s="295">
        <f t="shared" si="8"/>
        <v>505.20026666666672</v>
      </c>
    </row>
    <row r="185" spans="1:8" ht="25.5" thickTop="1" thickBot="1">
      <c r="A185" s="155">
        <v>145</v>
      </c>
      <c r="B185" s="176">
        <v>808001</v>
      </c>
      <c r="C185" s="177" t="s">
        <v>1121</v>
      </c>
      <c r="D185" s="177" t="s">
        <v>1122</v>
      </c>
      <c r="E185" s="178">
        <v>0.2</v>
      </c>
      <c r="F185" s="179" t="s">
        <v>1123</v>
      </c>
      <c r="G185" s="295">
        <v>4996.32</v>
      </c>
      <c r="H185" s="295">
        <f t="shared" si="8"/>
        <v>83.272000000000006</v>
      </c>
    </row>
    <row r="186" spans="1:8" ht="37.5" thickTop="1" thickBot="1">
      <c r="A186" s="155">
        <v>146</v>
      </c>
      <c r="B186" s="176">
        <v>808002</v>
      </c>
      <c r="C186" s="177" t="s">
        <v>1124</v>
      </c>
      <c r="D186" s="177" t="s">
        <v>1125</v>
      </c>
      <c r="E186" s="178">
        <v>0.2</v>
      </c>
      <c r="F186" s="179" t="s">
        <v>1126</v>
      </c>
      <c r="G186" s="295">
        <f>5704.14+2457.17</f>
        <v>8161.31</v>
      </c>
      <c r="H186" s="295">
        <f t="shared" si="8"/>
        <v>136.02183333333335</v>
      </c>
    </row>
    <row r="187" spans="1:8" ht="14.25" thickTop="1" thickBot="1">
      <c r="A187" s="155">
        <v>147</v>
      </c>
      <c r="B187" s="176">
        <v>808003</v>
      </c>
      <c r="C187" s="177" t="s">
        <v>1127</v>
      </c>
      <c r="D187" s="177" t="s">
        <v>1128</v>
      </c>
      <c r="E187" s="178">
        <v>0.14000000000000001</v>
      </c>
      <c r="F187" s="179" t="s">
        <v>1129</v>
      </c>
      <c r="G187" s="295">
        <v>7986.68</v>
      </c>
      <c r="H187" s="295">
        <f t="shared" si="8"/>
        <v>93.177933333333343</v>
      </c>
    </row>
    <row r="188" spans="1:8" ht="14.25" thickTop="1" thickBot="1">
      <c r="A188" s="155">
        <v>148</v>
      </c>
      <c r="B188" s="176">
        <v>808004</v>
      </c>
      <c r="C188" s="177" t="s">
        <v>1130</v>
      </c>
      <c r="D188" s="177" t="s">
        <v>1131</v>
      </c>
      <c r="E188" s="178">
        <v>0.14000000000000001</v>
      </c>
      <c r="F188" s="179" t="s">
        <v>1132</v>
      </c>
      <c r="G188" s="295">
        <v>3062.5</v>
      </c>
      <c r="H188" s="295">
        <f t="shared" si="8"/>
        <v>35.729166666666671</v>
      </c>
    </row>
    <row r="189" spans="1:8" ht="37.5" thickTop="1" thickBot="1">
      <c r="A189" s="155">
        <v>149</v>
      </c>
      <c r="B189" s="176">
        <v>808005</v>
      </c>
      <c r="C189" s="177" t="s">
        <v>1133</v>
      </c>
      <c r="D189" s="177" t="s">
        <v>1134</v>
      </c>
      <c r="E189" s="178">
        <v>0.2</v>
      </c>
      <c r="F189" s="179" t="s">
        <v>1135</v>
      </c>
      <c r="G189" s="295">
        <f>29719.9+23368.68+4455.5+6750</f>
        <v>64294.080000000002</v>
      </c>
      <c r="H189" s="295">
        <f t="shared" si="8"/>
        <v>1071.568</v>
      </c>
    </row>
    <row r="190" spans="1:8" ht="25.5" thickTop="1" thickBot="1">
      <c r="A190" s="155">
        <v>150</v>
      </c>
      <c r="B190" s="176">
        <v>808006</v>
      </c>
      <c r="C190" s="177" t="s">
        <v>1136</v>
      </c>
      <c r="D190" s="177" t="s">
        <v>1137</v>
      </c>
      <c r="E190" s="178">
        <v>0.2</v>
      </c>
      <c r="F190" s="179" t="s">
        <v>1138</v>
      </c>
      <c r="G190" s="295">
        <v>32940</v>
      </c>
      <c r="H190" s="295">
        <f t="shared" si="8"/>
        <v>549</v>
      </c>
    </row>
    <row r="191" spans="1:8" ht="37.5" thickTop="1" thickBot="1">
      <c r="A191" s="155">
        <v>151</v>
      </c>
      <c r="B191" s="176">
        <v>808007</v>
      </c>
      <c r="C191" s="177" t="s">
        <v>1139</v>
      </c>
      <c r="D191" s="177" t="s">
        <v>1122</v>
      </c>
      <c r="E191" s="178">
        <v>0.2</v>
      </c>
      <c r="F191" s="179" t="s">
        <v>1140</v>
      </c>
      <c r="G191" s="295">
        <f>72836.6+9500</f>
        <v>82336.600000000006</v>
      </c>
      <c r="H191" s="295">
        <f t="shared" si="8"/>
        <v>1372.2766666666669</v>
      </c>
    </row>
    <row r="192" spans="1:8" ht="37.5" thickTop="1" thickBot="1">
      <c r="A192" s="155">
        <v>152</v>
      </c>
      <c r="B192" s="176">
        <v>808008</v>
      </c>
      <c r="C192" s="177" t="s">
        <v>1141</v>
      </c>
      <c r="D192" s="177" t="s">
        <v>1142</v>
      </c>
      <c r="E192" s="178">
        <v>0.2</v>
      </c>
      <c r="F192" s="179" t="s">
        <v>1143</v>
      </c>
      <c r="G192" s="295">
        <f>9901+9901+9901+6413+3960+7710+7710+5283+6413</f>
        <v>67192</v>
      </c>
      <c r="H192" s="295">
        <f t="shared" si="8"/>
        <v>1119.8666666666668</v>
      </c>
    </row>
    <row r="193" spans="1:8" ht="25.5" thickTop="1" thickBot="1">
      <c r="A193" s="155">
        <v>153</v>
      </c>
      <c r="B193" s="176">
        <v>808009</v>
      </c>
      <c r="C193" s="177" t="s">
        <v>1144</v>
      </c>
      <c r="D193" s="177" t="s">
        <v>1145</v>
      </c>
      <c r="E193" s="178">
        <v>0.2</v>
      </c>
      <c r="F193" s="179" t="s">
        <v>1146</v>
      </c>
      <c r="G193" s="295">
        <v>5023.2</v>
      </c>
      <c r="H193" s="295">
        <f t="shared" si="8"/>
        <v>83.72</v>
      </c>
    </row>
    <row r="194" spans="1:8" ht="25.5" thickTop="1" thickBot="1">
      <c r="A194" s="155">
        <v>154</v>
      </c>
      <c r="B194" s="176">
        <v>808011</v>
      </c>
      <c r="C194" s="177" t="s">
        <v>1147</v>
      </c>
      <c r="D194" s="177" t="s">
        <v>1148</v>
      </c>
      <c r="E194" s="178">
        <v>0.2</v>
      </c>
      <c r="F194" s="181" t="s">
        <v>1149</v>
      </c>
      <c r="G194" s="295">
        <v>13847</v>
      </c>
      <c r="H194" s="295">
        <f t="shared" si="8"/>
        <v>230.78333333333333</v>
      </c>
    </row>
    <row r="195" spans="1:8" ht="25.5" thickTop="1" thickBot="1">
      <c r="A195" s="155">
        <v>155</v>
      </c>
      <c r="B195" s="176">
        <v>808012</v>
      </c>
      <c r="C195" s="177" t="s">
        <v>1150</v>
      </c>
      <c r="D195" s="177" t="s">
        <v>1148</v>
      </c>
      <c r="E195" s="178">
        <v>0.2</v>
      </c>
      <c r="F195" s="179" t="s">
        <v>1149</v>
      </c>
      <c r="G195" s="295">
        <v>9300</v>
      </c>
      <c r="H195" s="295">
        <f t="shared" si="8"/>
        <v>155</v>
      </c>
    </row>
    <row r="196" spans="1:8" ht="25.5" thickTop="1" thickBot="1">
      <c r="A196" s="155">
        <v>156</v>
      </c>
      <c r="B196" s="176">
        <v>808013</v>
      </c>
      <c r="C196" s="177" t="s">
        <v>1151</v>
      </c>
      <c r="D196" s="177" t="s">
        <v>1148</v>
      </c>
      <c r="E196" s="178">
        <v>0.2</v>
      </c>
      <c r="F196" s="179" t="s">
        <v>1149</v>
      </c>
      <c r="G196" s="295">
        <v>18740</v>
      </c>
      <c r="H196" s="295">
        <f t="shared" si="8"/>
        <v>312.33333333333331</v>
      </c>
    </row>
    <row r="197" spans="1:8" ht="25.5" thickTop="1" thickBot="1">
      <c r="A197" s="155">
        <v>157</v>
      </c>
      <c r="B197" s="176">
        <v>808014</v>
      </c>
      <c r="C197" s="177" t="s">
        <v>1152</v>
      </c>
      <c r="D197" s="177" t="s">
        <v>1148</v>
      </c>
      <c r="E197" s="178">
        <v>0.2</v>
      </c>
      <c r="F197" s="179" t="s">
        <v>1153</v>
      </c>
      <c r="G197" s="295">
        <v>6920</v>
      </c>
      <c r="H197" s="295">
        <f t="shared" si="8"/>
        <v>115.33333333333333</v>
      </c>
    </row>
    <row r="198" spans="1:8" ht="14.25" thickTop="1" thickBot="1">
      <c r="A198" s="155">
        <v>158</v>
      </c>
      <c r="B198" s="176">
        <v>808015</v>
      </c>
      <c r="C198" s="177" t="s">
        <v>1154</v>
      </c>
      <c r="D198" s="177" t="s">
        <v>1155</v>
      </c>
      <c r="E198" s="178">
        <v>0.2</v>
      </c>
      <c r="F198" s="179" t="s">
        <v>1156</v>
      </c>
      <c r="G198" s="295">
        <v>4740</v>
      </c>
      <c r="H198" s="295">
        <f t="shared" si="8"/>
        <v>79</v>
      </c>
    </row>
    <row r="199" spans="1:8" ht="25.5" thickTop="1" thickBot="1">
      <c r="A199" s="155">
        <v>159</v>
      </c>
      <c r="B199" s="176">
        <v>808010</v>
      </c>
      <c r="C199" s="177" t="s">
        <v>1157</v>
      </c>
      <c r="D199" s="177" t="s">
        <v>1158</v>
      </c>
      <c r="E199" s="178">
        <v>0.2</v>
      </c>
      <c r="F199" s="179" t="s">
        <v>833</v>
      </c>
      <c r="G199" s="295">
        <v>129017.27</v>
      </c>
      <c r="H199" s="295">
        <f t="shared" si="8"/>
        <v>2150.2878333333333</v>
      </c>
    </row>
    <row r="200" spans="1:8" ht="14.25" thickTop="1" thickBot="1">
      <c r="A200" s="155">
        <v>160</v>
      </c>
      <c r="B200" s="176">
        <v>808016</v>
      </c>
      <c r="C200" s="177" t="s">
        <v>1107</v>
      </c>
      <c r="D200" s="177" t="s">
        <v>1105</v>
      </c>
      <c r="E200" s="178">
        <v>0.25</v>
      </c>
      <c r="F200" s="179" t="s">
        <v>1159</v>
      </c>
      <c r="G200" s="295">
        <v>10114.94</v>
      </c>
      <c r="H200" s="295">
        <f t="shared" si="8"/>
        <v>210.72791666666669</v>
      </c>
    </row>
    <row r="201" spans="1:8" ht="14.25" thickTop="1" thickBot="1">
      <c r="A201" s="155">
        <v>161</v>
      </c>
      <c r="B201" s="176">
        <v>808017</v>
      </c>
      <c r="C201" s="177" t="s">
        <v>1107</v>
      </c>
      <c r="D201" s="177" t="s">
        <v>1105</v>
      </c>
      <c r="E201" s="178">
        <v>0.25</v>
      </c>
      <c r="F201" s="179" t="s">
        <v>1159</v>
      </c>
      <c r="G201" s="295">
        <v>6596.7</v>
      </c>
      <c r="H201" s="295">
        <f t="shared" si="8"/>
        <v>137.43125000000001</v>
      </c>
    </row>
    <row r="202" spans="1:8" ht="25.5" thickTop="1" thickBot="1">
      <c r="A202" s="155">
        <v>162</v>
      </c>
      <c r="B202" s="176">
        <v>808018</v>
      </c>
      <c r="C202" s="177" t="s">
        <v>1160</v>
      </c>
      <c r="D202" s="177" t="s">
        <v>1105</v>
      </c>
      <c r="E202" s="178">
        <v>0.25</v>
      </c>
      <c r="F202" s="179" t="s">
        <v>1159</v>
      </c>
      <c r="G202" s="295">
        <v>7960.02</v>
      </c>
      <c r="H202" s="295">
        <f t="shared" si="8"/>
        <v>165.83375000000001</v>
      </c>
    </row>
    <row r="203" spans="1:8" ht="14.25" thickTop="1" thickBot="1">
      <c r="A203" s="155">
        <v>163</v>
      </c>
      <c r="B203" s="176">
        <v>808019</v>
      </c>
      <c r="C203" s="177" t="s">
        <v>1161</v>
      </c>
      <c r="D203" s="177" t="s">
        <v>1162</v>
      </c>
      <c r="E203" s="178">
        <v>0.2</v>
      </c>
      <c r="F203" s="179" t="s">
        <v>1163</v>
      </c>
      <c r="G203" s="295">
        <v>5563.46</v>
      </c>
      <c r="H203" s="295">
        <f t="shared" si="8"/>
        <v>92.724333333333334</v>
      </c>
    </row>
    <row r="204" spans="1:8" ht="49.5" thickTop="1" thickBot="1">
      <c r="A204" s="155">
        <v>164</v>
      </c>
      <c r="B204" s="422" t="s">
        <v>1164</v>
      </c>
      <c r="C204" s="161" t="s">
        <v>1165</v>
      </c>
      <c r="D204" s="161" t="s">
        <v>1166</v>
      </c>
      <c r="E204" s="162">
        <v>0.2</v>
      </c>
      <c r="F204" s="163" t="s">
        <v>1167</v>
      </c>
      <c r="G204" s="291">
        <f>15951.94+3880.8+9993.2+14906.14+3987.78+3105.27+19879.42</f>
        <v>71704.549999999988</v>
      </c>
      <c r="H204" s="291">
        <f t="shared" si="8"/>
        <v>1195.0758333333331</v>
      </c>
    </row>
    <row r="205" spans="1:8" ht="49.5" thickTop="1" thickBot="1">
      <c r="A205" s="155">
        <v>165</v>
      </c>
      <c r="B205" s="422"/>
      <c r="C205" s="161" t="s">
        <v>1168</v>
      </c>
      <c r="D205" s="161" t="s">
        <v>1169</v>
      </c>
      <c r="E205" s="162">
        <v>0.2</v>
      </c>
      <c r="F205" s="163" t="s">
        <v>1170</v>
      </c>
      <c r="G205" s="291">
        <f>2236+3545+15703+8791.5+5970+3710</f>
        <v>39955.5</v>
      </c>
      <c r="H205" s="291">
        <f t="shared" si="8"/>
        <v>665.92500000000007</v>
      </c>
    </row>
    <row r="206" spans="1:8" ht="49.5" thickTop="1" thickBot="1">
      <c r="A206" s="155">
        <v>166</v>
      </c>
      <c r="B206" s="422"/>
      <c r="C206" s="161" t="s">
        <v>1171</v>
      </c>
      <c r="D206" s="161" t="s">
        <v>1172</v>
      </c>
      <c r="E206" s="162">
        <v>0.2</v>
      </c>
      <c r="F206" s="163" t="s">
        <v>1173</v>
      </c>
      <c r="G206" s="291">
        <f>266990.78+607.97</f>
        <v>267598.75</v>
      </c>
      <c r="H206" s="291">
        <f t="shared" si="8"/>
        <v>4459.979166666667</v>
      </c>
    </row>
    <row r="207" spans="1:8" ht="37.5" thickTop="1" thickBot="1">
      <c r="A207" s="155">
        <v>167</v>
      </c>
      <c r="B207" s="422"/>
      <c r="C207" s="161" t="s">
        <v>1174</v>
      </c>
      <c r="D207" s="161" t="s">
        <v>1175</v>
      </c>
      <c r="E207" s="162">
        <v>0.2</v>
      </c>
      <c r="F207" s="163" t="s">
        <v>1173</v>
      </c>
      <c r="G207" s="291">
        <f>581369.42+8954.07</f>
        <v>590323.49</v>
      </c>
      <c r="H207" s="291">
        <f t="shared" si="8"/>
        <v>9838.7248333333337</v>
      </c>
    </row>
    <row r="208" spans="1:8" ht="13.5" thickTop="1">
      <c r="A208" s="182"/>
      <c r="B208" s="183"/>
      <c r="C208" s="184"/>
      <c r="D208" s="184"/>
      <c r="E208" s="148"/>
      <c r="F208" s="149"/>
      <c r="G208" s="185">
        <f>SUM(G39:G207)</f>
        <v>570509997.17000067</v>
      </c>
      <c r="H208" s="185">
        <f>SUM(H39:H207)</f>
        <v>2932137.9198374995</v>
      </c>
    </row>
    <row r="209" spans="7:8" ht="13.5" thickBot="1"/>
    <row r="210" spans="7:8" ht="16.5" thickBot="1">
      <c r="G210" s="296" t="s">
        <v>1176</v>
      </c>
      <c r="H210" s="297">
        <f>(H208*12)/G208</f>
        <v>6.1674037637530418E-2</v>
      </c>
    </row>
  </sheetData>
  <mergeCells count="1">
    <mergeCell ref="B204:B207"/>
  </mergeCells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P93"/>
  <sheetViews>
    <sheetView view="pageBreakPreview" topLeftCell="B65" zoomScale="75" zoomScaleNormal="75" workbookViewId="0">
      <selection activeCell="J27" sqref="J27"/>
    </sheetView>
  </sheetViews>
  <sheetFormatPr defaultRowHeight="12.75"/>
  <cols>
    <col min="1" max="1" width="0" hidden="1" customWidth="1"/>
    <col min="2" max="2" width="42.140625" style="192" customWidth="1"/>
    <col min="3" max="3" width="10.42578125" bestFit="1" customWidth="1"/>
    <col min="4" max="14" width="10" bestFit="1" customWidth="1"/>
    <col min="15" max="15" width="25.42578125" customWidth="1"/>
    <col min="16" max="16" width="19.85546875" customWidth="1"/>
    <col min="30" max="30" width="33.140625" customWidth="1"/>
  </cols>
  <sheetData>
    <row r="1" spans="1:42">
      <c r="B1" s="133" t="s">
        <v>502</v>
      </c>
      <c r="P1" s="2" t="s">
        <v>606</v>
      </c>
      <c r="AD1" s="2" t="s">
        <v>607</v>
      </c>
    </row>
    <row r="2" spans="1:42" ht="18.600000000000001" customHeight="1">
      <c r="B2" s="259" t="s">
        <v>8</v>
      </c>
      <c r="P2" s="2"/>
      <c r="AD2" s="2"/>
    </row>
    <row r="3" spans="1:42" ht="18">
      <c r="B3" s="301" t="s">
        <v>10</v>
      </c>
    </row>
    <row r="4" spans="1:42">
      <c r="B4" s="391"/>
      <c r="C4" s="12"/>
      <c r="P4" s="9"/>
      <c r="Q4" s="12" t="s">
        <v>132</v>
      </c>
      <c r="AD4" s="9"/>
      <c r="AE4" s="12" t="s">
        <v>132</v>
      </c>
    </row>
    <row r="5" spans="1:42">
      <c r="B5" s="391"/>
      <c r="C5" s="23"/>
      <c r="P5" s="9"/>
      <c r="Q5" s="23"/>
      <c r="AD5" s="9"/>
      <c r="AE5" s="23"/>
    </row>
    <row r="6" spans="1:42">
      <c r="B6" s="314"/>
      <c r="C6" s="9"/>
      <c r="D6" s="9"/>
      <c r="E6" s="9"/>
      <c r="F6" s="9"/>
      <c r="P6" s="41" t="s">
        <v>211</v>
      </c>
      <c r="Q6" s="15" t="s">
        <v>608</v>
      </c>
      <c r="R6" s="15"/>
      <c r="S6" s="15"/>
      <c r="T6" s="15"/>
      <c r="AD6" s="41" t="s">
        <v>211</v>
      </c>
      <c r="AE6" s="15" t="s">
        <v>608</v>
      </c>
      <c r="AF6" s="15"/>
      <c r="AG6" s="15"/>
      <c r="AH6" s="15"/>
    </row>
    <row r="7" spans="1:42">
      <c r="B7" s="339" t="s">
        <v>1230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1" t="s">
        <v>60</v>
      </c>
      <c r="N7" s="1" t="s">
        <v>61</v>
      </c>
      <c r="Q7" s="1" t="s">
        <v>50</v>
      </c>
      <c r="R7" s="1" t="s">
        <v>51</v>
      </c>
      <c r="S7" s="1" t="s">
        <v>52</v>
      </c>
      <c r="T7" s="1" t="s">
        <v>53</v>
      </c>
      <c r="U7" s="1" t="s">
        <v>54</v>
      </c>
      <c r="V7" s="1" t="s">
        <v>55</v>
      </c>
      <c r="W7" s="1" t="s">
        <v>56</v>
      </c>
      <c r="X7" s="1" t="s">
        <v>57</v>
      </c>
      <c r="Y7" s="1" t="s">
        <v>58</v>
      </c>
      <c r="Z7" s="1" t="s">
        <v>59</v>
      </c>
      <c r="AA7" s="1" t="s">
        <v>60</v>
      </c>
      <c r="AB7" s="1" t="s">
        <v>61</v>
      </c>
      <c r="AE7" s="1" t="s">
        <v>50</v>
      </c>
      <c r="AF7" s="1" t="s">
        <v>51</v>
      </c>
      <c r="AG7" s="1" t="s">
        <v>52</v>
      </c>
      <c r="AH7" s="1" t="s">
        <v>53</v>
      </c>
      <c r="AI7" s="1" t="s">
        <v>54</v>
      </c>
      <c r="AJ7" s="1" t="s">
        <v>55</v>
      </c>
      <c r="AK7" s="1" t="s">
        <v>56</v>
      </c>
      <c r="AL7" s="1" t="s">
        <v>57</v>
      </c>
      <c r="AM7" s="1" t="s">
        <v>58</v>
      </c>
      <c r="AN7" s="1" t="s">
        <v>59</v>
      </c>
      <c r="AO7" s="1" t="s">
        <v>60</v>
      </c>
      <c r="AP7" s="1" t="s">
        <v>61</v>
      </c>
    </row>
    <row r="8" spans="1:42">
      <c r="A8" t="s">
        <v>309</v>
      </c>
      <c r="B8" s="192" t="s">
        <v>107</v>
      </c>
      <c r="C8" s="46">
        <f>6257.71*1.046</f>
        <v>6545.56466</v>
      </c>
      <c r="D8" s="18">
        <f>C8</f>
        <v>6545.56466</v>
      </c>
      <c r="E8" s="18">
        <f t="shared" ref="E8:N8" si="0">D8</f>
        <v>6545.56466</v>
      </c>
      <c r="F8" s="18">
        <f t="shared" si="0"/>
        <v>6545.56466</v>
      </c>
      <c r="G8" s="18">
        <f t="shared" si="0"/>
        <v>6545.56466</v>
      </c>
      <c r="H8" s="18">
        <f t="shared" si="0"/>
        <v>6545.56466</v>
      </c>
      <c r="I8" s="18">
        <f t="shared" si="0"/>
        <v>6545.56466</v>
      </c>
      <c r="J8" s="18">
        <f t="shared" si="0"/>
        <v>6545.56466</v>
      </c>
      <c r="K8" s="18">
        <f t="shared" si="0"/>
        <v>6545.56466</v>
      </c>
      <c r="L8" s="18">
        <f t="shared" si="0"/>
        <v>6545.56466</v>
      </c>
      <c r="M8" s="18">
        <f t="shared" si="0"/>
        <v>6545.56466</v>
      </c>
      <c r="N8" s="18">
        <f t="shared" si="0"/>
        <v>6545.56466</v>
      </c>
      <c r="O8" s="3"/>
      <c r="P8" t="s">
        <v>107</v>
      </c>
      <c r="Q8" s="50">
        <f>6546*1.04</f>
        <v>6807.84</v>
      </c>
      <c r="R8" s="18">
        <f>Q8</f>
        <v>6807.84</v>
      </c>
      <c r="S8" s="18">
        <f t="shared" ref="S8:AB8" si="1">R8</f>
        <v>6807.84</v>
      </c>
      <c r="T8" s="18">
        <f t="shared" si="1"/>
        <v>6807.84</v>
      </c>
      <c r="U8" s="18">
        <f t="shared" si="1"/>
        <v>6807.84</v>
      </c>
      <c r="V8" s="18">
        <f t="shared" si="1"/>
        <v>6807.84</v>
      </c>
      <c r="W8" s="18">
        <f t="shared" si="1"/>
        <v>6807.84</v>
      </c>
      <c r="X8" s="18">
        <f t="shared" si="1"/>
        <v>6807.84</v>
      </c>
      <c r="Y8" s="18">
        <f t="shared" si="1"/>
        <v>6807.84</v>
      </c>
      <c r="Z8" s="18">
        <f t="shared" si="1"/>
        <v>6807.84</v>
      </c>
      <c r="AA8" s="18">
        <f t="shared" si="1"/>
        <v>6807.84</v>
      </c>
      <c r="AB8" s="18">
        <f t="shared" si="1"/>
        <v>6807.84</v>
      </c>
      <c r="AD8" t="s">
        <v>107</v>
      </c>
      <c r="AE8" s="50">
        <f>6808.71*1.04</f>
        <v>7081.0583999999999</v>
      </c>
      <c r="AF8" s="18">
        <f>AE8</f>
        <v>7081.0583999999999</v>
      </c>
      <c r="AG8" s="18">
        <f t="shared" ref="AG8:AP8" si="2">AF8</f>
        <v>7081.0583999999999</v>
      </c>
      <c r="AH8" s="18">
        <f t="shared" si="2"/>
        <v>7081.0583999999999</v>
      </c>
      <c r="AI8" s="18">
        <f t="shared" si="2"/>
        <v>7081.0583999999999</v>
      </c>
      <c r="AJ8" s="18">
        <f t="shared" si="2"/>
        <v>7081.0583999999999</v>
      </c>
      <c r="AK8" s="18">
        <f t="shared" si="2"/>
        <v>7081.0583999999999</v>
      </c>
      <c r="AL8" s="18">
        <f t="shared" si="2"/>
        <v>7081.0583999999999</v>
      </c>
      <c r="AM8" s="18">
        <f t="shared" si="2"/>
        <v>7081.0583999999999</v>
      </c>
      <c r="AN8" s="18">
        <f t="shared" si="2"/>
        <v>7081.0583999999999</v>
      </c>
      <c r="AO8" s="18">
        <f t="shared" si="2"/>
        <v>7081.0583999999999</v>
      </c>
      <c r="AP8" s="18">
        <f t="shared" si="2"/>
        <v>7081.0583999999999</v>
      </c>
    </row>
    <row r="9" spans="1:42">
      <c r="A9" t="s">
        <v>310</v>
      </c>
      <c r="B9" s="192" t="s">
        <v>108</v>
      </c>
      <c r="C9" s="46">
        <f>56319.36*1.046</f>
        <v>58910.050560000003</v>
      </c>
      <c r="D9" s="18">
        <f t="shared" ref="D9:N9" si="3">C9</f>
        <v>58910.050560000003</v>
      </c>
      <c r="E9" s="18">
        <f t="shared" si="3"/>
        <v>58910.050560000003</v>
      </c>
      <c r="F9" s="18">
        <f t="shared" si="3"/>
        <v>58910.050560000003</v>
      </c>
      <c r="G9" s="18">
        <f t="shared" si="3"/>
        <v>58910.050560000003</v>
      </c>
      <c r="H9" s="18">
        <f t="shared" si="3"/>
        <v>58910.050560000003</v>
      </c>
      <c r="I9" s="18">
        <f t="shared" si="3"/>
        <v>58910.050560000003</v>
      </c>
      <c r="J9" s="18">
        <f t="shared" si="3"/>
        <v>58910.050560000003</v>
      </c>
      <c r="K9" s="18">
        <f t="shared" si="3"/>
        <v>58910.050560000003</v>
      </c>
      <c r="L9" s="18">
        <f t="shared" si="3"/>
        <v>58910.050560000003</v>
      </c>
      <c r="M9" s="18">
        <f t="shared" si="3"/>
        <v>58910.050560000003</v>
      </c>
      <c r="N9" s="18">
        <f t="shared" si="3"/>
        <v>58910.050560000003</v>
      </c>
      <c r="O9" s="3"/>
      <c r="P9" t="s">
        <v>108</v>
      </c>
      <c r="Q9" s="50">
        <f>58910*1.04</f>
        <v>61266.400000000001</v>
      </c>
      <c r="R9" s="18">
        <f t="shared" ref="R9:AB9" si="4">Q9</f>
        <v>61266.400000000001</v>
      </c>
      <c r="S9" s="18">
        <f t="shared" si="4"/>
        <v>61266.400000000001</v>
      </c>
      <c r="T9" s="18">
        <f t="shared" si="4"/>
        <v>61266.400000000001</v>
      </c>
      <c r="U9" s="18">
        <f t="shared" si="4"/>
        <v>61266.400000000001</v>
      </c>
      <c r="V9" s="18">
        <f t="shared" si="4"/>
        <v>61266.400000000001</v>
      </c>
      <c r="W9" s="18">
        <f t="shared" si="4"/>
        <v>61266.400000000001</v>
      </c>
      <c r="X9" s="18">
        <f t="shared" si="4"/>
        <v>61266.400000000001</v>
      </c>
      <c r="Y9" s="18">
        <f t="shared" si="4"/>
        <v>61266.400000000001</v>
      </c>
      <c r="Z9" s="18">
        <f t="shared" si="4"/>
        <v>61266.400000000001</v>
      </c>
      <c r="AA9" s="18">
        <f t="shared" si="4"/>
        <v>61266.400000000001</v>
      </c>
      <c r="AB9" s="18">
        <f t="shared" si="4"/>
        <v>61266.400000000001</v>
      </c>
      <c r="AD9" t="s">
        <v>108</v>
      </c>
      <c r="AE9" s="50">
        <f>61266*1.04</f>
        <v>63716.639999999999</v>
      </c>
      <c r="AF9" s="18">
        <f t="shared" ref="AF9:AP9" si="5">AE9</f>
        <v>63716.639999999999</v>
      </c>
      <c r="AG9" s="18">
        <f t="shared" si="5"/>
        <v>63716.639999999999</v>
      </c>
      <c r="AH9" s="18">
        <f t="shared" si="5"/>
        <v>63716.639999999999</v>
      </c>
      <c r="AI9" s="18">
        <f t="shared" si="5"/>
        <v>63716.639999999999</v>
      </c>
      <c r="AJ9" s="18">
        <f t="shared" si="5"/>
        <v>63716.639999999999</v>
      </c>
      <c r="AK9" s="18">
        <f t="shared" si="5"/>
        <v>63716.639999999999</v>
      </c>
      <c r="AL9" s="18">
        <f t="shared" si="5"/>
        <v>63716.639999999999</v>
      </c>
      <c r="AM9" s="18">
        <f t="shared" si="5"/>
        <v>63716.639999999999</v>
      </c>
      <c r="AN9" s="18">
        <f t="shared" si="5"/>
        <v>63716.639999999999</v>
      </c>
      <c r="AO9" s="18">
        <f t="shared" si="5"/>
        <v>63716.639999999999</v>
      </c>
      <c r="AP9" s="18">
        <f t="shared" si="5"/>
        <v>63716.639999999999</v>
      </c>
    </row>
    <row r="10" spans="1:42">
      <c r="A10" t="s">
        <v>316</v>
      </c>
      <c r="B10" s="192" t="s">
        <v>109</v>
      </c>
      <c r="C10" s="46">
        <v>5000</v>
      </c>
      <c r="D10" s="18">
        <f t="shared" ref="D10:N10" si="6">C10</f>
        <v>5000</v>
      </c>
      <c r="E10" s="18">
        <f t="shared" si="6"/>
        <v>5000</v>
      </c>
      <c r="F10" s="18">
        <f t="shared" si="6"/>
        <v>5000</v>
      </c>
      <c r="G10" s="18">
        <f t="shared" si="6"/>
        <v>5000</v>
      </c>
      <c r="H10" s="18">
        <f t="shared" si="6"/>
        <v>5000</v>
      </c>
      <c r="I10" s="18">
        <f t="shared" si="6"/>
        <v>5000</v>
      </c>
      <c r="J10" s="18">
        <f t="shared" si="6"/>
        <v>5000</v>
      </c>
      <c r="K10" s="18">
        <f t="shared" si="6"/>
        <v>5000</v>
      </c>
      <c r="L10" s="18">
        <f t="shared" si="6"/>
        <v>5000</v>
      </c>
      <c r="M10" s="18">
        <f t="shared" si="6"/>
        <v>5000</v>
      </c>
      <c r="N10" s="18">
        <f t="shared" si="6"/>
        <v>5000</v>
      </c>
      <c r="O10" s="3" t="s">
        <v>515</v>
      </c>
      <c r="P10" t="s">
        <v>109</v>
      </c>
      <c r="Q10" s="50">
        <v>1000</v>
      </c>
      <c r="R10" s="18">
        <f t="shared" ref="R10:AB10" si="7">Q10</f>
        <v>1000</v>
      </c>
      <c r="S10" s="18">
        <f t="shared" si="7"/>
        <v>1000</v>
      </c>
      <c r="T10" s="18">
        <f t="shared" si="7"/>
        <v>1000</v>
      </c>
      <c r="U10" s="18">
        <f t="shared" si="7"/>
        <v>1000</v>
      </c>
      <c r="V10" s="18">
        <f t="shared" si="7"/>
        <v>1000</v>
      </c>
      <c r="W10" s="18">
        <f t="shared" si="7"/>
        <v>1000</v>
      </c>
      <c r="X10" s="18">
        <f t="shared" si="7"/>
        <v>1000</v>
      </c>
      <c r="Y10" s="18">
        <f t="shared" si="7"/>
        <v>1000</v>
      </c>
      <c r="Z10" s="18">
        <f t="shared" si="7"/>
        <v>1000</v>
      </c>
      <c r="AA10" s="18">
        <f t="shared" si="7"/>
        <v>1000</v>
      </c>
      <c r="AB10" s="18">
        <f t="shared" si="7"/>
        <v>1000</v>
      </c>
      <c r="AD10" t="s">
        <v>109</v>
      </c>
      <c r="AE10" s="50">
        <v>1000</v>
      </c>
      <c r="AF10" s="18">
        <f t="shared" ref="AF10:AP10" si="8">AE10</f>
        <v>1000</v>
      </c>
      <c r="AG10" s="18">
        <f t="shared" si="8"/>
        <v>1000</v>
      </c>
      <c r="AH10" s="18">
        <f t="shared" si="8"/>
        <v>1000</v>
      </c>
      <c r="AI10" s="18">
        <f t="shared" si="8"/>
        <v>1000</v>
      </c>
      <c r="AJ10" s="18">
        <f t="shared" si="8"/>
        <v>1000</v>
      </c>
      <c r="AK10" s="18">
        <f t="shared" si="8"/>
        <v>1000</v>
      </c>
      <c r="AL10" s="18">
        <f t="shared" si="8"/>
        <v>1000</v>
      </c>
      <c r="AM10" s="18">
        <f t="shared" si="8"/>
        <v>1000</v>
      </c>
      <c r="AN10" s="18">
        <f t="shared" si="8"/>
        <v>1000</v>
      </c>
      <c r="AO10" s="18">
        <f t="shared" si="8"/>
        <v>1000</v>
      </c>
      <c r="AP10" s="18">
        <f t="shared" si="8"/>
        <v>1000</v>
      </c>
    </row>
    <row r="11" spans="1:42">
      <c r="A11" t="s">
        <v>315</v>
      </c>
      <c r="B11" s="192" t="s">
        <v>110</v>
      </c>
      <c r="C11" s="46">
        <v>15000</v>
      </c>
      <c r="D11" s="18">
        <f t="shared" ref="D11:N11" si="9">C11</f>
        <v>15000</v>
      </c>
      <c r="E11" s="18">
        <f t="shared" si="9"/>
        <v>15000</v>
      </c>
      <c r="F11" s="18">
        <f t="shared" si="9"/>
        <v>15000</v>
      </c>
      <c r="G11" s="18">
        <f t="shared" si="9"/>
        <v>15000</v>
      </c>
      <c r="H11" s="18">
        <f t="shared" si="9"/>
        <v>15000</v>
      </c>
      <c r="I11" s="18">
        <f t="shared" si="9"/>
        <v>15000</v>
      </c>
      <c r="J11" s="18">
        <f t="shared" si="9"/>
        <v>15000</v>
      </c>
      <c r="K11" s="18">
        <f t="shared" si="9"/>
        <v>15000</v>
      </c>
      <c r="L11" s="18">
        <f t="shared" si="9"/>
        <v>15000</v>
      </c>
      <c r="M11" s="18">
        <f t="shared" si="9"/>
        <v>15000</v>
      </c>
      <c r="N11" s="18">
        <f t="shared" si="9"/>
        <v>15000</v>
      </c>
      <c r="O11" s="3"/>
      <c r="P11" t="s">
        <v>110</v>
      </c>
      <c r="Q11" s="50">
        <v>1000</v>
      </c>
      <c r="R11" s="18">
        <f t="shared" ref="R11:AB11" si="10">Q11</f>
        <v>1000</v>
      </c>
      <c r="S11" s="18">
        <f t="shared" si="10"/>
        <v>1000</v>
      </c>
      <c r="T11" s="18">
        <f t="shared" si="10"/>
        <v>1000</v>
      </c>
      <c r="U11" s="18">
        <f t="shared" si="10"/>
        <v>1000</v>
      </c>
      <c r="V11" s="18">
        <f t="shared" si="10"/>
        <v>1000</v>
      </c>
      <c r="W11" s="18">
        <f t="shared" si="10"/>
        <v>1000</v>
      </c>
      <c r="X11" s="18">
        <f t="shared" si="10"/>
        <v>1000</v>
      </c>
      <c r="Y11" s="18">
        <f t="shared" si="10"/>
        <v>1000</v>
      </c>
      <c r="Z11" s="18">
        <f t="shared" si="10"/>
        <v>1000</v>
      </c>
      <c r="AA11" s="18">
        <f t="shared" si="10"/>
        <v>1000</v>
      </c>
      <c r="AB11" s="18">
        <f t="shared" si="10"/>
        <v>1000</v>
      </c>
      <c r="AD11" t="s">
        <v>110</v>
      </c>
      <c r="AE11" s="50">
        <v>1000</v>
      </c>
      <c r="AF11" s="18">
        <f t="shared" ref="AF11:AP11" si="11">AE11</f>
        <v>1000</v>
      </c>
      <c r="AG11" s="18">
        <f t="shared" si="11"/>
        <v>1000</v>
      </c>
      <c r="AH11" s="18">
        <f t="shared" si="11"/>
        <v>1000</v>
      </c>
      <c r="AI11" s="18">
        <f t="shared" si="11"/>
        <v>1000</v>
      </c>
      <c r="AJ11" s="18">
        <f t="shared" si="11"/>
        <v>1000</v>
      </c>
      <c r="AK11" s="18">
        <f t="shared" si="11"/>
        <v>1000</v>
      </c>
      <c r="AL11" s="18">
        <f t="shared" si="11"/>
        <v>1000</v>
      </c>
      <c r="AM11" s="18">
        <f t="shared" si="11"/>
        <v>1000</v>
      </c>
      <c r="AN11" s="18">
        <f t="shared" si="11"/>
        <v>1000</v>
      </c>
      <c r="AO11" s="18">
        <f t="shared" si="11"/>
        <v>1000</v>
      </c>
      <c r="AP11" s="18">
        <f t="shared" si="11"/>
        <v>1000</v>
      </c>
    </row>
    <row r="12" spans="1:42" hidden="1">
      <c r="B12" s="192" t="s">
        <v>96</v>
      </c>
      <c r="C12" s="46">
        <v>0</v>
      </c>
      <c r="D12" s="18">
        <f t="shared" ref="D12:N12" si="12">C12</f>
        <v>0</v>
      </c>
      <c r="E12" s="18">
        <f t="shared" si="12"/>
        <v>0</v>
      </c>
      <c r="F12" s="18">
        <f t="shared" si="12"/>
        <v>0</v>
      </c>
      <c r="G12" s="18">
        <f t="shared" si="12"/>
        <v>0</v>
      </c>
      <c r="H12" s="18">
        <f t="shared" si="12"/>
        <v>0</v>
      </c>
      <c r="I12" s="18">
        <f t="shared" si="12"/>
        <v>0</v>
      </c>
      <c r="J12" s="18">
        <f t="shared" si="12"/>
        <v>0</v>
      </c>
      <c r="K12" s="18">
        <f t="shared" si="12"/>
        <v>0</v>
      </c>
      <c r="L12" s="18">
        <f t="shared" si="12"/>
        <v>0</v>
      </c>
      <c r="M12" s="18">
        <f t="shared" si="12"/>
        <v>0</v>
      </c>
      <c r="N12" s="18">
        <f t="shared" si="12"/>
        <v>0</v>
      </c>
      <c r="O12" s="3"/>
      <c r="P12" t="s">
        <v>96</v>
      </c>
      <c r="Q12" s="50">
        <v>0</v>
      </c>
      <c r="R12" s="18">
        <f t="shared" ref="R12:AB12" si="13">Q12</f>
        <v>0</v>
      </c>
      <c r="S12" s="18">
        <f t="shared" si="13"/>
        <v>0</v>
      </c>
      <c r="T12" s="18">
        <f t="shared" si="13"/>
        <v>0</v>
      </c>
      <c r="U12" s="18">
        <f t="shared" si="13"/>
        <v>0</v>
      </c>
      <c r="V12" s="18">
        <f t="shared" si="13"/>
        <v>0</v>
      </c>
      <c r="W12" s="18">
        <f t="shared" si="13"/>
        <v>0</v>
      </c>
      <c r="X12" s="18">
        <f t="shared" si="13"/>
        <v>0</v>
      </c>
      <c r="Y12" s="18">
        <f t="shared" si="13"/>
        <v>0</v>
      </c>
      <c r="Z12" s="18">
        <f t="shared" si="13"/>
        <v>0</v>
      </c>
      <c r="AA12" s="18">
        <f t="shared" si="13"/>
        <v>0</v>
      </c>
      <c r="AB12" s="18">
        <f t="shared" si="13"/>
        <v>0</v>
      </c>
      <c r="AD12" t="s">
        <v>96</v>
      </c>
      <c r="AE12" s="50">
        <v>0</v>
      </c>
      <c r="AF12" s="18">
        <f t="shared" ref="AF12:AP12" si="14">AE12</f>
        <v>0</v>
      </c>
      <c r="AG12" s="18">
        <f t="shared" si="14"/>
        <v>0</v>
      </c>
      <c r="AH12" s="18">
        <f t="shared" si="14"/>
        <v>0</v>
      </c>
      <c r="AI12" s="18">
        <f t="shared" si="14"/>
        <v>0</v>
      </c>
      <c r="AJ12" s="18">
        <f t="shared" si="14"/>
        <v>0</v>
      </c>
      <c r="AK12" s="18">
        <f t="shared" si="14"/>
        <v>0</v>
      </c>
      <c r="AL12" s="18">
        <f t="shared" si="14"/>
        <v>0</v>
      </c>
      <c r="AM12" s="18">
        <f t="shared" si="14"/>
        <v>0</v>
      </c>
      <c r="AN12" s="18">
        <f t="shared" si="14"/>
        <v>0</v>
      </c>
      <c r="AO12" s="18">
        <f t="shared" si="14"/>
        <v>0</v>
      </c>
      <c r="AP12" s="18">
        <f t="shared" si="14"/>
        <v>0</v>
      </c>
    </row>
    <row r="13" spans="1:42">
      <c r="A13" t="s">
        <v>318</v>
      </c>
      <c r="B13" s="192" t="s">
        <v>111</v>
      </c>
      <c r="C13" s="46">
        <v>1000</v>
      </c>
      <c r="D13" s="18">
        <f t="shared" ref="D13:N13" si="15">C13</f>
        <v>1000</v>
      </c>
      <c r="E13" s="18">
        <f t="shared" si="15"/>
        <v>1000</v>
      </c>
      <c r="F13" s="18">
        <f t="shared" si="15"/>
        <v>1000</v>
      </c>
      <c r="G13" s="18">
        <f t="shared" si="15"/>
        <v>1000</v>
      </c>
      <c r="H13" s="18">
        <f t="shared" si="15"/>
        <v>1000</v>
      </c>
      <c r="I13" s="18">
        <f t="shared" si="15"/>
        <v>1000</v>
      </c>
      <c r="J13" s="18">
        <f t="shared" si="15"/>
        <v>1000</v>
      </c>
      <c r="K13" s="18">
        <f t="shared" si="15"/>
        <v>1000</v>
      </c>
      <c r="L13" s="18">
        <f t="shared" si="15"/>
        <v>1000</v>
      </c>
      <c r="M13" s="18">
        <f t="shared" si="15"/>
        <v>1000</v>
      </c>
      <c r="N13" s="18">
        <f t="shared" si="15"/>
        <v>1000</v>
      </c>
      <c r="O13" s="3"/>
      <c r="P13" t="s">
        <v>111</v>
      </c>
      <c r="Q13" s="50">
        <v>500</v>
      </c>
      <c r="R13" s="18">
        <f t="shared" ref="R13:AB13" si="16">Q13</f>
        <v>500</v>
      </c>
      <c r="S13" s="18">
        <f t="shared" si="16"/>
        <v>500</v>
      </c>
      <c r="T13" s="18">
        <f t="shared" si="16"/>
        <v>500</v>
      </c>
      <c r="U13" s="18">
        <f t="shared" si="16"/>
        <v>500</v>
      </c>
      <c r="V13" s="18">
        <f t="shared" si="16"/>
        <v>500</v>
      </c>
      <c r="W13" s="18">
        <f t="shared" si="16"/>
        <v>500</v>
      </c>
      <c r="X13" s="18">
        <f t="shared" si="16"/>
        <v>500</v>
      </c>
      <c r="Y13" s="18">
        <f t="shared" si="16"/>
        <v>500</v>
      </c>
      <c r="Z13" s="18">
        <f t="shared" si="16"/>
        <v>500</v>
      </c>
      <c r="AA13" s="18">
        <f t="shared" si="16"/>
        <v>500</v>
      </c>
      <c r="AB13" s="18">
        <f t="shared" si="16"/>
        <v>500</v>
      </c>
      <c r="AD13" t="s">
        <v>111</v>
      </c>
      <c r="AE13" s="50">
        <v>500</v>
      </c>
      <c r="AF13" s="18">
        <f t="shared" ref="AF13:AP13" si="17">AE13</f>
        <v>500</v>
      </c>
      <c r="AG13" s="18">
        <f t="shared" si="17"/>
        <v>500</v>
      </c>
      <c r="AH13" s="18">
        <f t="shared" si="17"/>
        <v>500</v>
      </c>
      <c r="AI13" s="18">
        <f t="shared" si="17"/>
        <v>500</v>
      </c>
      <c r="AJ13" s="18">
        <f t="shared" si="17"/>
        <v>500</v>
      </c>
      <c r="AK13" s="18">
        <f t="shared" si="17"/>
        <v>500</v>
      </c>
      <c r="AL13" s="18">
        <f t="shared" si="17"/>
        <v>500</v>
      </c>
      <c r="AM13" s="18">
        <f t="shared" si="17"/>
        <v>500</v>
      </c>
      <c r="AN13" s="18">
        <f t="shared" si="17"/>
        <v>500</v>
      </c>
      <c r="AO13" s="18">
        <f t="shared" si="17"/>
        <v>500</v>
      </c>
      <c r="AP13" s="18">
        <f t="shared" si="17"/>
        <v>500</v>
      </c>
    </row>
    <row r="14" spans="1:42">
      <c r="A14" t="s">
        <v>319</v>
      </c>
      <c r="B14" s="192" t="s">
        <v>130</v>
      </c>
      <c r="C14" s="46">
        <v>4000</v>
      </c>
      <c r="D14" s="18">
        <f t="shared" ref="D14:N14" si="18">C14</f>
        <v>4000</v>
      </c>
      <c r="E14" s="18">
        <f t="shared" si="18"/>
        <v>4000</v>
      </c>
      <c r="F14" s="18">
        <f t="shared" si="18"/>
        <v>4000</v>
      </c>
      <c r="G14" s="18">
        <f t="shared" si="18"/>
        <v>4000</v>
      </c>
      <c r="H14" s="18">
        <f t="shared" si="18"/>
        <v>4000</v>
      </c>
      <c r="I14" s="18">
        <f t="shared" si="18"/>
        <v>4000</v>
      </c>
      <c r="J14" s="18">
        <f t="shared" si="18"/>
        <v>4000</v>
      </c>
      <c r="K14" s="18">
        <f t="shared" si="18"/>
        <v>4000</v>
      </c>
      <c r="L14" s="18">
        <f t="shared" si="18"/>
        <v>4000</v>
      </c>
      <c r="M14" s="18">
        <f t="shared" si="18"/>
        <v>4000</v>
      </c>
      <c r="N14" s="18">
        <f t="shared" si="18"/>
        <v>4000</v>
      </c>
      <c r="O14" s="3"/>
      <c r="P14" t="s">
        <v>130</v>
      </c>
      <c r="Q14" s="50">
        <v>4000</v>
      </c>
      <c r="R14" s="18">
        <f t="shared" ref="R14:AB14" si="19">Q14</f>
        <v>4000</v>
      </c>
      <c r="S14" s="18">
        <f t="shared" si="19"/>
        <v>4000</v>
      </c>
      <c r="T14" s="18">
        <f t="shared" si="19"/>
        <v>4000</v>
      </c>
      <c r="U14" s="18">
        <f t="shared" si="19"/>
        <v>4000</v>
      </c>
      <c r="V14" s="18">
        <f t="shared" si="19"/>
        <v>4000</v>
      </c>
      <c r="W14" s="18">
        <f t="shared" si="19"/>
        <v>4000</v>
      </c>
      <c r="X14" s="18">
        <f t="shared" si="19"/>
        <v>4000</v>
      </c>
      <c r="Y14" s="18">
        <f t="shared" si="19"/>
        <v>4000</v>
      </c>
      <c r="Z14" s="18">
        <f t="shared" si="19"/>
        <v>4000</v>
      </c>
      <c r="AA14" s="18">
        <f t="shared" si="19"/>
        <v>4000</v>
      </c>
      <c r="AB14" s="18">
        <f t="shared" si="19"/>
        <v>4000</v>
      </c>
      <c r="AD14" t="s">
        <v>130</v>
      </c>
      <c r="AE14" s="50">
        <v>4000</v>
      </c>
      <c r="AF14" s="18">
        <f t="shared" ref="AF14:AP14" si="20">AE14</f>
        <v>4000</v>
      </c>
      <c r="AG14" s="18">
        <f t="shared" si="20"/>
        <v>4000</v>
      </c>
      <c r="AH14" s="18">
        <f t="shared" si="20"/>
        <v>4000</v>
      </c>
      <c r="AI14" s="18">
        <f t="shared" si="20"/>
        <v>4000</v>
      </c>
      <c r="AJ14" s="18">
        <f t="shared" si="20"/>
        <v>4000</v>
      </c>
      <c r="AK14" s="18">
        <f t="shared" si="20"/>
        <v>4000</v>
      </c>
      <c r="AL14" s="18">
        <f t="shared" si="20"/>
        <v>4000</v>
      </c>
      <c r="AM14" s="18">
        <f t="shared" si="20"/>
        <v>4000</v>
      </c>
      <c r="AN14" s="18">
        <f t="shared" si="20"/>
        <v>4000</v>
      </c>
      <c r="AO14" s="18">
        <f t="shared" si="20"/>
        <v>4000</v>
      </c>
      <c r="AP14" s="18">
        <f t="shared" si="20"/>
        <v>4000</v>
      </c>
    </row>
    <row r="15" spans="1:42" hidden="1">
      <c r="A15" s="56" t="s">
        <v>320</v>
      </c>
      <c r="B15" s="59" t="s">
        <v>321</v>
      </c>
      <c r="C15" s="46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3"/>
      <c r="P15" s="59" t="s">
        <v>321</v>
      </c>
      <c r="Q15" s="50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D15" s="59" t="s">
        <v>321</v>
      </c>
      <c r="AE15" s="50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1:42">
      <c r="A16" s="56"/>
      <c r="B16" s="59"/>
      <c r="C16" s="46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3"/>
      <c r="P16" s="59"/>
      <c r="Q16" s="50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D16" s="59"/>
      <c r="AE16" s="50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1:42">
      <c r="A17" s="56"/>
      <c r="B17" s="60" t="s">
        <v>1232</v>
      </c>
      <c r="C17" s="46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3"/>
      <c r="P17" s="59"/>
      <c r="Q17" s="50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D17" s="59"/>
      <c r="AE17" s="50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</row>
    <row r="18" spans="1:42">
      <c r="A18" s="56" t="s">
        <v>322</v>
      </c>
      <c r="B18" s="59" t="str">
        <f>'O&amp;M Budget'!A36</f>
        <v>Sun system</v>
      </c>
      <c r="C18" s="46">
        <v>2850</v>
      </c>
      <c r="D18" s="18">
        <f t="shared" ref="D18:N18" si="21">C18</f>
        <v>2850</v>
      </c>
      <c r="E18" s="18">
        <f t="shared" si="21"/>
        <v>2850</v>
      </c>
      <c r="F18" s="18">
        <f t="shared" si="21"/>
        <v>2850</v>
      </c>
      <c r="G18" s="18">
        <f t="shared" si="21"/>
        <v>2850</v>
      </c>
      <c r="H18" s="18">
        <f t="shared" si="21"/>
        <v>2850</v>
      </c>
      <c r="I18" s="18">
        <f t="shared" si="21"/>
        <v>2850</v>
      </c>
      <c r="J18" s="18">
        <f t="shared" si="21"/>
        <v>2850</v>
      </c>
      <c r="K18" s="18">
        <f t="shared" si="21"/>
        <v>2850</v>
      </c>
      <c r="L18" s="18">
        <f t="shared" si="21"/>
        <v>2850</v>
      </c>
      <c r="M18" s="18">
        <f t="shared" si="21"/>
        <v>2850</v>
      </c>
      <c r="N18" s="18">
        <f t="shared" si="21"/>
        <v>2850</v>
      </c>
      <c r="O18" s="3"/>
      <c r="P18" s="59" t="s">
        <v>323</v>
      </c>
      <c r="Q18" s="50">
        <v>2850</v>
      </c>
      <c r="R18" s="18">
        <f t="shared" ref="R18:AB18" si="22">Q18</f>
        <v>2850</v>
      </c>
      <c r="S18" s="18">
        <f t="shared" si="22"/>
        <v>2850</v>
      </c>
      <c r="T18" s="18">
        <f t="shared" si="22"/>
        <v>2850</v>
      </c>
      <c r="U18" s="18">
        <f t="shared" si="22"/>
        <v>2850</v>
      </c>
      <c r="V18" s="18">
        <f t="shared" si="22"/>
        <v>2850</v>
      </c>
      <c r="W18" s="18">
        <f t="shared" si="22"/>
        <v>2850</v>
      </c>
      <c r="X18" s="18">
        <f t="shared" si="22"/>
        <v>2850</v>
      </c>
      <c r="Y18" s="18">
        <f t="shared" si="22"/>
        <v>2850</v>
      </c>
      <c r="Z18" s="18">
        <f t="shared" si="22"/>
        <v>2850</v>
      </c>
      <c r="AA18" s="18">
        <f t="shared" si="22"/>
        <v>2850</v>
      </c>
      <c r="AB18" s="18">
        <f t="shared" si="22"/>
        <v>2850</v>
      </c>
      <c r="AD18" s="59" t="s">
        <v>323</v>
      </c>
      <c r="AE18" s="50">
        <v>2850</v>
      </c>
      <c r="AF18" s="18">
        <f t="shared" ref="AF18:AP18" si="23">AE18</f>
        <v>2850</v>
      </c>
      <c r="AG18" s="18">
        <f t="shared" si="23"/>
        <v>2850</v>
      </c>
      <c r="AH18" s="18">
        <f t="shared" si="23"/>
        <v>2850</v>
      </c>
      <c r="AI18" s="18">
        <f t="shared" si="23"/>
        <v>2850</v>
      </c>
      <c r="AJ18" s="18">
        <f t="shared" si="23"/>
        <v>2850</v>
      </c>
      <c r="AK18" s="18">
        <f t="shared" si="23"/>
        <v>2850</v>
      </c>
      <c r="AL18" s="18">
        <f t="shared" si="23"/>
        <v>2850</v>
      </c>
      <c r="AM18" s="18">
        <f t="shared" si="23"/>
        <v>2850</v>
      </c>
      <c r="AN18" s="18">
        <f t="shared" si="23"/>
        <v>2850</v>
      </c>
      <c r="AO18" s="18">
        <f t="shared" si="23"/>
        <v>2850</v>
      </c>
      <c r="AP18" s="18">
        <f t="shared" si="23"/>
        <v>2850</v>
      </c>
    </row>
    <row r="19" spans="1:42">
      <c r="A19" s="56" t="s">
        <v>324</v>
      </c>
      <c r="B19" s="59" t="str">
        <f>'O&amp;M Budget'!A37</f>
        <v>IFS system</v>
      </c>
      <c r="C19" s="46">
        <v>2800</v>
      </c>
      <c r="D19" s="18">
        <f t="shared" ref="D19:N19" si="24">C19</f>
        <v>2800</v>
      </c>
      <c r="E19" s="18">
        <f t="shared" si="24"/>
        <v>2800</v>
      </c>
      <c r="F19" s="18">
        <f t="shared" si="24"/>
        <v>2800</v>
      </c>
      <c r="G19" s="18">
        <f t="shared" si="24"/>
        <v>2800</v>
      </c>
      <c r="H19" s="18">
        <f t="shared" si="24"/>
        <v>2800</v>
      </c>
      <c r="I19" s="18">
        <f t="shared" si="24"/>
        <v>2800</v>
      </c>
      <c r="J19" s="18">
        <f t="shared" si="24"/>
        <v>2800</v>
      </c>
      <c r="K19" s="18">
        <f t="shared" si="24"/>
        <v>2800</v>
      </c>
      <c r="L19" s="18">
        <f t="shared" si="24"/>
        <v>2800</v>
      </c>
      <c r="M19" s="18">
        <f t="shared" si="24"/>
        <v>2800</v>
      </c>
      <c r="N19" s="18">
        <f t="shared" si="24"/>
        <v>2800</v>
      </c>
      <c r="O19" s="3"/>
      <c r="P19" s="59" t="s">
        <v>325</v>
      </c>
      <c r="Q19" s="50">
        <v>2800</v>
      </c>
      <c r="R19" s="18">
        <f t="shared" ref="R19:AB19" si="25">Q19</f>
        <v>2800</v>
      </c>
      <c r="S19" s="18">
        <f t="shared" si="25"/>
        <v>2800</v>
      </c>
      <c r="T19" s="18">
        <f t="shared" si="25"/>
        <v>2800</v>
      </c>
      <c r="U19" s="18">
        <f t="shared" si="25"/>
        <v>2800</v>
      </c>
      <c r="V19" s="18">
        <f t="shared" si="25"/>
        <v>2800</v>
      </c>
      <c r="W19" s="18">
        <f t="shared" si="25"/>
        <v>2800</v>
      </c>
      <c r="X19" s="18">
        <f t="shared" si="25"/>
        <v>2800</v>
      </c>
      <c r="Y19" s="18">
        <f t="shared" si="25"/>
        <v>2800</v>
      </c>
      <c r="Z19" s="18">
        <f t="shared" si="25"/>
        <v>2800</v>
      </c>
      <c r="AA19" s="18">
        <f t="shared" si="25"/>
        <v>2800</v>
      </c>
      <c r="AB19" s="18">
        <f t="shared" si="25"/>
        <v>2800</v>
      </c>
      <c r="AD19" s="59" t="s">
        <v>325</v>
      </c>
      <c r="AE19" s="50">
        <v>2800</v>
      </c>
      <c r="AF19" s="18">
        <f t="shared" ref="AF19:AP19" si="26">AE19</f>
        <v>2800</v>
      </c>
      <c r="AG19" s="18">
        <f t="shared" si="26"/>
        <v>2800</v>
      </c>
      <c r="AH19" s="18">
        <f t="shared" si="26"/>
        <v>2800</v>
      </c>
      <c r="AI19" s="18">
        <f t="shared" si="26"/>
        <v>2800</v>
      </c>
      <c r="AJ19" s="18">
        <f t="shared" si="26"/>
        <v>2800</v>
      </c>
      <c r="AK19" s="18">
        <f t="shared" si="26"/>
        <v>2800</v>
      </c>
      <c r="AL19" s="18">
        <f t="shared" si="26"/>
        <v>2800</v>
      </c>
      <c r="AM19" s="18">
        <f t="shared" si="26"/>
        <v>2800</v>
      </c>
      <c r="AN19" s="18">
        <f t="shared" si="26"/>
        <v>2800</v>
      </c>
      <c r="AO19" s="18">
        <f t="shared" si="26"/>
        <v>2800</v>
      </c>
      <c r="AP19" s="18">
        <f t="shared" si="26"/>
        <v>2800</v>
      </c>
    </row>
    <row r="20" spans="1:42">
      <c r="C20" s="46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3"/>
      <c r="Q20" s="46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E20" s="46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spans="1:42" ht="13.5" thickBot="1">
      <c r="B21" s="136" t="s">
        <v>1231</v>
      </c>
      <c r="C21" s="203">
        <f>C8+C9+C10+C11+C13+C14+C18/Factors!C11+Oheads!C19/Factors!C11</f>
        <v>91768.525598023494</v>
      </c>
      <c r="D21" s="203">
        <f>D8+D9+D10+D11+D13+D14+D18/Factors!D11+Oheads!D19/Factors!D11</f>
        <v>91766.692655732666</v>
      </c>
      <c r="E21" s="203">
        <f>E8+E9+E10+E11+E13+E14+E18/Factors!E11+Oheads!E19/Factors!E11</f>
        <v>91764.864824215008</v>
      </c>
      <c r="F21" s="203">
        <f>F8+F9+F10+F11+F13+F14+F18/Factors!F11+Oheads!F19/Factors!F11</f>
        <v>91763.042082124812</v>
      </c>
      <c r="G21" s="203">
        <f>G8+G9+G10+G11+G13+G14+G18/Factors!G11+Oheads!G19/Factors!G11</f>
        <v>91761.224408235066</v>
      </c>
      <c r="H21" s="203">
        <f>H8+H9+H10+H11+H13+H14+H18/Factors!H11+Oheads!H19/Factors!H11</f>
        <v>91759.411781436647</v>
      </c>
      <c r="I21" s="203">
        <f>I8+I9+I10+I11+I13+I14+I18/Factors!I11+Oheads!I19/Factors!I11</f>
        <v>91757.604180737486</v>
      </c>
      <c r="J21" s="203">
        <f>J8+J9+J10+J11+J13+J14+J18/Factors!J11+Oheads!J19/Factors!J11</f>
        <v>91755.801585261783</v>
      </c>
      <c r="K21" s="203">
        <f>K8+K9+K10+K11+K13+K14+K18/Factors!K11+Oheads!K19/Factors!K11</f>
        <v>91754.003974249164</v>
      </c>
      <c r="L21" s="203">
        <f>L8+L9+L10+L11+L13+L14+L18/Factors!L11+Oheads!L19/Factors!L11</f>
        <v>91752.21132705397</v>
      </c>
      <c r="M21" s="203">
        <f>M8+M9+M10+M11+M13+M14+M18/Factors!M11+Oheads!M19/Factors!M11</f>
        <v>91750.423623144277</v>
      </c>
      <c r="N21" s="203">
        <f>N8+N9+N10+N11+N13+N14+N18/Factors!N11+Oheads!N19/Factors!N11</f>
        <v>91748.64084210142</v>
      </c>
      <c r="O21" s="3"/>
      <c r="Q21" s="46">
        <f>SUM(Q8:Q19)</f>
        <v>80224.240000000005</v>
      </c>
      <c r="R21" s="46">
        <f t="shared" ref="R21:AB21" si="27">SUM(R8:R19)</f>
        <v>80224.240000000005</v>
      </c>
      <c r="S21" s="46">
        <f t="shared" si="27"/>
        <v>80224.240000000005</v>
      </c>
      <c r="T21" s="46">
        <f t="shared" si="27"/>
        <v>80224.240000000005</v>
      </c>
      <c r="U21" s="46">
        <f t="shared" si="27"/>
        <v>80224.240000000005</v>
      </c>
      <c r="V21" s="46">
        <f t="shared" si="27"/>
        <v>80224.240000000005</v>
      </c>
      <c r="W21" s="46">
        <f t="shared" si="27"/>
        <v>80224.240000000005</v>
      </c>
      <c r="X21" s="46">
        <f t="shared" si="27"/>
        <v>80224.240000000005</v>
      </c>
      <c r="Y21" s="46">
        <f t="shared" si="27"/>
        <v>80224.240000000005</v>
      </c>
      <c r="Z21" s="46">
        <f t="shared" si="27"/>
        <v>80224.240000000005</v>
      </c>
      <c r="AA21" s="46">
        <f t="shared" si="27"/>
        <v>80224.240000000005</v>
      </c>
      <c r="AB21" s="46">
        <f t="shared" si="27"/>
        <v>80224.240000000005</v>
      </c>
      <c r="AE21" s="46">
        <f>SUM(AE8:AE19)</f>
        <v>82947.698399999994</v>
      </c>
      <c r="AF21" s="46">
        <f t="shared" ref="AF21:AP21" si="28">SUM(AF8:AF19)</f>
        <v>82947.698399999994</v>
      </c>
      <c r="AG21" s="46">
        <f t="shared" si="28"/>
        <v>82947.698399999994</v>
      </c>
      <c r="AH21" s="46">
        <f t="shared" si="28"/>
        <v>82947.698399999994</v>
      </c>
      <c r="AI21" s="46">
        <f t="shared" si="28"/>
        <v>82947.698399999994</v>
      </c>
      <c r="AJ21" s="46">
        <f t="shared" si="28"/>
        <v>82947.698399999994</v>
      </c>
      <c r="AK21" s="46">
        <f t="shared" si="28"/>
        <v>82947.698399999994</v>
      </c>
      <c r="AL21" s="46">
        <f t="shared" si="28"/>
        <v>82947.698399999994</v>
      </c>
      <c r="AM21" s="46">
        <f t="shared" si="28"/>
        <v>82947.698399999994</v>
      </c>
      <c r="AN21" s="46">
        <f t="shared" si="28"/>
        <v>82947.698399999994</v>
      </c>
      <c r="AO21" s="46">
        <f t="shared" si="28"/>
        <v>82947.698399999994</v>
      </c>
      <c r="AP21" s="46">
        <f t="shared" si="28"/>
        <v>82947.698399999994</v>
      </c>
    </row>
    <row r="22" spans="1:42" ht="13.5" thickTop="1"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3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</row>
    <row r="23" spans="1:42" ht="13.5" thickBot="1">
      <c r="B23" s="136" t="s">
        <v>1229</v>
      </c>
      <c r="C23" s="10">
        <f>C21*Factors!C11</f>
        <v>394918.17439161311</v>
      </c>
      <c r="D23" s="10">
        <f>D21*Factors!D11</f>
        <v>395462.38793679804</v>
      </c>
      <c r="E23" s="10">
        <f>E21*Factors!E11</f>
        <v>396006.60148198309</v>
      </c>
      <c r="F23" s="10">
        <f>F21*Factors!F11</f>
        <v>396550.81502716808</v>
      </c>
      <c r="G23" s="10">
        <f>G21*Factors!G11</f>
        <v>397095.02857235313</v>
      </c>
      <c r="H23" s="10">
        <f>H21*Factors!H11</f>
        <v>397639.24211753818</v>
      </c>
      <c r="I23" s="10">
        <f>I21*Factors!I11</f>
        <v>398183.45566272317</v>
      </c>
      <c r="J23" s="10">
        <f>J21*Factors!J11</f>
        <v>398727.66920790821</v>
      </c>
      <c r="K23" s="10">
        <f>K21*Factors!K11</f>
        <v>399271.8827530932</v>
      </c>
      <c r="L23" s="10">
        <f>L21*Factors!L11</f>
        <v>399816.09629827831</v>
      </c>
      <c r="M23" s="10">
        <f>M21*Factors!M11</f>
        <v>400360.30984346318</v>
      </c>
      <c r="N23" s="10">
        <f>N21*Factors!N11</f>
        <v>400904.52338864835</v>
      </c>
      <c r="P23" t="s">
        <v>124</v>
      </c>
      <c r="Q23" s="3" t="e">
        <f>#REF!*Factors!R11</f>
        <v>#REF!</v>
      </c>
      <c r="R23" s="3" t="e">
        <f>#REF!*Factors!S11</f>
        <v>#REF!</v>
      </c>
      <c r="S23" s="3" t="e">
        <f>#REF!*Factors!T11</f>
        <v>#REF!</v>
      </c>
      <c r="T23" s="3" t="e">
        <f>#REF!*Factors!U11</f>
        <v>#REF!</v>
      </c>
      <c r="U23" s="3" t="e">
        <f>#REF!*Factors!V11</f>
        <v>#REF!</v>
      </c>
      <c r="V23" s="3" t="e">
        <f>#REF!*Factors!W11</f>
        <v>#REF!</v>
      </c>
      <c r="W23" s="3" t="e">
        <f>#REF!*Factors!X11</f>
        <v>#REF!</v>
      </c>
      <c r="X23" s="3" t="e">
        <f>#REF!*Factors!Y11</f>
        <v>#REF!</v>
      </c>
      <c r="Y23" s="3" t="e">
        <f>#REF!*Factors!Z11</f>
        <v>#REF!</v>
      </c>
      <c r="Z23" s="3" t="e">
        <f>#REF!*Factors!AA11</f>
        <v>#REF!</v>
      </c>
      <c r="AA23" s="3" t="e">
        <f>#REF!*Factors!AB11</f>
        <v>#REF!</v>
      </c>
      <c r="AB23" s="3" t="e">
        <f>#REF!*Factors!AC11</f>
        <v>#REF!</v>
      </c>
      <c r="AD23" t="s">
        <v>124</v>
      </c>
      <c r="AE23" s="3" t="e">
        <f>#REF!*Factors!AF11</f>
        <v>#REF!</v>
      </c>
      <c r="AF23" s="3" t="e">
        <f>#REF!*Factors!AG11</f>
        <v>#REF!</v>
      </c>
      <c r="AG23" s="3" t="e">
        <f>#REF!*Factors!AH11</f>
        <v>#REF!</v>
      </c>
      <c r="AH23" s="3" t="e">
        <f>#REF!*Factors!AI11</f>
        <v>#REF!</v>
      </c>
      <c r="AI23" s="3" t="e">
        <f>#REF!*Factors!AJ11</f>
        <v>#REF!</v>
      </c>
      <c r="AJ23" s="3" t="e">
        <f>#REF!*Factors!AK11</f>
        <v>#REF!</v>
      </c>
      <c r="AK23" s="3" t="e">
        <f>#REF!*Factors!AL11</f>
        <v>#REF!</v>
      </c>
      <c r="AL23" s="3" t="e">
        <f>#REF!*Factors!AM11</f>
        <v>#REF!</v>
      </c>
      <c r="AM23" s="3" t="e">
        <f>#REF!*Factors!AN11</f>
        <v>#REF!</v>
      </c>
      <c r="AN23" s="3" t="e">
        <f>#REF!*Factors!AO11</f>
        <v>#REF!</v>
      </c>
      <c r="AO23" s="3" t="e">
        <f>#REF!*Factors!AP11</f>
        <v>#REF!</v>
      </c>
      <c r="AP23" s="3" t="e">
        <f>#REF!*Factors!AQ11</f>
        <v>#REF!</v>
      </c>
    </row>
    <row r="24" spans="1:42" ht="30.6" customHeight="1" thickTop="1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>
      <c r="B25" s="133" t="s">
        <v>1233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42" t="s">
        <v>211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D25" s="42" t="s">
        <v>211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>
      <c r="A26" s="56" t="s">
        <v>327</v>
      </c>
      <c r="B26" s="59" t="str">
        <f>'O&amp;M Budget'!A39</f>
        <v>Payroll</v>
      </c>
      <c r="C26" s="17">
        <f>2600*Factors!$C$16</f>
        <v>2756</v>
      </c>
      <c r="D26" s="17">
        <f>2600*Factors!$C$16</f>
        <v>2756</v>
      </c>
      <c r="E26" s="3">
        <f t="shared" ref="E26:N27" si="29">D26</f>
        <v>2756</v>
      </c>
      <c r="F26" s="3">
        <f t="shared" si="29"/>
        <v>2756</v>
      </c>
      <c r="G26" s="3">
        <f t="shared" si="29"/>
        <v>2756</v>
      </c>
      <c r="H26" s="3">
        <f t="shared" si="29"/>
        <v>2756</v>
      </c>
      <c r="I26" s="3">
        <f t="shared" si="29"/>
        <v>2756</v>
      </c>
      <c r="J26" s="3">
        <f t="shared" si="29"/>
        <v>2756</v>
      </c>
      <c r="K26" s="3">
        <f t="shared" si="29"/>
        <v>2756</v>
      </c>
      <c r="L26" s="3">
        <f t="shared" si="29"/>
        <v>2756</v>
      </c>
      <c r="M26" s="3">
        <f t="shared" si="29"/>
        <v>2756</v>
      </c>
      <c r="N26" s="3">
        <f t="shared" si="29"/>
        <v>2756</v>
      </c>
      <c r="P26" s="59" t="s">
        <v>328</v>
      </c>
      <c r="Q26" s="13">
        <f>N26*Factors!$R$16</f>
        <v>2866.2400000000002</v>
      </c>
      <c r="R26" s="3">
        <f t="shared" ref="R26:AB40" si="30">Q26</f>
        <v>2866.2400000000002</v>
      </c>
      <c r="S26" s="3">
        <f t="shared" si="30"/>
        <v>2866.2400000000002</v>
      </c>
      <c r="T26" s="3">
        <f t="shared" si="30"/>
        <v>2866.2400000000002</v>
      </c>
      <c r="U26" s="3">
        <f t="shared" si="30"/>
        <v>2866.2400000000002</v>
      </c>
      <c r="V26" s="3">
        <f t="shared" si="30"/>
        <v>2866.2400000000002</v>
      </c>
      <c r="W26" s="3">
        <f t="shared" si="30"/>
        <v>2866.2400000000002</v>
      </c>
      <c r="X26" s="3">
        <f t="shared" si="30"/>
        <v>2866.2400000000002</v>
      </c>
      <c r="Y26" s="3">
        <f t="shared" si="30"/>
        <v>2866.2400000000002</v>
      </c>
      <c r="Z26" s="3">
        <f t="shared" si="30"/>
        <v>2866.2400000000002</v>
      </c>
      <c r="AA26" s="3">
        <f t="shared" si="30"/>
        <v>2866.2400000000002</v>
      </c>
      <c r="AB26" s="3">
        <f t="shared" si="30"/>
        <v>2866.2400000000002</v>
      </c>
      <c r="AD26" s="59" t="s">
        <v>328</v>
      </c>
      <c r="AE26" s="13">
        <f>AB26*Factors!$AG$16</f>
        <v>3038.2144000000003</v>
      </c>
      <c r="AF26" s="3">
        <f t="shared" ref="AF26:AP26" si="31">AE26</f>
        <v>3038.2144000000003</v>
      </c>
      <c r="AG26" s="3">
        <f t="shared" si="31"/>
        <v>3038.2144000000003</v>
      </c>
      <c r="AH26" s="3">
        <f t="shared" si="31"/>
        <v>3038.2144000000003</v>
      </c>
      <c r="AI26" s="3">
        <f t="shared" si="31"/>
        <v>3038.2144000000003</v>
      </c>
      <c r="AJ26" s="3">
        <f t="shared" si="31"/>
        <v>3038.2144000000003</v>
      </c>
      <c r="AK26" s="3">
        <f t="shared" si="31"/>
        <v>3038.2144000000003</v>
      </c>
      <c r="AL26" s="3">
        <f t="shared" si="31"/>
        <v>3038.2144000000003</v>
      </c>
      <c r="AM26" s="3">
        <f t="shared" si="31"/>
        <v>3038.2144000000003</v>
      </c>
      <c r="AN26" s="3">
        <f t="shared" si="31"/>
        <v>3038.2144000000003</v>
      </c>
      <c r="AO26" s="3">
        <f t="shared" si="31"/>
        <v>3038.2144000000003</v>
      </c>
      <c r="AP26" s="3">
        <f t="shared" si="31"/>
        <v>3038.2144000000003</v>
      </c>
    </row>
    <row r="27" spans="1:42">
      <c r="A27" s="56" t="s">
        <v>329</v>
      </c>
      <c r="B27" s="59" t="str">
        <f>'O&amp;M Budget'!A40</f>
        <v>Safety</v>
      </c>
      <c r="C27" s="17">
        <f>1520*Factors!$C$16</f>
        <v>1611.2</v>
      </c>
      <c r="D27" s="3">
        <f t="shared" ref="D27:D40" si="32">C27</f>
        <v>1611.2</v>
      </c>
      <c r="E27" s="3">
        <f t="shared" si="29"/>
        <v>1611.2</v>
      </c>
      <c r="F27" s="3">
        <f t="shared" si="29"/>
        <v>1611.2</v>
      </c>
      <c r="G27" s="3">
        <f t="shared" si="29"/>
        <v>1611.2</v>
      </c>
      <c r="H27" s="3">
        <f t="shared" si="29"/>
        <v>1611.2</v>
      </c>
      <c r="I27" s="3">
        <f t="shared" si="29"/>
        <v>1611.2</v>
      </c>
      <c r="J27" s="3">
        <f t="shared" si="29"/>
        <v>1611.2</v>
      </c>
      <c r="K27" s="3">
        <f t="shared" si="29"/>
        <v>1611.2</v>
      </c>
      <c r="L27" s="3">
        <f t="shared" si="29"/>
        <v>1611.2</v>
      </c>
      <c r="M27" s="3">
        <f t="shared" si="29"/>
        <v>1611.2</v>
      </c>
      <c r="N27" s="3">
        <f t="shared" si="29"/>
        <v>1611.2</v>
      </c>
      <c r="P27" s="59" t="s">
        <v>330</v>
      </c>
      <c r="Q27" s="13">
        <f>N27*Factors!$R$16</f>
        <v>1675.6480000000001</v>
      </c>
      <c r="R27" s="3">
        <f t="shared" si="30"/>
        <v>1675.6480000000001</v>
      </c>
      <c r="S27" s="3">
        <f t="shared" si="30"/>
        <v>1675.6480000000001</v>
      </c>
      <c r="T27" s="3">
        <f t="shared" si="30"/>
        <v>1675.6480000000001</v>
      </c>
      <c r="U27" s="3">
        <f t="shared" si="30"/>
        <v>1675.6480000000001</v>
      </c>
      <c r="V27" s="3">
        <f t="shared" si="30"/>
        <v>1675.6480000000001</v>
      </c>
      <c r="W27" s="3">
        <f t="shared" si="30"/>
        <v>1675.6480000000001</v>
      </c>
      <c r="X27" s="3">
        <f t="shared" si="30"/>
        <v>1675.6480000000001</v>
      </c>
      <c r="Y27" s="3">
        <f t="shared" si="30"/>
        <v>1675.6480000000001</v>
      </c>
      <c r="Z27" s="3">
        <f t="shared" si="30"/>
        <v>1675.6480000000001</v>
      </c>
      <c r="AA27" s="3">
        <f t="shared" si="30"/>
        <v>1675.6480000000001</v>
      </c>
      <c r="AB27" s="3">
        <f t="shared" si="30"/>
        <v>1675.6480000000001</v>
      </c>
      <c r="AD27" s="59" t="s">
        <v>330</v>
      </c>
      <c r="AE27" s="13">
        <f>AB27*Factors!$AG$16</f>
        <v>1776.1868800000002</v>
      </c>
      <c r="AF27" s="3">
        <f t="shared" ref="AF27:AP27" si="33">AE27</f>
        <v>1776.1868800000002</v>
      </c>
      <c r="AG27" s="3">
        <f t="shared" si="33"/>
        <v>1776.1868800000002</v>
      </c>
      <c r="AH27" s="3">
        <f t="shared" si="33"/>
        <v>1776.1868800000002</v>
      </c>
      <c r="AI27" s="3">
        <f t="shared" si="33"/>
        <v>1776.1868800000002</v>
      </c>
      <c r="AJ27" s="3">
        <f t="shared" si="33"/>
        <v>1776.1868800000002</v>
      </c>
      <c r="AK27" s="3">
        <f t="shared" si="33"/>
        <v>1776.1868800000002</v>
      </c>
      <c r="AL27" s="3">
        <f t="shared" si="33"/>
        <v>1776.1868800000002</v>
      </c>
      <c r="AM27" s="3">
        <f t="shared" si="33"/>
        <v>1776.1868800000002</v>
      </c>
      <c r="AN27" s="3">
        <f t="shared" si="33"/>
        <v>1776.1868800000002</v>
      </c>
      <c r="AO27" s="3">
        <f t="shared" si="33"/>
        <v>1776.1868800000002</v>
      </c>
      <c r="AP27" s="3">
        <f t="shared" si="33"/>
        <v>1776.1868800000002</v>
      </c>
    </row>
    <row r="28" spans="1:42">
      <c r="A28" s="56" t="s">
        <v>331</v>
      </c>
      <c r="B28" s="59" t="str">
        <f>'O&amp;M Budget'!A41</f>
        <v>Waste Disposal</v>
      </c>
      <c r="C28" s="17">
        <f>3100*Factors!C16</f>
        <v>3286</v>
      </c>
      <c r="D28" s="3">
        <f t="shared" si="32"/>
        <v>3286</v>
      </c>
      <c r="E28" s="3">
        <f t="shared" ref="E28:N28" si="34">D28</f>
        <v>3286</v>
      </c>
      <c r="F28" s="3">
        <f t="shared" si="34"/>
        <v>3286</v>
      </c>
      <c r="G28" s="3">
        <f t="shared" si="34"/>
        <v>3286</v>
      </c>
      <c r="H28" s="3">
        <f t="shared" si="34"/>
        <v>3286</v>
      </c>
      <c r="I28" s="3">
        <f t="shared" si="34"/>
        <v>3286</v>
      </c>
      <c r="J28" s="3">
        <f t="shared" si="34"/>
        <v>3286</v>
      </c>
      <c r="K28" s="3">
        <f t="shared" si="34"/>
        <v>3286</v>
      </c>
      <c r="L28" s="3">
        <f t="shared" si="34"/>
        <v>3286</v>
      </c>
      <c r="M28" s="3">
        <f t="shared" si="34"/>
        <v>3286</v>
      </c>
      <c r="N28" s="3">
        <f t="shared" si="34"/>
        <v>3286</v>
      </c>
      <c r="P28" s="59" t="s">
        <v>332</v>
      </c>
      <c r="Q28" s="13">
        <f>N28*Factors!$R$16</f>
        <v>3417.44</v>
      </c>
      <c r="R28" s="3">
        <f t="shared" si="30"/>
        <v>3417.44</v>
      </c>
      <c r="S28" s="3">
        <f t="shared" si="30"/>
        <v>3417.44</v>
      </c>
      <c r="T28" s="3">
        <f t="shared" si="30"/>
        <v>3417.44</v>
      </c>
      <c r="U28" s="3">
        <f t="shared" si="30"/>
        <v>3417.44</v>
      </c>
      <c r="V28" s="3">
        <f t="shared" si="30"/>
        <v>3417.44</v>
      </c>
      <c r="W28" s="3">
        <f t="shared" si="30"/>
        <v>3417.44</v>
      </c>
      <c r="X28" s="3">
        <f t="shared" si="30"/>
        <v>3417.44</v>
      </c>
      <c r="Y28" s="3">
        <f t="shared" si="30"/>
        <v>3417.44</v>
      </c>
      <c r="Z28" s="3">
        <f t="shared" si="30"/>
        <v>3417.44</v>
      </c>
      <c r="AA28" s="3">
        <f t="shared" si="30"/>
        <v>3417.44</v>
      </c>
      <c r="AB28" s="3">
        <f t="shared" si="30"/>
        <v>3417.44</v>
      </c>
      <c r="AD28" s="59" t="s">
        <v>332</v>
      </c>
      <c r="AE28" s="13">
        <f>AB28*Factors!$AG$16</f>
        <v>3622.4864000000002</v>
      </c>
      <c r="AF28" s="3">
        <f t="shared" ref="AF28:AP28" si="35">AE28</f>
        <v>3622.4864000000002</v>
      </c>
      <c r="AG28" s="3">
        <f t="shared" si="35"/>
        <v>3622.4864000000002</v>
      </c>
      <c r="AH28" s="3">
        <f t="shared" si="35"/>
        <v>3622.4864000000002</v>
      </c>
      <c r="AI28" s="3">
        <f t="shared" si="35"/>
        <v>3622.4864000000002</v>
      </c>
      <c r="AJ28" s="3">
        <f t="shared" si="35"/>
        <v>3622.4864000000002</v>
      </c>
      <c r="AK28" s="3">
        <f t="shared" si="35"/>
        <v>3622.4864000000002</v>
      </c>
      <c r="AL28" s="3">
        <f t="shared" si="35"/>
        <v>3622.4864000000002</v>
      </c>
      <c r="AM28" s="3">
        <f t="shared" si="35"/>
        <v>3622.4864000000002</v>
      </c>
      <c r="AN28" s="3">
        <f t="shared" si="35"/>
        <v>3622.4864000000002</v>
      </c>
      <c r="AO28" s="3">
        <f t="shared" si="35"/>
        <v>3622.4864000000002</v>
      </c>
      <c r="AP28" s="3">
        <f t="shared" si="35"/>
        <v>3622.4864000000002</v>
      </c>
    </row>
    <row r="29" spans="1:42">
      <c r="A29" s="56" t="s">
        <v>333</v>
      </c>
      <c r="B29" s="59" t="str">
        <f>'O&amp;M Budget'!A42</f>
        <v>Technical services</v>
      </c>
      <c r="C29" s="17">
        <v>1000</v>
      </c>
      <c r="D29" s="3">
        <f t="shared" si="32"/>
        <v>1000</v>
      </c>
      <c r="E29" s="3">
        <f t="shared" ref="E29:N29" si="36">D29</f>
        <v>1000</v>
      </c>
      <c r="F29" s="3">
        <f t="shared" si="36"/>
        <v>1000</v>
      </c>
      <c r="G29" s="3">
        <f t="shared" si="36"/>
        <v>1000</v>
      </c>
      <c r="H29" s="3">
        <f t="shared" si="36"/>
        <v>1000</v>
      </c>
      <c r="I29" s="3">
        <f t="shared" si="36"/>
        <v>1000</v>
      </c>
      <c r="J29" s="3">
        <f t="shared" si="36"/>
        <v>1000</v>
      </c>
      <c r="K29" s="3">
        <f t="shared" si="36"/>
        <v>1000</v>
      </c>
      <c r="L29" s="3">
        <f t="shared" si="36"/>
        <v>1000</v>
      </c>
      <c r="M29" s="3">
        <f t="shared" si="36"/>
        <v>1000</v>
      </c>
      <c r="N29" s="3">
        <f t="shared" si="36"/>
        <v>1000</v>
      </c>
      <c r="P29" s="59" t="s">
        <v>334</v>
      </c>
      <c r="Q29" s="13">
        <f>N29*Factors!$R$16</f>
        <v>1040</v>
      </c>
      <c r="R29" s="3">
        <f t="shared" si="30"/>
        <v>1040</v>
      </c>
      <c r="S29" s="3">
        <f t="shared" si="30"/>
        <v>1040</v>
      </c>
      <c r="T29" s="3">
        <f t="shared" si="30"/>
        <v>1040</v>
      </c>
      <c r="U29" s="3">
        <f t="shared" si="30"/>
        <v>1040</v>
      </c>
      <c r="V29" s="3">
        <f t="shared" si="30"/>
        <v>1040</v>
      </c>
      <c r="W29" s="3">
        <f t="shared" si="30"/>
        <v>1040</v>
      </c>
      <c r="X29" s="3">
        <f t="shared" si="30"/>
        <v>1040</v>
      </c>
      <c r="Y29" s="3">
        <f t="shared" si="30"/>
        <v>1040</v>
      </c>
      <c r="Z29" s="3">
        <f t="shared" si="30"/>
        <v>1040</v>
      </c>
      <c r="AA29" s="3">
        <f t="shared" si="30"/>
        <v>1040</v>
      </c>
      <c r="AB29" s="3">
        <f t="shared" si="30"/>
        <v>1040</v>
      </c>
      <c r="AD29" s="59" t="s">
        <v>334</v>
      </c>
      <c r="AE29" s="13">
        <f>AB29*Factors!$AG$16</f>
        <v>1102.4000000000001</v>
      </c>
      <c r="AF29" s="3">
        <f t="shared" ref="AF29:AP29" si="37">AE29</f>
        <v>1102.4000000000001</v>
      </c>
      <c r="AG29" s="3">
        <f t="shared" si="37"/>
        <v>1102.4000000000001</v>
      </c>
      <c r="AH29" s="3">
        <f t="shared" si="37"/>
        <v>1102.4000000000001</v>
      </c>
      <c r="AI29" s="3">
        <f t="shared" si="37"/>
        <v>1102.4000000000001</v>
      </c>
      <c r="AJ29" s="3">
        <f t="shared" si="37"/>
        <v>1102.4000000000001</v>
      </c>
      <c r="AK29" s="3">
        <f t="shared" si="37"/>
        <v>1102.4000000000001</v>
      </c>
      <c r="AL29" s="3">
        <f t="shared" si="37"/>
        <v>1102.4000000000001</v>
      </c>
      <c r="AM29" s="3">
        <f t="shared" si="37"/>
        <v>1102.4000000000001</v>
      </c>
      <c r="AN29" s="3">
        <f t="shared" si="37"/>
        <v>1102.4000000000001</v>
      </c>
      <c r="AO29" s="3">
        <f t="shared" si="37"/>
        <v>1102.4000000000001</v>
      </c>
      <c r="AP29" s="3">
        <f t="shared" si="37"/>
        <v>1102.4000000000001</v>
      </c>
    </row>
    <row r="30" spans="1:42">
      <c r="A30" s="56" t="s">
        <v>335</v>
      </c>
      <c r="B30" s="59" t="str">
        <f>'O&amp;M Budget'!A43</f>
        <v>Cleaning Services</v>
      </c>
      <c r="C30" s="17">
        <f>17250*Factors!C16</f>
        <v>18285</v>
      </c>
      <c r="D30" s="3">
        <f t="shared" si="32"/>
        <v>18285</v>
      </c>
      <c r="E30" s="3">
        <f t="shared" ref="E30:N30" si="38">D30</f>
        <v>18285</v>
      </c>
      <c r="F30" s="3">
        <f t="shared" si="38"/>
        <v>18285</v>
      </c>
      <c r="G30" s="3">
        <f t="shared" si="38"/>
        <v>18285</v>
      </c>
      <c r="H30" s="3">
        <f t="shared" si="38"/>
        <v>18285</v>
      </c>
      <c r="I30" s="3">
        <f t="shared" si="38"/>
        <v>18285</v>
      </c>
      <c r="J30" s="3">
        <f t="shared" si="38"/>
        <v>18285</v>
      </c>
      <c r="K30" s="3">
        <f t="shared" si="38"/>
        <v>18285</v>
      </c>
      <c r="L30" s="3">
        <f t="shared" si="38"/>
        <v>18285</v>
      </c>
      <c r="M30" s="3">
        <f t="shared" si="38"/>
        <v>18285</v>
      </c>
      <c r="N30" s="3">
        <f t="shared" si="38"/>
        <v>18285</v>
      </c>
      <c r="P30" s="59" t="s">
        <v>336</v>
      </c>
      <c r="Q30" s="13">
        <f>N30*Factors!$R$16</f>
        <v>19016.400000000001</v>
      </c>
      <c r="R30" s="3">
        <f t="shared" si="30"/>
        <v>19016.400000000001</v>
      </c>
      <c r="S30" s="3">
        <f t="shared" si="30"/>
        <v>19016.400000000001</v>
      </c>
      <c r="T30" s="3">
        <f t="shared" si="30"/>
        <v>19016.400000000001</v>
      </c>
      <c r="U30" s="3">
        <f t="shared" si="30"/>
        <v>19016.400000000001</v>
      </c>
      <c r="V30" s="3">
        <f t="shared" si="30"/>
        <v>19016.400000000001</v>
      </c>
      <c r="W30" s="3">
        <f t="shared" si="30"/>
        <v>19016.400000000001</v>
      </c>
      <c r="X30" s="3">
        <f t="shared" si="30"/>
        <v>19016.400000000001</v>
      </c>
      <c r="Y30" s="3">
        <f t="shared" si="30"/>
        <v>19016.400000000001</v>
      </c>
      <c r="Z30" s="3">
        <f t="shared" si="30"/>
        <v>19016.400000000001</v>
      </c>
      <c r="AA30" s="3">
        <f t="shared" si="30"/>
        <v>19016.400000000001</v>
      </c>
      <c r="AB30" s="3">
        <f t="shared" si="30"/>
        <v>19016.400000000001</v>
      </c>
      <c r="AD30" s="59" t="s">
        <v>336</v>
      </c>
      <c r="AE30" s="13">
        <f>AB30*Factors!$AG$16</f>
        <v>20157.384000000002</v>
      </c>
      <c r="AF30" s="3">
        <f t="shared" ref="AF30:AP30" si="39">AE30</f>
        <v>20157.384000000002</v>
      </c>
      <c r="AG30" s="3">
        <f t="shared" si="39"/>
        <v>20157.384000000002</v>
      </c>
      <c r="AH30" s="3">
        <f t="shared" si="39"/>
        <v>20157.384000000002</v>
      </c>
      <c r="AI30" s="3">
        <f t="shared" si="39"/>
        <v>20157.384000000002</v>
      </c>
      <c r="AJ30" s="3">
        <f t="shared" si="39"/>
        <v>20157.384000000002</v>
      </c>
      <c r="AK30" s="3">
        <f t="shared" si="39"/>
        <v>20157.384000000002</v>
      </c>
      <c r="AL30" s="3">
        <f t="shared" si="39"/>
        <v>20157.384000000002</v>
      </c>
      <c r="AM30" s="3">
        <f t="shared" si="39"/>
        <v>20157.384000000002</v>
      </c>
      <c r="AN30" s="3">
        <f t="shared" si="39"/>
        <v>20157.384000000002</v>
      </c>
      <c r="AO30" s="3">
        <f t="shared" si="39"/>
        <v>20157.384000000002</v>
      </c>
      <c r="AP30" s="3">
        <f t="shared" si="39"/>
        <v>20157.384000000002</v>
      </c>
    </row>
    <row r="31" spans="1:42">
      <c r="A31" s="56" t="s">
        <v>337</v>
      </c>
      <c r="B31" s="59" t="str">
        <f>'O&amp;M Budget'!A44</f>
        <v>Computer/IT Services</v>
      </c>
      <c r="C31" s="17">
        <f>470+2000</f>
        <v>2470</v>
      </c>
      <c r="D31" s="3">
        <f t="shared" si="32"/>
        <v>2470</v>
      </c>
      <c r="E31" s="3">
        <f t="shared" ref="E31:N31" si="40">D31</f>
        <v>2470</v>
      </c>
      <c r="F31" s="3">
        <f t="shared" si="40"/>
        <v>2470</v>
      </c>
      <c r="G31" s="3">
        <f t="shared" si="40"/>
        <v>2470</v>
      </c>
      <c r="H31" s="3">
        <f t="shared" si="40"/>
        <v>2470</v>
      </c>
      <c r="I31" s="3">
        <f t="shared" si="40"/>
        <v>2470</v>
      </c>
      <c r="J31" s="3">
        <f t="shared" si="40"/>
        <v>2470</v>
      </c>
      <c r="K31" s="3">
        <f t="shared" si="40"/>
        <v>2470</v>
      </c>
      <c r="L31" s="3">
        <f t="shared" si="40"/>
        <v>2470</v>
      </c>
      <c r="M31" s="3">
        <f t="shared" si="40"/>
        <v>2470</v>
      </c>
      <c r="N31" s="3">
        <f t="shared" si="40"/>
        <v>2470</v>
      </c>
      <c r="P31" s="59" t="s">
        <v>338</v>
      </c>
      <c r="Q31" s="13">
        <f>N31*Factors!$R$16</f>
        <v>2568.8000000000002</v>
      </c>
      <c r="R31" s="3">
        <f t="shared" si="30"/>
        <v>2568.8000000000002</v>
      </c>
      <c r="S31" s="3">
        <f t="shared" si="30"/>
        <v>2568.8000000000002</v>
      </c>
      <c r="T31" s="3">
        <f t="shared" si="30"/>
        <v>2568.8000000000002</v>
      </c>
      <c r="U31" s="3">
        <f t="shared" si="30"/>
        <v>2568.8000000000002</v>
      </c>
      <c r="V31" s="3">
        <f t="shared" si="30"/>
        <v>2568.8000000000002</v>
      </c>
      <c r="W31" s="3">
        <f t="shared" si="30"/>
        <v>2568.8000000000002</v>
      </c>
      <c r="X31" s="3">
        <f t="shared" si="30"/>
        <v>2568.8000000000002</v>
      </c>
      <c r="Y31" s="3">
        <f t="shared" si="30"/>
        <v>2568.8000000000002</v>
      </c>
      <c r="Z31" s="3">
        <f t="shared" si="30"/>
        <v>2568.8000000000002</v>
      </c>
      <c r="AA31" s="3">
        <f t="shared" si="30"/>
        <v>2568.8000000000002</v>
      </c>
      <c r="AB31" s="3">
        <f t="shared" si="30"/>
        <v>2568.8000000000002</v>
      </c>
      <c r="AD31" s="59" t="s">
        <v>338</v>
      </c>
      <c r="AE31" s="13">
        <f>AB31*Factors!$AG$16</f>
        <v>2722.9280000000003</v>
      </c>
      <c r="AF31" s="3">
        <f t="shared" ref="AF31:AP31" si="41">AE31</f>
        <v>2722.9280000000003</v>
      </c>
      <c r="AG31" s="3">
        <f t="shared" si="41"/>
        <v>2722.9280000000003</v>
      </c>
      <c r="AH31" s="3">
        <f t="shared" si="41"/>
        <v>2722.9280000000003</v>
      </c>
      <c r="AI31" s="3">
        <f t="shared" si="41"/>
        <v>2722.9280000000003</v>
      </c>
      <c r="AJ31" s="3">
        <f t="shared" si="41"/>
        <v>2722.9280000000003</v>
      </c>
      <c r="AK31" s="3">
        <f t="shared" si="41"/>
        <v>2722.9280000000003</v>
      </c>
      <c r="AL31" s="3">
        <f t="shared" si="41"/>
        <v>2722.9280000000003</v>
      </c>
      <c r="AM31" s="3">
        <f t="shared" si="41"/>
        <v>2722.9280000000003</v>
      </c>
      <c r="AN31" s="3">
        <f t="shared" si="41"/>
        <v>2722.9280000000003</v>
      </c>
      <c r="AO31" s="3">
        <f t="shared" si="41"/>
        <v>2722.9280000000003</v>
      </c>
      <c r="AP31" s="3">
        <f t="shared" si="41"/>
        <v>2722.9280000000003</v>
      </c>
    </row>
    <row r="32" spans="1:42">
      <c r="A32" s="56" t="s">
        <v>339</v>
      </c>
      <c r="B32" s="59" t="str">
        <f>'O&amp;M Budget'!A45</f>
        <v>Office Equipment Maintenance</v>
      </c>
      <c r="C32" s="17">
        <v>300</v>
      </c>
      <c r="D32" s="3">
        <f t="shared" si="32"/>
        <v>300</v>
      </c>
      <c r="E32" s="3">
        <f t="shared" ref="E32:N32" si="42">D32</f>
        <v>300</v>
      </c>
      <c r="F32" s="3">
        <f t="shared" si="42"/>
        <v>300</v>
      </c>
      <c r="G32" s="3">
        <f t="shared" si="42"/>
        <v>300</v>
      </c>
      <c r="H32" s="3">
        <f t="shared" si="42"/>
        <v>300</v>
      </c>
      <c r="I32" s="3">
        <f t="shared" si="42"/>
        <v>300</v>
      </c>
      <c r="J32" s="3">
        <f t="shared" si="42"/>
        <v>300</v>
      </c>
      <c r="K32" s="3">
        <f t="shared" si="42"/>
        <v>300</v>
      </c>
      <c r="L32" s="3">
        <f t="shared" si="42"/>
        <v>300</v>
      </c>
      <c r="M32" s="3">
        <f t="shared" si="42"/>
        <v>300</v>
      </c>
      <c r="N32" s="3">
        <f t="shared" si="42"/>
        <v>300</v>
      </c>
      <c r="P32" s="59" t="s">
        <v>340</v>
      </c>
      <c r="Q32" s="13">
        <f>N32*Factors!$R$16</f>
        <v>312</v>
      </c>
      <c r="R32" s="3">
        <f t="shared" si="30"/>
        <v>312</v>
      </c>
      <c r="S32" s="3">
        <f t="shared" si="30"/>
        <v>312</v>
      </c>
      <c r="T32" s="3">
        <f t="shared" si="30"/>
        <v>312</v>
      </c>
      <c r="U32" s="3">
        <f t="shared" si="30"/>
        <v>312</v>
      </c>
      <c r="V32" s="3">
        <f t="shared" si="30"/>
        <v>312</v>
      </c>
      <c r="W32" s="3">
        <f t="shared" si="30"/>
        <v>312</v>
      </c>
      <c r="X32" s="3">
        <f t="shared" si="30"/>
        <v>312</v>
      </c>
      <c r="Y32" s="3">
        <f t="shared" si="30"/>
        <v>312</v>
      </c>
      <c r="Z32" s="3">
        <f t="shared" si="30"/>
        <v>312</v>
      </c>
      <c r="AA32" s="3">
        <f t="shared" si="30"/>
        <v>312</v>
      </c>
      <c r="AB32" s="3">
        <f t="shared" si="30"/>
        <v>312</v>
      </c>
      <c r="AD32" s="59" t="s">
        <v>340</v>
      </c>
      <c r="AE32" s="13">
        <f>AB32*Factors!$AG$16</f>
        <v>330.72</v>
      </c>
      <c r="AF32" s="3">
        <f t="shared" ref="AF32:AP32" si="43">AE32</f>
        <v>330.72</v>
      </c>
      <c r="AG32" s="3">
        <f t="shared" si="43"/>
        <v>330.72</v>
      </c>
      <c r="AH32" s="3">
        <f t="shared" si="43"/>
        <v>330.72</v>
      </c>
      <c r="AI32" s="3">
        <f t="shared" si="43"/>
        <v>330.72</v>
      </c>
      <c r="AJ32" s="3">
        <f t="shared" si="43"/>
        <v>330.72</v>
      </c>
      <c r="AK32" s="3">
        <f t="shared" si="43"/>
        <v>330.72</v>
      </c>
      <c r="AL32" s="3">
        <f t="shared" si="43"/>
        <v>330.72</v>
      </c>
      <c r="AM32" s="3">
        <f t="shared" si="43"/>
        <v>330.72</v>
      </c>
      <c r="AN32" s="3">
        <f t="shared" si="43"/>
        <v>330.72</v>
      </c>
      <c r="AO32" s="3">
        <f t="shared" si="43"/>
        <v>330.72</v>
      </c>
      <c r="AP32" s="3">
        <f t="shared" si="43"/>
        <v>330.72</v>
      </c>
    </row>
    <row r="33" spans="1:42" hidden="1">
      <c r="A33" s="56" t="s">
        <v>341</v>
      </c>
      <c r="B33" s="59" t="s">
        <v>342</v>
      </c>
      <c r="C33" s="17"/>
      <c r="D33" s="3">
        <f t="shared" si="32"/>
        <v>0</v>
      </c>
      <c r="E33" s="3">
        <f t="shared" ref="E33:N33" si="44">D33</f>
        <v>0</v>
      </c>
      <c r="F33" s="3">
        <f t="shared" si="44"/>
        <v>0</v>
      </c>
      <c r="G33" s="3">
        <f t="shared" si="44"/>
        <v>0</v>
      </c>
      <c r="H33" s="3">
        <f t="shared" si="44"/>
        <v>0</v>
      </c>
      <c r="I33" s="3">
        <f t="shared" si="44"/>
        <v>0</v>
      </c>
      <c r="J33" s="3">
        <f t="shared" si="44"/>
        <v>0</v>
      </c>
      <c r="K33" s="3">
        <f t="shared" si="44"/>
        <v>0</v>
      </c>
      <c r="L33" s="3">
        <f t="shared" si="44"/>
        <v>0</v>
      </c>
      <c r="M33" s="3">
        <f t="shared" si="44"/>
        <v>0</v>
      </c>
      <c r="N33" s="3">
        <f t="shared" si="44"/>
        <v>0</v>
      </c>
      <c r="P33" s="59" t="s">
        <v>342</v>
      </c>
      <c r="Q33" s="13">
        <f>N33*Factors!$R$16</f>
        <v>0</v>
      </c>
      <c r="R33" s="3">
        <f t="shared" si="30"/>
        <v>0</v>
      </c>
      <c r="S33" s="3">
        <f t="shared" si="30"/>
        <v>0</v>
      </c>
      <c r="T33" s="3">
        <f t="shared" si="30"/>
        <v>0</v>
      </c>
      <c r="U33" s="3">
        <f t="shared" si="30"/>
        <v>0</v>
      </c>
      <c r="V33" s="3">
        <f t="shared" si="30"/>
        <v>0</v>
      </c>
      <c r="W33" s="3">
        <f t="shared" si="30"/>
        <v>0</v>
      </c>
      <c r="X33" s="3">
        <f t="shared" si="30"/>
        <v>0</v>
      </c>
      <c r="Y33" s="3">
        <f t="shared" si="30"/>
        <v>0</v>
      </c>
      <c r="Z33" s="3">
        <f t="shared" si="30"/>
        <v>0</v>
      </c>
      <c r="AA33" s="3">
        <f t="shared" si="30"/>
        <v>0</v>
      </c>
      <c r="AB33" s="3">
        <f t="shared" si="30"/>
        <v>0</v>
      </c>
      <c r="AD33" s="59" t="s">
        <v>342</v>
      </c>
      <c r="AE33" s="13">
        <f>AB33*Factors!$AG$16</f>
        <v>0</v>
      </c>
      <c r="AF33" s="3">
        <f t="shared" ref="AF33:AP33" si="45">AE33</f>
        <v>0</v>
      </c>
      <c r="AG33" s="3">
        <f t="shared" si="45"/>
        <v>0</v>
      </c>
      <c r="AH33" s="3">
        <f t="shared" si="45"/>
        <v>0</v>
      </c>
      <c r="AI33" s="3">
        <f t="shared" si="45"/>
        <v>0</v>
      </c>
      <c r="AJ33" s="3">
        <f t="shared" si="45"/>
        <v>0</v>
      </c>
      <c r="AK33" s="3">
        <f t="shared" si="45"/>
        <v>0</v>
      </c>
      <c r="AL33" s="3">
        <f t="shared" si="45"/>
        <v>0</v>
      </c>
      <c r="AM33" s="3">
        <f t="shared" si="45"/>
        <v>0</v>
      </c>
      <c r="AN33" s="3">
        <f t="shared" si="45"/>
        <v>0</v>
      </c>
      <c r="AO33" s="3">
        <f t="shared" si="45"/>
        <v>0</v>
      </c>
      <c r="AP33" s="3">
        <f t="shared" si="45"/>
        <v>0</v>
      </c>
    </row>
    <row r="34" spans="1:42" hidden="1">
      <c r="A34" s="56" t="s">
        <v>343</v>
      </c>
      <c r="B34" s="59" t="s">
        <v>344</v>
      </c>
      <c r="C34" s="17"/>
      <c r="D34" s="3">
        <f t="shared" si="32"/>
        <v>0</v>
      </c>
      <c r="E34" s="3">
        <f t="shared" ref="E34:N34" si="46">D34</f>
        <v>0</v>
      </c>
      <c r="F34" s="3">
        <f t="shared" si="46"/>
        <v>0</v>
      </c>
      <c r="G34" s="3">
        <f t="shared" si="46"/>
        <v>0</v>
      </c>
      <c r="H34" s="3">
        <f t="shared" si="46"/>
        <v>0</v>
      </c>
      <c r="I34" s="3">
        <f t="shared" si="46"/>
        <v>0</v>
      </c>
      <c r="J34" s="3">
        <f t="shared" si="46"/>
        <v>0</v>
      </c>
      <c r="K34" s="3">
        <f t="shared" si="46"/>
        <v>0</v>
      </c>
      <c r="L34" s="3">
        <f t="shared" si="46"/>
        <v>0</v>
      </c>
      <c r="M34" s="3">
        <f t="shared" si="46"/>
        <v>0</v>
      </c>
      <c r="N34" s="3">
        <f t="shared" si="46"/>
        <v>0</v>
      </c>
      <c r="P34" s="59" t="s">
        <v>344</v>
      </c>
      <c r="Q34" s="13">
        <f>N34*Factors!$R$16</f>
        <v>0</v>
      </c>
      <c r="R34" s="3">
        <f t="shared" si="30"/>
        <v>0</v>
      </c>
      <c r="S34" s="3">
        <f t="shared" si="30"/>
        <v>0</v>
      </c>
      <c r="T34" s="3">
        <f t="shared" si="30"/>
        <v>0</v>
      </c>
      <c r="U34" s="3">
        <f t="shared" si="30"/>
        <v>0</v>
      </c>
      <c r="V34" s="3">
        <f t="shared" si="30"/>
        <v>0</v>
      </c>
      <c r="W34" s="3">
        <f t="shared" si="30"/>
        <v>0</v>
      </c>
      <c r="X34" s="3">
        <f t="shared" si="30"/>
        <v>0</v>
      </c>
      <c r="Y34" s="3">
        <f t="shared" si="30"/>
        <v>0</v>
      </c>
      <c r="Z34" s="3">
        <f t="shared" si="30"/>
        <v>0</v>
      </c>
      <c r="AA34" s="3">
        <f t="shared" si="30"/>
        <v>0</v>
      </c>
      <c r="AB34" s="3">
        <f t="shared" si="30"/>
        <v>0</v>
      </c>
      <c r="AD34" s="59" t="s">
        <v>344</v>
      </c>
      <c r="AE34" s="13">
        <f>AB34*Factors!$AG$16</f>
        <v>0</v>
      </c>
      <c r="AF34" s="3">
        <f t="shared" ref="AF34:AP34" si="47">AE34</f>
        <v>0</v>
      </c>
      <c r="AG34" s="3">
        <f t="shared" si="47"/>
        <v>0</v>
      </c>
      <c r="AH34" s="3">
        <f t="shared" si="47"/>
        <v>0</v>
      </c>
      <c r="AI34" s="3">
        <f t="shared" si="47"/>
        <v>0</v>
      </c>
      <c r="AJ34" s="3">
        <f t="shared" si="47"/>
        <v>0</v>
      </c>
      <c r="AK34" s="3">
        <f t="shared" si="47"/>
        <v>0</v>
      </c>
      <c r="AL34" s="3">
        <f t="shared" si="47"/>
        <v>0</v>
      </c>
      <c r="AM34" s="3">
        <f t="shared" si="47"/>
        <v>0</v>
      </c>
      <c r="AN34" s="3">
        <f t="shared" si="47"/>
        <v>0</v>
      </c>
      <c r="AO34" s="3">
        <f t="shared" si="47"/>
        <v>0</v>
      </c>
      <c r="AP34" s="3">
        <f t="shared" si="47"/>
        <v>0</v>
      </c>
    </row>
    <row r="35" spans="1:42">
      <c r="A35" s="56" t="s">
        <v>345</v>
      </c>
      <c r="B35" s="59" t="str">
        <f>'O&amp;M Budget'!A46</f>
        <v>Postage &amp; Courier</v>
      </c>
      <c r="C35" s="17">
        <f>1980*Factors!C16</f>
        <v>2098.8000000000002</v>
      </c>
      <c r="D35" s="3">
        <f t="shared" si="32"/>
        <v>2098.8000000000002</v>
      </c>
      <c r="E35" s="3">
        <f t="shared" ref="E35:N35" si="48">D35</f>
        <v>2098.8000000000002</v>
      </c>
      <c r="F35" s="3">
        <f t="shared" si="48"/>
        <v>2098.8000000000002</v>
      </c>
      <c r="G35" s="3">
        <f t="shared" si="48"/>
        <v>2098.8000000000002</v>
      </c>
      <c r="H35" s="3">
        <f t="shared" si="48"/>
        <v>2098.8000000000002</v>
      </c>
      <c r="I35" s="3">
        <f t="shared" si="48"/>
        <v>2098.8000000000002</v>
      </c>
      <c r="J35" s="3">
        <f t="shared" si="48"/>
        <v>2098.8000000000002</v>
      </c>
      <c r="K35" s="3">
        <f t="shared" si="48"/>
        <v>2098.8000000000002</v>
      </c>
      <c r="L35" s="3">
        <f t="shared" si="48"/>
        <v>2098.8000000000002</v>
      </c>
      <c r="M35" s="3">
        <f t="shared" si="48"/>
        <v>2098.8000000000002</v>
      </c>
      <c r="N35" s="3">
        <f t="shared" si="48"/>
        <v>2098.8000000000002</v>
      </c>
      <c r="P35" s="59" t="s">
        <v>346</v>
      </c>
      <c r="Q35" s="13">
        <f>N35*Factors!$R$16</f>
        <v>2182.7520000000004</v>
      </c>
      <c r="R35" s="3">
        <f t="shared" si="30"/>
        <v>2182.7520000000004</v>
      </c>
      <c r="S35" s="3">
        <f t="shared" si="30"/>
        <v>2182.7520000000004</v>
      </c>
      <c r="T35" s="3">
        <f t="shared" si="30"/>
        <v>2182.7520000000004</v>
      </c>
      <c r="U35" s="3">
        <f t="shared" si="30"/>
        <v>2182.7520000000004</v>
      </c>
      <c r="V35" s="3">
        <f t="shared" si="30"/>
        <v>2182.7520000000004</v>
      </c>
      <c r="W35" s="3">
        <f t="shared" si="30"/>
        <v>2182.7520000000004</v>
      </c>
      <c r="X35" s="3">
        <f t="shared" si="30"/>
        <v>2182.7520000000004</v>
      </c>
      <c r="Y35" s="3">
        <f t="shared" si="30"/>
        <v>2182.7520000000004</v>
      </c>
      <c r="Z35" s="3">
        <f t="shared" si="30"/>
        <v>2182.7520000000004</v>
      </c>
      <c r="AA35" s="3">
        <f t="shared" si="30"/>
        <v>2182.7520000000004</v>
      </c>
      <c r="AB35" s="3">
        <f t="shared" si="30"/>
        <v>2182.7520000000004</v>
      </c>
      <c r="AD35" s="59" t="s">
        <v>346</v>
      </c>
      <c r="AE35" s="13">
        <f>AB35*Factors!$AG$16</f>
        <v>2313.7171200000007</v>
      </c>
      <c r="AF35" s="3">
        <f t="shared" ref="AF35:AP35" si="49">AE35</f>
        <v>2313.7171200000007</v>
      </c>
      <c r="AG35" s="3">
        <f t="shared" si="49"/>
        <v>2313.7171200000007</v>
      </c>
      <c r="AH35" s="3">
        <f t="shared" si="49"/>
        <v>2313.7171200000007</v>
      </c>
      <c r="AI35" s="3">
        <f t="shared" si="49"/>
        <v>2313.7171200000007</v>
      </c>
      <c r="AJ35" s="3">
        <f t="shared" si="49"/>
        <v>2313.7171200000007</v>
      </c>
      <c r="AK35" s="3">
        <f t="shared" si="49"/>
        <v>2313.7171200000007</v>
      </c>
      <c r="AL35" s="3">
        <f t="shared" si="49"/>
        <v>2313.7171200000007</v>
      </c>
      <c r="AM35" s="3">
        <f t="shared" si="49"/>
        <v>2313.7171200000007</v>
      </c>
      <c r="AN35" s="3">
        <f t="shared" si="49"/>
        <v>2313.7171200000007</v>
      </c>
      <c r="AO35" s="3">
        <f t="shared" si="49"/>
        <v>2313.7171200000007</v>
      </c>
      <c r="AP35" s="3">
        <f t="shared" si="49"/>
        <v>2313.7171200000007</v>
      </c>
    </row>
    <row r="36" spans="1:42">
      <c r="A36" s="56" t="s">
        <v>347</v>
      </c>
      <c r="B36" s="59" t="str">
        <f>'O&amp;M Budget'!A47</f>
        <v>Main Telephone Services</v>
      </c>
      <c r="C36" s="17">
        <f>9300*Factors!C16</f>
        <v>9858</v>
      </c>
      <c r="D36" s="3">
        <f t="shared" si="32"/>
        <v>9858</v>
      </c>
      <c r="E36" s="3">
        <f t="shared" ref="E36:N36" si="50">D36</f>
        <v>9858</v>
      </c>
      <c r="F36" s="3">
        <f t="shared" si="50"/>
        <v>9858</v>
      </c>
      <c r="G36" s="3">
        <f t="shared" si="50"/>
        <v>9858</v>
      </c>
      <c r="H36" s="3">
        <f t="shared" si="50"/>
        <v>9858</v>
      </c>
      <c r="I36" s="3">
        <f t="shared" si="50"/>
        <v>9858</v>
      </c>
      <c r="J36" s="3">
        <f t="shared" si="50"/>
        <v>9858</v>
      </c>
      <c r="K36" s="3">
        <f t="shared" si="50"/>
        <v>9858</v>
      </c>
      <c r="L36" s="3">
        <f t="shared" si="50"/>
        <v>9858</v>
      </c>
      <c r="M36" s="3">
        <f t="shared" si="50"/>
        <v>9858</v>
      </c>
      <c r="N36" s="3">
        <f t="shared" si="50"/>
        <v>9858</v>
      </c>
      <c r="P36" s="59" t="s">
        <v>348</v>
      </c>
      <c r="Q36" s="13">
        <f>N36*Factors!$R$16</f>
        <v>10252.32</v>
      </c>
      <c r="R36" s="3">
        <f t="shared" si="30"/>
        <v>10252.32</v>
      </c>
      <c r="S36" s="3">
        <f t="shared" si="30"/>
        <v>10252.32</v>
      </c>
      <c r="T36" s="3">
        <f t="shared" si="30"/>
        <v>10252.32</v>
      </c>
      <c r="U36" s="3">
        <f t="shared" si="30"/>
        <v>10252.32</v>
      </c>
      <c r="V36" s="3">
        <f t="shared" si="30"/>
        <v>10252.32</v>
      </c>
      <c r="W36" s="3">
        <f t="shared" si="30"/>
        <v>10252.32</v>
      </c>
      <c r="X36" s="3">
        <f t="shared" si="30"/>
        <v>10252.32</v>
      </c>
      <c r="Y36" s="3">
        <f t="shared" si="30"/>
        <v>10252.32</v>
      </c>
      <c r="Z36" s="3">
        <f t="shared" si="30"/>
        <v>10252.32</v>
      </c>
      <c r="AA36" s="3">
        <f t="shared" si="30"/>
        <v>10252.32</v>
      </c>
      <c r="AB36" s="3">
        <f t="shared" si="30"/>
        <v>10252.32</v>
      </c>
      <c r="AD36" s="59" t="s">
        <v>348</v>
      </c>
      <c r="AE36" s="13">
        <f>AB36*Factors!$AG$16</f>
        <v>10867.459200000001</v>
      </c>
      <c r="AF36" s="3">
        <f t="shared" ref="AF36:AP36" si="51">AE36</f>
        <v>10867.459200000001</v>
      </c>
      <c r="AG36" s="3">
        <f t="shared" si="51"/>
        <v>10867.459200000001</v>
      </c>
      <c r="AH36" s="3">
        <f t="shared" si="51"/>
        <v>10867.459200000001</v>
      </c>
      <c r="AI36" s="3">
        <f t="shared" si="51"/>
        <v>10867.459200000001</v>
      </c>
      <c r="AJ36" s="3">
        <f t="shared" si="51"/>
        <v>10867.459200000001</v>
      </c>
      <c r="AK36" s="3">
        <f t="shared" si="51"/>
        <v>10867.459200000001</v>
      </c>
      <c r="AL36" s="3">
        <f t="shared" si="51"/>
        <v>10867.459200000001</v>
      </c>
      <c r="AM36" s="3">
        <f t="shared" si="51"/>
        <v>10867.459200000001</v>
      </c>
      <c r="AN36" s="3">
        <f t="shared" si="51"/>
        <v>10867.459200000001</v>
      </c>
      <c r="AO36" s="3">
        <f t="shared" si="51"/>
        <v>10867.459200000001</v>
      </c>
      <c r="AP36" s="3">
        <f t="shared" si="51"/>
        <v>10867.459200000001</v>
      </c>
    </row>
    <row r="37" spans="1:42">
      <c r="A37" s="56" t="s">
        <v>349</v>
      </c>
      <c r="B37" s="59" t="str">
        <f>'O&amp;M Budget'!A48</f>
        <v>Mobile Phone Services</v>
      </c>
      <c r="C37" s="17">
        <f>4600*Factors!C16</f>
        <v>4876</v>
      </c>
      <c r="D37" s="3">
        <f t="shared" si="32"/>
        <v>4876</v>
      </c>
      <c r="E37" s="3">
        <f t="shared" ref="E37:N37" si="52">D37</f>
        <v>4876</v>
      </c>
      <c r="F37" s="3">
        <f t="shared" si="52"/>
        <v>4876</v>
      </c>
      <c r="G37" s="3">
        <f t="shared" si="52"/>
        <v>4876</v>
      </c>
      <c r="H37" s="3">
        <f t="shared" si="52"/>
        <v>4876</v>
      </c>
      <c r="I37" s="3">
        <f t="shared" si="52"/>
        <v>4876</v>
      </c>
      <c r="J37" s="3">
        <f t="shared" si="52"/>
        <v>4876</v>
      </c>
      <c r="K37" s="3">
        <f t="shared" si="52"/>
        <v>4876</v>
      </c>
      <c r="L37" s="3">
        <f t="shared" si="52"/>
        <v>4876</v>
      </c>
      <c r="M37" s="3">
        <f t="shared" si="52"/>
        <v>4876</v>
      </c>
      <c r="N37" s="3">
        <f t="shared" si="52"/>
        <v>4876</v>
      </c>
      <c r="P37" s="59" t="s">
        <v>350</v>
      </c>
      <c r="Q37" s="13">
        <f>N37*Factors!$R$16</f>
        <v>5071.04</v>
      </c>
      <c r="R37" s="3">
        <f t="shared" si="30"/>
        <v>5071.04</v>
      </c>
      <c r="S37" s="3">
        <f t="shared" si="30"/>
        <v>5071.04</v>
      </c>
      <c r="T37" s="3">
        <f t="shared" si="30"/>
        <v>5071.04</v>
      </c>
      <c r="U37" s="3">
        <f t="shared" si="30"/>
        <v>5071.04</v>
      </c>
      <c r="V37" s="3">
        <f t="shared" si="30"/>
        <v>5071.04</v>
      </c>
      <c r="W37" s="3">
        <f t="shared" si="30"/>
        <v>5071.04</v>
      </c>
      <c r="X37" s="3">
        <f t="shared" si="30"/>
        <v>5071.04</v>
      </c>
      <c r="Y37" s="3">
        <f t="shared" si="30"/>
        <v>5071.04</v>
      </c>
      <c r="Z37" s="3">
        <f t="shared" si="30"/>
        <v>5071.04</v>
      </c>
      <c r="AA37" s="3">
        <f t="shared" si="30"/>
        <v>5071.04</v>
      </c>
      <c r="AB37" s="3">
        <f t="shared" si="30"/>
        <v>5071.04</v>
      </c>
      <c r="AD37" s="59" t="s">
        <v>350</v>
      </c>
      <c r="AE37" s="13">
        <f>AB37*Factors!$AG$16</f>
        <v>5375.3024000000005</v>
      </c>
      <c r="AF37" s="3">
        <f t="shared" ref="AF37:AP37" si="53">AE37</f>
        <v>5375.3024000000005</v>
      </c>
      <c r="AG37" s="3">
        <f t="shared" si="53"/>
        <v>5375.3024000000005</v>
      </c>
      <c r="AH37" s="3">
        <f t="shared" si="53"/>
        <v>5375.3024000000005</v>
      </c>
      <c r="AI37" s="3">
        <f t="shared" si="53"/>
        <v>5375.3024000000005</v>
      </c>
      <c r="AJ37" s="3">
        <f t="shared" si="53"/>
        <v>5375.3024000000005</v>
      </c>
      <c r="AK37" s="3">
        <f t="shared" si="53"/>
        <v>5375.3024000000005</v>
      </c>
      <c r="AL37" s="3">
        <f t="shared" si="53"/>
        <v>5375.3024000000005</v>
      </c>
      <c r="AM37" s="3">
        <f t="shared" si="53"/>
        <v>5375.3024000000005</v>
      </c>
      <c r="AN37" s="3">
        <f t="shared" si="53"/>
        <v>5375.3024000000005</v>
      </c>
      <c r="AO37" s="3">
        <f t="shared" si="53"/>
        <v>5375.3024000000005</v>
      </c>
      <c r="AP37" s="3">
        <f t="shared" si="53"/>
        <v>5375.3024000000005</v>
      </c>
    </row>
    <row r="38" spans="1:42">
      <c r="A38" s="56" t="s">
        <v>351</v>
      </c>
      <c r="B38" s="59" t="s">
        <v>1237</v>
      </c>
      <c r="C38" s="17">
        <f>4750*Factors!C16</f>
        <v>5035</v>
      </c>
      <c r="D38" s="3">
        <f t="shared" si="32"/>
        <v>5035</v>
      </c>
      <c r="E38" s="3">
        <f t="shared" ref="E38:N38" si="54">D38</f>
        <v>5035</v>
      </c>
      <c r="F38" s="3">
        <f t="shared" si="54"/>
        <v>5035</v>
      </c>
      <c r="G38" s="3">
        <f t="shared" si="54"/>
        <v>5035</v>
      </c>
      <c r="H38" s="3">
        <f t="shared" si="54"/>
        <v>5035</v>
      </c>
      <c r="I38" s="3">
        <f t="shared" si="54"/>
        <v>5035</v>
      </c>
      <c r="J38" s="3">
        <f t="shared" si="54"/>
        <v>5035</v>
      </c>
      <c r="K38" s="3">
        <f t="shared" si="54"/>
        <v>5035</v>
      </c>
      <c r="L38" s="3">
        <f t="shared" si="54"/>
        <v>5035</v>
      </c>
      <c r="M38" s="3">
        <f t="shared" si="54"/>
        <v>5035</v>
      </c>
      <c r="N38" s="3">
        <f t="shared" si="54"/>
        <v>5035</v>
      </c>
      <c r="P38" s="59" t="s">
        <v>352</v>
      </c>
      <c r="Q38" s="13">
        <f>N38*Factors!$R$16</f>
        <v>5236.4000000000005</v>
      </c>
      <c r="R38" s="3">
        <f t="shared" si="30"/>
        <v>5236.4000000000005</v>
      </c>
      <c r="S38" s="3">
        <f t="shared" si="30"/>
        <v>5236.4000000000005</v>
      </c>
      <c r="T38" s="3">
        <f t="shared" si="30"/>
        <v>5236.4000000000005</v>
      </c>
      <c r="U38" s="3">
        <f t="shared" si="30"/>
        <v>5236.4000000000005</v>
      </c>
      <c r="V38" s="3">
        <f t="shared" si="30"/>
        <v>5236.4000000000005</v>
      </c>
      <c r="W38" s="3">
        <f t="shared" si="30"/>
        <v>5236.4000000000005</v>
      </c>
      <c r="X38" s="3">
        <f t="shared" si="30"/>
        <v>5236.4000000000005</v>
      </c>
      <c r="Y38" s="3">
        <f t="shared" si="30"/>
        <v>5236.4000000000005</v>
      </c>
      <c r="Z38" s="3">
        <f t="shared" si="30"/>
        <v>5236.4000000000005</v>
      </c>
      <c r="AA38" s="3">
        <f t="shared" si="30"/>
        <v>5236.4000000000005</v>
      </c>
      <c r="AB38" s="3">
        <f t="shared" si="30"/>
        <v>5236.4000000000005</v>
      </c>
      <c r="AD38" s="59" t="s">
        <v>352</v>
      </c>
      <c r="AE38" s="13">
        <f>AB38*Factors!$AG$16</f>
        <v>5550.5840000000007</v>
      </c>
      <c r="AF38" s="3">
        <f t="shared" ref="AF38:AP38" si="55">AE38</f>
        <v>5550.5840000000007</v>
      </c>
      <c r="AG38" s="3">
        <f t="shared" si="55"/>
        <v>5550.5840000000007</v>
      </c>
      <c r="AH38" s="3">
        <f t="shared" si="55"/>
        <v>5550.5840000000007</v>
      </c>
      <c r="AI38" s="3">
        <f t="shared" si="55"/>
        <v>5550.5840000000007</v>
      </c>
      <c r="AJ38" s="3">
        <f t="shared" si="55"/>
        <v>5550.5840000000007</v>
      </c>
      <c r="AK38" s="3">
        <f t="shared" si="55"/>
        <v>5550.5840000000007</v>
      </c>
      <c r="AL38" s="3">
        <f t="shared" si="55"/>
        <v>5550.5840000000007</v>
      </c>
      <c r="AM38" s="3">
        <f t="shared" si="55"/>
        <v>5550.5840000000007</v>
      </c>
      <c r="AN38" s="3">
        <f t="shared" si="55"/>
        <v>5550.5840000000007</v>
      </c>
      <c r="AO38" s="3">
        <f t="shared" si="55"/>
        <v>5550.5840000000007</v>
      </c>
      <c r="AP38" s="3">
        <f t="shared" si="55"/>
        <v>5550.5840000000007</v>
      </c>
    </row>
    <row r="39" spans="1:42">
      <c r="A39" s="56" t="s">
        <v>353</v>
      </c>
      <c r="B39" s="59" t="str">
        <f>'O&amp;M Budget'!A50</f>
        <v>Site Security</v>
      </c>
      <c r="C39" s="17">
        <f>16000*Factors!C16</f>
        <v>16960</v>
      </c>
      <c r="D39" s="3">
        <f t="shared" si="32"/>
        <v>16960</v>
      </c>
      <c r="E39" s="3">
        <f t="shared" ref="E39:N39" si="56">D39</f>
        <v>16960</v>
      </c>
      <c r="F39" s="3">
        <f t="shared" si="56"/>
        <v>16960</v>
      </c>
      <c r="G39" s="3">
        <f t="shared" si="56"/>
        <v>16960</v>
      </c>
      <c r="H39" s="3">
        <f t="shared" si="56"/>
        <v>16960</v>
      </c>
      <c r="I39" s="3">
        <f t="shared" si="56"/>
        <v>16960</v>
      </c>
      <c r="J39" s="3">
        <f t="shared" si="56"/>
        <v>16960</v>
      </c>
      <c r="K39" s="3">
        <f t="shared" si="56"/>
        <v>16960</v>
      </c>
      <c r="L39" s="3">
        <f t="shared" si="56"/>
        <v>16960</v>
      </c>
      <c r="M39" s="3">
        <f t="shared" si="56"/>
        <v>16960</v>
      </c>
      <c r="N39" s="3">
        <f t="shared" si="56"/>
        <v>16960</v>
      </c>
      <c r="P39" s="59" t="s">
        <v>354</v>
      </c>
      <c r="Q39" s="13">
        <f>N39*Factors!$R$16</f>
        <v>17638.400000000001</v>
      </c>
      <c r="R39" s="3">
        <f t="shared" si="30"/>
        <v>17638.400000000001</v>
      </c>
      <c r="S39" s="3">
        <f t="shared" si="30"/>
        <v>17638.400000000001</v>
      </c>
      <c r="T39" s="3">
        <f t="shared" si="30"/>
        <v>17638.400000000001</v>
      </c>
      <c r="U39" s="3">
        <f t="shared" si="30"/>
        <v>17638.400000000001</v>
      </c>
      <c r="V39" s="3">
        <f t="shared" si="30"/>
        <v>17638.400000000001</v>
      </c>
      <c r="W39" s="3">
        <f t="shared" si="30"/>
        <v>17638.400000000001</v>
      </c>
      <c r="X39" s="3">
        <f t="shared" si="30"/>
        <v>17638.400000000001</v>
      </c>
      <c r="Y39" s="3">
        <f t="shared" si="30"/>
        <v>17638.400000000001</v>
      </c>
      <c r="Z39" s="3">
        <f t="shared" si="30"/>
        <v>17638.400000000001</v>
      </c>
      <c r="AA39" s="3">
        <f t="shared" si="30"/>
        <v>17638.400000000001</v>
      </c>
      <c r="AB39" s="3">
        <f t="shared" si="30"/>
        <v>17638.400000000001</v>
      </c>
      <c r="AD39" s="59" t="s">
        <v>354</v>
      </c>
      <c r="AE39" s="13">
        <f>AB39*Factors!$AG$16</f>
        <v>18696.704000000002</v>
      </c>
      <c r="AF39" s="3">
        <f t="shared" ref="AF39:AP39" si="57">AE39</f>
        <v>18696.704000000002</v>
      </c>
      <c r="AG39" s="3">
        <f t="shared" si="57"/>
        <v>18696.704000000002</v>
      </c>
      <c r="AH39" s="3">
        <f t="shared" si="57"/>
        <v>18696.704000000002</v>
      </c>
      <c r="AI39" s="3">
        <f t="shared" si="57"/>
        <v>18696.704000000002</v>
      </c>
      <c r="AJ39" s="3">
        <f t="shared" si="57"/>
        <v>18696.704000000002</v>
      </c>
      <c r="AK39" s="3">
        <f t="shared" si="57"/>
        <v>18696.704000000002</v>
      </c>
      <c r="AL39" s="3">
        <f t="shared" si="57"/>
        <v>18696.704000000002</v>
      </c>
      <c r="AM39" s="3">
        <f t="shared" si="57"/>
        <v>18696.704000000002</v>
      </c>
      <c r="AN39" s="3">
        <f t="shared" si="57"/>
        <v>18696.704000000002</v>
      </c>
      <c r="AO39" s="3">
        <f t="shared" si="57"/>
        <v>18696.704000000002</v>
      </c>
      <c r="AP39" s="3">
        <f t="shared" si="57"/>
        <v>18696.704000000002</v>
      </c>
    </row>
    <row r="40" spans="1:42">
      <c r="A40" s="56" t="s">
        <v>355</v>
      </c>
      <c r="B40" s="59" t="str">
        <f>'O&amp;M Budget'!A51</f>
        <v>Landscape Maintenance</v>
      </c>
      <c r="C40" s="17">
        <f>10000*Factors!C16</f>
        <v>10600</v>
      </c>
      <c r="D40" s="3">
        <f t="shared" si="32"/>
        <v>10600</v>
      </c>
      <c r="E40" s="3">
        <f t="shared" ref="E40:N40" si="58">D40</f>
        <v>10600</v>
      </c>
      <c r="F40" s="3">
        <f t="shared" si="58"/>
        <v>10600</v>
      </c>
      <c r="G40" s="3">
        <f t="shared" si="58"/>
        <v>10600</v>
      </c>
      <c r="H40" s="3">
        <f t="shared" si="58"/>
        <v>10600</v>
      </c>
      <c r="I40" s="3">
        <f t="shared" si="58"/>
        <v>10600</v>
      </c>
      <c r="J40" s="3">
        <f t="shared" si="58"/>
        <v>10600</v>
      </c>
      <c r="K40" s="3">
        <f t="shared" si="58"/>
        <v>10600</v>
      </c>
      <c r="L40" s="3">
        <f t="shared" si="58"/>
        <v>10600</v>
      </c>
      <c r="M40" s="3">
        <f t="shared" si="58"/>
        <v>10600</v>
      </c>
      <c r="N40" s="3">
        <f t="shared" si="58"/>
        <v>10600</v>
      </c>
      <c r="P40" s="59" t="s">
        <v>356</v>
      </c>
      <c r="Q40" s="13">
        <f>N40*Factors!$R$16</f>
        <v>11024</v>
      </c>
      <c r="R40" s="3">
        <f t="shared" si="30"/>
        <v>11024</v>
      </c>
      <c r="S40" s="3">
        <f t="shared" si="30"/>
        <v>11024</v>
      </c>
      <c r="T40" s="3">
        <f t="shared" si="30"/>
        <v>11024</v>
      </c>
      <c r="U40" s="3">
        <f t="shared" si="30"/>
        <v>11024</v>
      </c>
      <c r="V40" s="3">
        <f t="shared" si="30"/>
        <v>11024</v>
      </c>
      <c r="W40" s="3">
        <f t="shared" si="30"/>
        <v>11024</v>
      </c>
      <c r="X40" s="3">
        <f t="shared" si="30"/>
        <v>11024</v>
      </c>
      <c r="Y40" s="3">
        <f t="shared" si="30"/>
        <v>11024</v>
      </c>
      <c r="Z40" s="3">
        <f t="shared" si="30"/>
        <v>11024</v>
      </c>
      <c r="AA40" s="3">
        <f t="shared" si="30"/>
        <v>11024</v>
      </c>
      <c r="AB40" s="3">
        <f t="shared" si="30"/>
        <v>11024</v>
      </c>
      <c r="AD40" s="59" t="s">
        <v>356</v>
      </c>
      <c r="AE40" s="13">
        <f>AB40*Factors!$AG$16</f>
        <v>11685.44</v>
      </c>
      <c r="AF40" s="3">
        <f t="shared" ref="AF40:AP40" si="59">AE40</f>
        <v>11685.44</v>
      </c>
      <c r="AG40" s="3">
        <f t="shared" si="59"/>
        <v>11685.44</v>
      </c>
      <c r="AH40" s="3">
        <f t="shared" si="59"/>
        <v>11685.44</v>
      </c>
      <c r="AI40" s="3">
        <f t="shared" si="59"/>
        <v>11685.44</v>
      </c>
      <c r="AJ40" s="3">
        <f t="shared" si="59"/>
        <v>11685.44</v>
      </c>
      <c r="AK40" s="3">
        <f t="shared" si="59"/>
        <v>11685.44</v>
      </c>
      <c r="AL40" s="3">
        <f t="shared" si="59"/>
        <v>11685.44</v>
      </c>
      <c r="AM40" s="3">
        <f t="shared" si="59"/>
        <v>11685.44</v>
      </c>
      <c r="AN40" s="3">
        <f t="shared" si="59"/>
        <v>11685.44</v>
      </c>
      <c r="AO40" s="3">
        <f t="shared" si="59"/>
        <v>11685.44</v>
      </c>
      <c r="AP40" s="3">
        <f t="shared" si="59"/>
        <v>11685.44</v>
      </c>
    </row>
    <row r="41" spans="1:42">
      <c r="A41" s="56" t="s">
        <v>508</v>
      </c>
      <c r="B41" s="59" t="str">
        <f>'O&amp;M Budget'!A52</f>
        <v>Weather Services</v>
      </c>
      <c r="C41" s="17">
        <f>1600*Factors!C16</f>
        <v>1696</v>
      </c>
      <c r="D41" s="3">
        <f t="shared" ref="D41:N41" si="60">C41</f>
        <v>1696</v>
      </c>
      <c r="E41" s="3">
        <f t="shared" si="60"/>
        <v>1696</v>
      </c>
      <c r="F41" s="3">
        <f t="shared" si="60"/>
        <v>1696</v>
      </c>
      <c r="G41" s="3">
        <f t="shared" si="60"/>
        <v>1696</v>
      </c>
      <c r="H41" s="3">
        <f t="shared" si="60"/>
        <v>1696</v>
      </c>
      <c r="I41" s="3">
        <f t="shared" si="60"/>
        <v>1696</v>
      </c>
      <c r="J41" s="3">
        <f t="shared" si="60"/>
        <v>1696</v>
      </c>
      <c r="K41" s="3">
        <f t="shared" si="60"/>
        <v>1696</v>
      </c>
      <c r="L41" s="3">
        <f t="shared" si="60"/>
        <v>1696</v>
      </c>
      <c r="M41" s="3">
        <f t="shared" si="60"/>
        <v>1696</v>
      </c>
      <c r="N41" s="3">
        <f t="shared" si="60"/>
        <v>1696</v>
      </c>
      <c r="P41" s="59" t="s">
        <v>509</v>
      </c>
      <c r="Q41" s="13">
        <f>N41*Factors!$R$16</f>
        <v>1763.8400000000001</v>
      </c>
      <c r="R41" s="3">
        <f t="shared" ref="R41:AB41" si="61">Q41</f>
        <v>1763.8400000000001</v>
      </c>
      <c r="S41" s="3">
        <f t="shared" si="61"/>
        <v>1763.8400000000001</v>
      </c>
      <c r="T41" s="3">
        <f t="shared" si="61"/>
        <v>1763.8400000000001</v>
      </c>
      <c r="U41" s="3">
        <f t="shared" si="61"/>
        <v>1763.8400000000001</v>
      </c>
      <c r="V41" s="3">
        <f t="shared" si="61"/>
        <v>1763.8400000000001</v>
      </c>
      <c r="W41" s="3">
        <f t="shared" si="61"/>
        <v>1763.8400000000001</v>
      </c>
      <c r="X41" s="3">
        <f t="shared" si="61"/>
        <v>1763.8400000000001</v>
      </c>
      <c r="Y41" s="3">
        <f t="shared" si="61"/>
        <v>1763.8400000000001</v>
      </c>
      <c r="Z41" s="3">
        <f t="shared" si="61"/>
        <v>1763.8400000000001</v>
      </c>
      <c r="AA41" s="3">
        <f t="shared" si="61"/>
        <v>1763.8400000000001</v>
      </c>
      <c r="AB41" s="3">
        <f t="shared" si="61"/>
        <v>1763.8400000000001</v>
      </c>
      <c r="AD41" s="59" t="s">
        <v>509</v>
      </c>
      <c r="AE41" s="13">
        <f>AB41*Factors!$AG$16</f>
        <v>1869.6704000000002</v>
      </c>
      <c r="AF41" s="3">
        <f t="shared" ref="AF41:AP41" si="62">AE41</f>
        <v>1869.6704000000002</v>
      </c>
      <c r="AG41" s="3">
        <f t="shared" si="62"/>
        <v>1869.6704000000002</v>
      </c>
      <c r="AH41" s="3">
        <f t="shared" si="62"/>
        <v>1869.6704000000002</v>
      </c>
      <c r="AI41" s="3">
        <f t="shared" si="62"/>
        <v>1869.6704000000002</v>
      </c>
      <c r="AJ41" s="3">
        <f t="shared" si="62"/>
        <v>1869.6704000000002</v>
      </c>
      <c r="AK41" s="3">
        <f t="shared" si="62"/>
        <v>1869.6704000000002</v>
      </c>
      <c r="AL41" s="3">
        <f t="shared" si="62"/>
        <v>1869.6704000000002</v>
      </c>
      <c r="AM41" s="3">
        <f t="shared" si="62"/>
        <v>1869.6704000000002</v>
      </c>
      <c r="AN41" s="3">
        <f t="shared" si="62"/>
        <v>1869.6704000000002</v>
      </c>
      <c r="AO41" s="3">
        <f t="shared" si="62"/>
        <v>1869.6704000000002</v>
      </c>
      <c r="AP41" s="3">
        <f t="shared" si="62"/>
        <v>1869.6704000000002</v>
      </c>
    </row>
    <row r="42" spans="1:42">
      <c r="A42" s="56" t="s">
        <v>357</v>
      </c>
      <c r="B42" s="59" t="str">
        <f>'O&amp;M Budget'!A53</f>
        <v>Other Services</v>
      </c>
      <c r="C42" s="17">
        <v>2000</v>
      </c>
      <c r="D42" s="3">
        <f t="shared" ref="D42:N42" si="63">C42</f>
        <v>2000</v>
      </c>
      <c r="E42" s="3">
        <f t="shared" si="63"/>
        <v>2000</v>
      </c>
      <c r="F42" s="3">
        <f t="shared" si="63"/>
        <v>2000</v>
      </c>
      <c r="G42" s="3">
        <f t="shared" si="63"/>
        <v>2000</v>
      </c>
      <c r="H42" s="3">
        <f t="shared" si="63"/>
        <v>2000</v>
      </c>
      <c r="I42" s="3">
        <f t="shared" si="63"/>
        <v>2000</v>
      </c>
      <c r="J42" s="3">
        <f t="shared" si="63"/>
        <v>2000</v>
      </c>
      <c r="K42" s="3">
        <f t="shared" si="63"/>
        <v>2000</v>
      </c>
      <c r="L42" s="3">
        <f t="shared" si="63"/>
        <v>2000</v>
      </c>
      <c r="M42" s="3">
        <f t="shared" si="63"/>
        <v>2000</v>
      </c>
      <c r="N42" s="3">
        <f t="shared" si="63"/>
        <v>2000</v>
      </c>
      <c r="P42" s="59" t="s">
        <v>358</v>
      </c>
      <c r="Q42" s="13">
        <f>N42*Factors!$R$16</f>
        <v>2080</v>
      </c>
      <c r="R42" s="3">
        <f t="shared" ref="R42:AB42" si="64">Q42</f>
        <v>2080</v>
      </c>
      <c r="S42" s="3">
        <f t="shared" si="64"/>
        <v>2080</v>
      </c>
      <c r="T42" s="3">
        <f t="shared" si="64"/>
        <v>2080</v>
      </c>
      <c r="U42" s="3">
        <f t="shared" si="64"/>
        <v>2080</v>
      </c>
      <c r="V42" s="3">
        <f t="shared" si="64"/>
        <v>2080</v>
      </c>
      <c r="W42" s="3">
        <f t="shared" si="64"/>
        <v>2080</v>
      </c>
      <c r="X42" s="3">
        <f t="shared" si="64"/>
        <v>2080</v>
      </c>
      <c r="Y42" s="3">
        <f t="shared" si="64"/>
        <v>2080</v>
      </c>
      <c r="Z42" s="3">
        <f t="shared" si="64"/>
        <v>2080</v>
      </c>
      <c r="AA42" s="3">
        <f t="shared" si="64"/>
        <v>2080</v>
      </c>
      <c r="AB42" s="3">
        <f t="shared" si="64"/>
        <v>2080</v>
      </c>
      <c r="AD42" s="59" t="s">
        <v>358</v>
      </c>
      <c r="AE42" s="13">
        <f>AB42*Factors!$AG$16</f>
        <v>2204.8000000000002</v>
      </c>
      <c r="AF42" s="3">
        <f t="shared" ref="AF42:AP42" si="65">AE42</f>
        <v>2204.8000000000002</v>
      </c>
      <c r="AG42" s="3">
        <f t="shared" si="65"/>
        <v>2204.8000000000002</v>
      </c>
      <c r="AH42" s="3">
        <f t="shared" si="65"/>
        <v>2204.8000000000002</v>
      </c>
      <c r="AI42" s="3">
        <f t="shared" si="65"/>
        <v>2204.8000000000002</v>
      </c>
      <c r="AJ42" s="3">
        <f t="shared" si="65"/>
        <v>2204.8000000000002</v>
      </c>
      <c r="AK42" s="3">
        <f t="shared" si="65"/>
        <v>2204.8000000000002</v>
      </c>
      <c r="AL42" s="3">
        <f t="shared" si="65"/>
        <v>2204.8000000000002</v>
      </c>
      <c r="AM42" s="3">
        <f t="shared" si="65"/>
        <v>2204.8000000000002</v>
      </c>
      <c r="AN42" s="3">
        <f t="shared" si="65"/>
        <v>2204.8000000000002</v>
      </c>
      <c r="AO42" s="3">
        <f t="shared" si="65"/>
        <v>2204.8000000000002</v>
      </c>
      <c r="AP42" s="3">
        <f t="shared" si="65"/>
        <v>2204.8000000000002</v>
      </c>
    </row>
    <row r="43" spans="1:42" s="2" customFormat="1" ht="13.5" thickBot="1">
      <c r="B43" s="136" t="s">
        <v>97</v>
      </c>
      <c r="C43" s="209">
        <f t="shared" ref="C43:N43" si="66">SUM(C26:C42)</f>
        <v>82832</v>
      </c>
      <c r="D43" s="209">
        <f t="shared" si="66"/>
        <v>82832</v>
      </c>
      <c r="E43" s="209">
        <f t="shared" si="66"/>
        <v>82832</v>
      </c>
      <c r="F43" s="209">
        <f t="shared" si="66"/>
        <v>82832</v>
      </c>
      <c r="G43" s="209">
        <f t="shared" si="66"/>
        <v>82832</v>
      </c>
      <c r="H43" s="209">
        <f t="shared" si="66"/>
        <v>82832</v>
      </c>
      <c r="I43" s="209">
        <f t="shared" si="66"/>
        <v>82832</v>
      </c>
      <c r="J43" s="209">
        <f t="shared" si="66"/>
        <v>82832</v>
      </c>
      <c r="K43" s="209">
        <f t="shared" si="66"/>
        <v>82832</v>
      </c>
      <c r="L43" s="209">
        <f t="shared" si="66"/>
        <v>82832</v>
      </c>
      <c r="M43" s="209">
        <f t="shared" si="66"/>
        <v>82832</v>
      </c>
      <c r="N43" s="209">
        <f t="shared" si="66"/>
        <v>82832</v>
      </c>
      <c r="Q43" s="209">
        <f t="shared" ref="Q43:AB43" si="67">SUM(Q26:Q42)</f>
        <v>86145.279999999999</v>
      </c>
      <c r="R43" s="209">
        <f t="shared" si="67"/>
        <v>86145.279999999999</v>
      </c>
      <c r="S43" s="209">
        <f t="shared" si="67"/>
        <v>86145.279999999999</v>
      </c>
      <c r="T43" s="209">
        <f t="shared" si="67"/>
        <v>86145.279999999999</v>
      </c>
      <c r="U43" s="209">
        <f t="shared" si="67"/>
        <v>86145.279999999999</v>
      </c>
      <c r="V43" s="209">
        <f t="shared" si="67"/>
        <v>86145.279999999999</v>
      </c>
      <c r="W43" s="209">
        <f t="shared" si="67"/>
        <v>86145.279999999999</v>
      </c>
      <c r="X43" s="209">
        <f t="shared" si="67"/>
        <v>86145.279999999999</v>
      </c>
      <c r="Y43" s="209">
        <f t="shared" si="67"/>
        <v>86145.279999999999</v>
      </c>
      <c r="Z43" s="209">
        <f t="shared" si="67"/>
        <v>86145.279999999999</v>
      </c>
      <c r="AA43" s="209">
        <f t="shared" si="67"/>
        <v>86145.279999999999</v>
      </c>
      <c r="AB43" s="209">
        <f t="shared" si="67"/>
        <v>86145.279999999999</v>
      </c>
      <c r="AE43" s="209">
        <f t="shared" ref="AE43:AP43" si="68">SUM(AE26:AE42)</f>
        <v>91313.996800000008</v>
      </c>
      <c r="AF43" s="209">
        <f t="shared" si="68"/>
        <v>91313.996800000008</v>
      </c>
      <c r="AG43" s="209">
        <f t="shared" si="68"/>
        <v>91313.996800000008</v>
      </c>
      <c r="AH43" s="209">
        <f t="shared" si="68"/>
        <v>91313.996800000008</v>
      </c>
      <c r="AI43" s="209">
        <f t="shared" si="68"/>
        <v>91313.996800000008</v>
      </c>
      <c r="AJ43" s="209">
        <f t="shared" si="68"/>
        <v>91313.996800000008</v>
      </c>
      <c r="AK43" s="209">
        <f t="shared" si="68"/>
        <v>91313.996800000008</v>
      </c>
      <c r="AL43" s="209">
        <f t="shared" si="68"/>
        <v>91313.996800000008</v>
      </c>
      <c r="AM43" s="209">
        <f t="shared" si="68"/>
        <v>91313.996800000008</v>
      </c>
      <c r="AN43" s="209">
        <f t="shared" si="68"/>
        <v>91313.996800000008</v>
      </c>
      <c r="AO43" s="209">
        <f t="shared" si="68"/>
        <v>91313.996800000008</v>
      </c>
      <c r="AP43" s="209">
        <f t="shared" si="68"/>
        <v>91313.996800000008</v>
      </c>
    </row>
    <row r="44" spans="1:42" ht="13.5" thickTop="1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1:42">
      <c r="A45" s="54" t="s">
        <v>359</v>
      </c>
      <c r="B45" s="60" t="str">
        <f>'O&amp;M Budget'!A56</f>
        <v>TAXES AND FEES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P45" s="60" t="s">
        <v>360</v>
      </c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D45" s="60" t="s">
        <v>360</v>
      </c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</row>
    <row r="46" spans="1:42">
      <c r="A46" s="56" t="s">
        <v>361</v>
      </c>
      <c r="B46" s="59" t="str">
        <f>'O&amp;M Budget'!A57</f>
        <v>Environment Fees</v>
      </c>
      <c r="C46" s="17">
        <v>8715</v>
      </c>
      <c r="D46" s="3">
        <f t="shared" ref="D46:N46" si="69">C46</f>
        <v>8715</v>
      </c>
      <c r="E46" s="3">
        <f t="shared" si="69"/>
        <v>8715</v>
      </c>
      <c r="F46" s="3">
        <f t="shared" si="69"/>
        <v>8715</v>
      </c>
      <c r="G46" s="3">
        <f t="shared" si="69"/>
        <v>8715</v>
      </c>
      <c r="H46" s="3">
        <f t="shared" si="69"/>
        <v>8715</v>
      </c>
      <c r="I46" s="3">
        <f t="shared" si="69"/>
        <v>8715</v>
      </c>
      <c r="J46" s="3">
        <f t="shared" si="69"/>
        <v>8715</v>
      </c>
      <c r="K46" s="3">
        <f t="shared" si="69"/>
        <v>8715</v>
      </c>
      <c r="L46" s="3">
        <f t="shared" si="69"/>
        <v>8715</v>
      </c>
      <c r="M46" s="3">
        <f t="shared" si="69"/>
        <v>8715</v>
      </c>
      <c r="N46" s="3">
        <f t="shared" si="69"/>
        <v>8715</v>
      </c>
      <c r="P46" s="59" t="s">
        <v>362</v>
      </c>
      <c r="Q46" s="13">
        <f>N46*Factors!$R$16</f>
        <v>9063.6</v>
      </c>
      <c r="R46" s="3">
        <f t="shared" ref="R46:AB46" si="70">Q46</f>
        <v>9063.6</v>
      </c>
      <c r="S46" s="3">
        <f t="shared" si="70"/>
        <v>9063.6</v>
      </c>
      <c r="T46" s="3">
        <f t="shared" si="70"/>
        <v>9063.6</v>
      </c>
      <c r="U46" s="3">
        <f t="shared" si="70"/>
        <v>9063.6</v>
      </c>
      <c r="V46" s="3">
        <f t="shared" si="70"/>
        <v>9063.6</v>
      </c>
      <c r="W46" s="3">
        <f t="shared" si="70"/>
        <v>9063.6</v>
      </c>
      <c r="X46" s="3">
        <f t="shared" si="70"/>
        <v>9063.6</v>
      </c>
      <c r="Y46" s="3">
        <f t="shared" si="70"/>
        <v>9063.6</v>
      </c>
      <c r="Z46" s="3">
        <f t="shared" si="70"/>
        <v>9063.6</v>
      </c>
      <c r="AA46" s="3">
        <f t="shared" si="70"/>
        <v>9063.6</v>
      </c>
      <c r="AB46" s="3">
        <f t="shared" si="70"/>
        <v>9063.6</v>
      </c>
      <c r="AD46" s="59" t="s">
        <v>362</v>
      </c>
      <c r="AE46" s="13">
        <f>AB46*Factors!$AG$16</f>
        <v>9607.4160000000011</v>
      </c>
      <c r="AF46" s="3">
        <f t="shared" ref="AF46:AP46" si="71">AE46</f>
        <v>9607.4160000000011</v>
      </c>
      <c r="AG46" s="3">
        <f t="shared" si="71"/>
        <v>9607.4160000000011</v>
      </c>
      <c r="AH46" s="3">
        <f t="shared" si="71"/>
        <v>9607.4160000000011</v>
      </c>
      <c r="AI46" s="3">
        <f t="shared" si="71"/>
        <v>9607.4160000000011</v>
      </c>
      <c r="AJ46" s="3">
        <f t="shared" si="71"/>
        <v>9607.4160000000011</v>
      </c>
      <c r="AK46" s="3">
        <f t="shared" si="71"/>
        <v>9607.4160000000011</v>
      </c>
      <c r="AL46" s="3">
        <f t="shared" si="71"/>
        <v>9607.4160000000011</v>
      </c>
      <c r="AM46" s="3">
        <f t="shared" si="71"/>
        <v>9607.4160000000011</v>
      </c>
      <c r="AN46" s="3">
        <f t="shared" si="71"/>
        <v>9607.4160000000011</v>
      </c>
      <c r="AO46" s="3">
        <f t="shared" si="71"/>
        <v>9607.4160000000011</v>
      </c>
      <c r="AP46" s="3">
        <f t="shared" si="71"/>
        <v>9607.4160000000011</v>
      </c>
    </row>
    <row r="47" spans="1:42">
      <c r="A47" s="56" t="s">
        <v>363</v>
      </c>
      <c r="B47" s="57" t="str">
        <f>'O&amp;M Budget'!A58</f>
        <v>Ground Rent</v>
      </c>
      <c r="C47" s="17">
        <v>85444</v>
      </c>
      <c r="D47" s="3">
        <f t="shared" ref="D47:N47" si="72">C47</f>
        <v>85444</v>
      </c>
      <c r="E47" s="3">
        <f t="shared" si="72"/>
        <v>85444</v>
      </c>
      <c r="F47" s="3">
        <f t="shared" si="72"/>
        <v>85444</v>
      </c>
      <c r="G47" s="3">
        <f t="shared" si="72"/>
        <v>85444</v>
      </c>
      <c r="H47" s="3">
        <f t="shared" si="72"/>
        <v>85444</v>
      </c>
      <c r="I47" s="3">
        <f t="shared" si="72"/>
        <v>85444</v>
      </c>
      <c r="J47" s="3">
        <f t="shared" si="72"/>
        <v>85444</v>
      </c>
      <c r="K47" s="3">
        <f t="shared" si="72"/>
        <v>85444</v>
      </c>
      <c r="L47" s="3">
        <f t="shared" si="72"/>
        <v>85444</v>
      </c>
      <c r="M47" s="3">
        <f t="shared" si="72"/>
        <v>85444</v>
      </c>
      <c r="N47" s="3">
        <f t="shared" si="72"/>
        <v>85444</v>
      </c>
      <c r="P47" s="57" t="s">
        <v>364</v>
      </c>
      <c r="Q47" s="13">
        <f>N47*Factors!$R$16</f>
        <v>88861.760000000009</v>
      </c>
      <c r="R47" s="3">
        <f t="shared" ref="R47:AB47" si="73">Q47</f>
        <v>88861.760000000009</v>
      </c>
      <c r="S47" s="3">
        <f t="shared" si="73"/>
        <v>88861.760000000009</v>
      </c>
      <c r="T47" s="3">
        <f t="shared" si="73"/>
        <v>88861.760000000009</v>
      </c>
      <c r="U47" s="3">
        <f t="shared" si="73"/>
        <v>88861.760000000009</v>
      </c>
      <c r="V47" s="3">
        <f t="shared" si="73"/>
        <v>88861.760000000009</v>
      </c>
      <c r="W47" s="3">
        <f t="shared" si="73"/>
        <v>88861.760000000009</v>
      </c>
      <c r="X47" s="3">
        <f t="shared" si="73"/>
        <v>88861.760000000009</v>
      </c>
      <c r="Y47" s="3">
        <f t="shared" si="73"/>
        <v>88861.760000000009</v>
      </c>
      <c r="Z47" s="3">
        <f t="shared" si="73"/>
        <v>88861.760000000009</v>
      </c>
      <c r="AA47" s="3">
        <f t="shared" si="73"/>
        <v>88861.760000000009</v>
      </c>
      <c r="AB47" s="3">
        <f t="shared" si="73"/>
        <v>88861.760000000009</v>
      </c>
      <c r="AD47" s="57" t="s">
        <v>364</v>
      </c>
      <c r="AE47" s="13">
        <f>AB47*Factors!$AG$16</f>
        <v>94193.46560000001</v>
      </c>
      <c r="AF47" s="3">
        <f t="shared" ref="AF47:AP47" si="74">AE47</f>
        <v>94193.46560000001</v>
      </c>
      <c r="AG47" s="3">
        <f t="shared" si="74"/>
        <v>94193.46560000001</v>
      </c>
      <c r="AH47" s="3">
        <f t="shared" si="74"/>
        <v>94193.46560000001</v>
      </c>
      <c r="AI47" s="3">
        <f t="shared" si="74"/>
        <v>94193.46560000001</v>
      </c>
      <c r="AJ47" s="3">
        <f t="shared" si="74"/>
        <v>94193.46560000001</v>
      </c>
      <c r="AK47" s="3">
        <f t="shared" si="74"/>
        <v>94193.46560000001</v>
      </c>
      <c r="AL47" s="3">
        <f t="shared" si="74"/>
        <v>94193.46560000001</v>
      </c>
      <c r="AM47" s="3">
        <f t="shared" si="74"/>
        <v>94193.46560000001</v>
      </c>
      <c r="AN47" s="3">
        <f t="shared" si="74"/>
        <v>94193.46560000001</v>
      </c>
      <c r="AO47" s="3">
        <f t="shared" si="74"/>
        <v>94193.46560000001</v>
      </c>
      <c r="AP47" s="3">
        <f t="shared" si="74"/>
        <v>94193.46560000001</v>
      </c>
    </row>
    <row r="48" spans="1:42">
      <c r="A48" s="56" t="s">
        <v>365</v>
      </c>
      <c r="B48" s="57" t="s">
        <v>158</v>
      </c>
      <c r="C48" s="17">
        <v>2500</v>
      </c>
      <c r="D48" s="3">
        <f t="shared" ref="D48:N48" si="75">C48</f>
        <v>2500</v>
      </c>
      <c r="E48" s="3">
        <f t="shared" si="75"/>
        <v>2500</v>
      </c>
      <c r="F48" s="3">
        <f t="shared" si="75"/>
        <v>2500</v>
      </c>
      <c r="G48" s="3">
        <f t="shared" si="75"/>
        <v>2500</v>
      </c>
      <c r="H48" s="3">
        <f t="shared" si="75"/>
        <v>2500</v>
      </c>
      <c r="I48" s="3">
        <f t="shared" si="75"/>
        <v>2500</v>
      </c>
      <c r="J48" s="3">
        <f t="shared" si="75"/>
        <v>2500</v>
      </c>
      <c r="K48" s="3">
        <f t="shared" si="75"/>
        <v>2500</v>
      </c>
      <c r="L48" s="3">
        <f t="shared" si="75"/>
        <v>2500</v>
      </c>
      <c r="M48" s="3">
        <f t="shared" si="75"/>
        <v>2500</v>
      </c>
      <c r="N48" s="3">
        <f t="shared" si="75"/>
        <v>2500</v>
      </c>
      <c r="P48" s="57" t="s">
        <v>158</v>
      </c>
      <c r="Q48" s="13">
        <f>N48*Factors!$R$16</f>
        <v>2600</v>
      </c>
      <c r="R48" s="3">
        <f t="shared" ref="R48:AB48" si="76">Q48</f>
        <v>2600</v>
      </c>
      <c r="S48" s="3">
        <f t="shared" si="76"/>
        <v>2600</v>
      </c>
      <c r="T48" s="3">
        <f t="shared" si="76"/>
        <v>2600</v>
      </c>
      <c r="U48" s="3">
        <f t="shared" si="76"/>
        <v>2600</v>
      </c>
      <c r="V48" s="3">
        <f t="shared" si="76"/>
        <v>2600</v>
      </c>
      <c r="W48" s="3">
        <f t="shared" si="76"/>
        <v>2600</v>
      </c>
      <c r="X48" s="3">
        <f t="shared" si="76"/>
        <v>2600</v>
      </c>
      <c r="Y48" s="3">
        <f t="shared" si="76"/>
        <v>2600</v>
      </c>
      <c r="Z48" s="3">
        <f t="shared" si="76"/>
        <v>2600</v>
      </c>
      <c r="AA48" s="3">
        <f t="shared" si="76"/>
        <v>2600</v>
      </c>
      <c r="AB48" s="3">
        <f t="shared" si="76"/>
        <v>2600</v>
      </c>
      <c r="AD48" s="57" t="s">
        <v>158</v>
      </c>
      <c r="AE48" s="13">
        <f>AB48*Factors!$AG$16</f>
        <v>2756</v>
      </c>
      <c r="AF48" s="3">
        <f t="shared" ref="AF48:AP48" si="77">AE48</f>
        <v>2756</v>
      </c>
      <c r="AG48" s="3">
        <f t="shared" si="77"/>
        <v>2756</v>
      </c>
      <c r="AH48" s="3">
        <f t="shared" si="77"/>
        <v>2756</v>
      </c>
      <c r="AI48" s="3">
        <f t="shared" si="77"/>
        <v>2756</v>
      </c>
      <c r="AJ48" s="3">
        <f t="shared" si="77"/>
        <v>2756</v>
      </c>
      <c r="AK48" s="3">
        <f t="shared" si="77"/>
        <v>2756</v>
      </c>
      <c r="AL48" s="3">
        <f t="shared" si="77"/>
        <v>2756</v>
      </c>
      <c r="AM48" s="3">
        <f t="shared" si="77"/>
        <v>2756</v>
      </c>
      <c r="AN48" s="3">
        <f t="shared" si="77"/>
        <v>2756</v>
      </c>
      <c r="AO48" s="3">
        <f t="shared" si="77"/>
        <v>2756</v>
      </c>
      <c r="AP48" s="3">
        <f t="shared" si="77"/>
        <v>2756</v>
      </c>
    </row>
    <row r="49" spans="1:42" hidden="1">
      <c r="A49" s="56" t="s">
        <v>366</v>
      </c>
      <c r="B49" s="57" t="s">
        <v>367</v>
      </c>
      <c r="C49" s="17">
        <v>0</v>
      </c>
      <c r="D49" s="3">
        <f t="shared" ref="D49:N49" si="78">C49</f>
        <v>0</v>
      </c>
      <c r="E49" s="3">
        <f t="shared" si="78"/>
        <v>0</v>
      </c>
      <c r="F49" s="3">
        <f t="shared" si="78"/>
        <v>0</v>
      </c>
      <c r="G49" s="3">
        <f t="shared" si="78"/>
        <v>0</v>
      </c>
      <c r="H49" s="3">
        <f t="shared" si="78"/>
        <v>0</v>
      </c>
      <c r="I49" s="3">
        <f t="shared" si="78"/>
        <v>0</v>
      </c>
      <c r="J49" s="3">
        <f t="shared" si="78"/>
        <v>0</v>
      </c>
      <c r="K49" s="3">
        <f t="shared" si="78"/>
        <v>0</v>
      </c>
      <c r="L49" s="3">
        <f t="shared" si="78"/>
        <v>0</v>
      </c>
      <c r="M49" s="3">
        <f t="shared" si="78"/>
        <v>0</v>
      </c>
      <c r="N49" s="3">
        <f t="shared" si="78"/>
        <v>0</v>
      </c>
      <c r="P49" s="57" t="s">
        <v>367</v>
      </c>
      <c r="Q49" s="13">
        <f>N49*Factors!$R$16</f>
        <v>0</v>
      </c>
      <c r="R49" s="3">
        <f t="shared" ref="R49:AB49" si="79">Q49</f>
        <v>0</v>
      </c>
      <c r="S49" s="3">
        <f t="shared" si="79"/>
        <v>0</v>
      </c>
      <c r="T49" s="3">
        <f t="shared" si="79"/>
        <v>0</v>
      </c>
      <c r="U49" s="3">
        <f t="shared" si="79"/>
        <v>0</v>
      </c>
      <c r="V49" s="3">
        <f t="shared" si="79"/>
        <v>0</v>
      </c>
      <c r="W49" s="3">
        <f t="shared" si="79"/>
        <v>0</v>
      </c>
      <c r="X49" s="3">
        <f t="shared" si="79"/>
        <v>0</v>
      </c>
      <c r="Y49" s="3">
        <f t="shared" si="79"/>
        <v>0</v>
      </c>
      <c r="Z49" s="3">
        <f t="shared" si="79"/>
        <v>0</v>
      </c>
      <c r="AA49" s="3">
        <f t="shared" si="79"/>
        <v>0</v>
      </c>
      <c r="AB49" s="3">
        <f t="shared" si="79"/>
        <v>0</v>
      </c>
      <c r="AD49" s="57" t="s">
        <v>367</v>
      </c>
      <c r="AE49" s="13">
        <f>AB49*Factors!$AG$16</f>
        <v>0</v>
      </c>
      <c r="AF49" s="3">
        <f t="shared" ref="AF49:AP49" si="80">AE49</f>
        <v>0</v>
      </c>
      <c r="AG49" s="3">
        <f t="shared" si="80"/>
        <v>0</v>
      </c>
      <c r="AH49" s="3">
        <f t="shared" si="80"/>
        <v>0</v>
      </c>
      <c r="AI49" s="3">
        <f t="shared" si="80"/>
        <v>0</v>
      </c>
      <c r="AJ49" s="3">
        <f t="shared" si="80"/>
        <v>0</v>
      </c>
      <c r="AK49" s="3">
        <f t="shared" si="80"/>
        <v>0</v>
      </c>
      <c r="AL49" s="3">
        <f t="shared" si="80"/>
        <v>0</v>
      </c>
      <c r="AM49" s="3">
        <f t="shared" si="80"/>
        <v>0</v>
      </c>
      <c r="AN49" s="3">
        <f t="shared" si="80"/>
        <v>0</v>
      </c>
      <c r="AO49" s="3">
        <f t="shared" si="80"/>
        <v>0</v>
      </c>
      <c r="AP49" s="3">
        <f t="shared" si="80"/>
        <v>0</v>
      </c>
    </row>
    <row r="50" spans="1:42">
      <c r="A50" s="56" t="s">
        <v>368</v>
      </c>
      <c r="B50" s="57" t="str">
        <f>'O&amp;M Budget'!A60</f>
        <v>URE Fees</v>
      </c>
      <c r="C50" s="17">
        <v>10850</v>
      </c>
      <c r="D50" s="3">
        <f t="shared" ref="D50:N50" si="81">C50</f>
        <v>10850</v>
      </c>
      <c r="E50" s="3">
        <f t="shared" si="81"/>
        <v>10850</v>
      </c>
      <c r="F50" s="3">
        <f t="shared" si="81"/>
        <v>10850</v>
      </c>
      <c r="G50" s="3">
        <f t="shared" si="81"/>
        <v>10850</v>
      </c>
      <c r="H50" s="3">
        <f t="shared" si="81"/>
        <v>10850</v>
      </c>
      <c r="I50" s="3">
        <f t="shared" si="81"/>
        <v>10850</v>
      </c>
      <c r="J50" s="3">
        <f t="shared" si="81"/>
        <v>10850</v>
      </c>
      <c r="K50" s="3">
        <f t="shared" si="81"/>
        <v>10850</v>
      </c>
      <c r="L50" s="3">
        <f t="shared" si="81"/>
        <v>10850</v>
      </c>
      <c r="M50" s="3">
        <f t="shared" si="81"/>
        <v>10850</v>
      </c>
      <c r="N50" s="3">
        <f t="shared" si="81"/>
        <v>10850</v>
      </c>
      <c r="P50" s="57" t="s">
        <v>369</v>
      </c>
      <c r="Q50" s="13">
        <f>N50*Factors!$R$16</f>
        <v>11284</v>
      </c>
      <c r="R50" s="3">
        <f t="shared" ref="R50:AB50" si="82">Q50</f>
        <v>11284</v>
      </c>
      <c r="S50" s="3">
        <f t="shared" si="82"/>
        <v>11284</v>
      </c>
      <c r="T50" s="3">
        <f t="shared" si="82"/>
        <v>11284</v>
      </c>
      <c r="U50" s="3">
        <f t="shared" si="82"/>
        <v>11284</v>
      </c>
      <c r="V50" s="3">
        <f t="shared" si="82"/>
        <v>11284</v>
      </c>
      <c r="W50" s="3">
        <f t="shared" si="82"/>
        <v>11284</v>
      </c>
      <c r="X50" s="3">
        <f t="shared" si="82"/>
        <v>11284</v>
      </c>
      <c r="Y50" s="3">
        <f t="shared" si="82"/>
        <v>11284</v>
      </c>
      <c r="Z50" s="3">
        <f t="shared" si="82"/>
        <v>11284</v>
      </c>
      <c r="AA50" s="3">
        <f t="shared" si="82"/>
        <v>11284</v>
      </c>
      <c r="AB50" s="3">
        <f t="shared" si="82"/>
        <v>11284</v>
      </c>
      <c r="AD50" s="57" t="s">
        <v>369</v>
      </c>
      <c r="AE50" s="13">
        <f>AB50*Factors!$AG$16</f>
        <v>11961.04</v>
      </c>
      <c r="AF50" s="3">
        <f t="shared" ref="AF50:AP50" si="83">AE50</f>
        <v>11961.04</v>
      </c>
      <c r="AG50" s="3">
        <f t="shared" si="83"/>
        <v>11961.04</v>
      </c>
      <c r="AH50" s="3">
        <f t="shared" si="83"/>
        <v>11961.04</v>
      </c>
      <c r="AI50" s="3">
        <f t="shared" si="83"/>
        <v>11961.04</v>
      </c>
      <c r="AJ50" s="3">
        <f t="shared" si="83"/>
        <v>11961.04</v>
      </c>
      <c r="AK50" s="3">
        <f t="shared" si="83"/>
        <v>11961.04</v>
      </c>
      <c r="AL50" s="3">
        <f t="shared" si="83"/>
        <v>11961.04</v>
      </c>
      <c r="AM50" s="3">
        <f t="shared" si="83"/>
        <v>11961.04</v>
      </c>
      <c r="AN50" s="3">
        <f t="shared" si="83"/>
        <v>11961.04</v>
      </c>
      <c r="AO50" s="3">
        <f t="shared" si="83"/>
        <v>11961.04</v>
      </c>
      <c r="AP50" s="3">
        <f t="shared" si="83"/>
        <v>11961.04</v>
      </c>
    </row>
    <row r="51" spans="1:42">
      <c r="A51" s="56" t="s">
        <v>370</v>
      </c>
      <c r="B51" s="57" t="str">
        <f>'O&amp;M Budget'!A61</f>
        <v>Notarial/Court Fees</v>
      </c>
      <c r="C51" s="17">
        <v>950</v>
      </c>
      <c r="D51" s="3">
        <f t="shared" ref="D51:N51" si="84">C51</f>
        <v>950</v>
      </c>
      <c r="E51" s="3">
        <f t="shared" si="84"/>
        <v>950</v>
      </c>
      <c r="F51" s="3">
        <f t="shared" si="84"/>
        <v>950</v>
      </c>
      <c r="G51" s="3">
        <f t="shared" si="84"/>
        <v>950</v>
      </c>
      <c r="H51" s="3">
        <f t="shared" si="84"/>
        <v>950</v>
      </c>
      <c r="I51" s="3">
        <f t="shared" si="84"/>
        <v>950</v>
      </c>
      <c r="J51" s="3">
        <f t="shared" si="84"/>
        <v>950</v>
      </c>
      <c r="K51" s="3">
        <f t="shared" si="84"/>
        <v>950</v>
      </c>
      <c r="L51" s="3">
        <f t="shared" si="84"/>
        <v>950</v>
      </c>
      <c r="M51" s="3">
        <f t="shared" si="84"/>
        <v>950</v>
      </c>
      <c r="N51" s="3">
        <f t="shared" si="84"/>
        <v>950</v>
      </c>
      <c r="P51" s="57" t="s">
        <v>371</v>
      </c>
      <c r="Q51" s="13">
        <f>N51*Factors!$R$16</f>
        <v>988</v>
      </c>
      <c r="R51" s="3">
        <f t="shared" ref="R51:AB51" si="85">Q51</f>
        <v>988</v>
      </c>
      <c r="S51" s="3">
        <f t="shared" si="85"/>
        <v>988</v>
      </c>
      <c r="T51" s="3">
        <f t="shared" si="85"/>
        <v>988</v>
      </c>
      <c r="U51" s="3">
        <f t="shared" si="85"/>
        <v>988</v>
      </c>
      <c r="V51" s="3">
        <f t="shared" si="85"/>
        <v>988</v>
      </c>
      <c r="W51" s="3">
        <f t="shared" si="85"/>
        <v>988</v>
      </c>
      <c r="X51" s="3">
        <f t="shared" si="85"/>
        <v>988</v>
      </c>
      <c r="Y51" s="3">
        <f t="shared" si="85"/>
        <v>988</v>
      </c>
      <c r="Z51" s="3">
        <f t="shared" si="85"/>
        <v>988</v>
      </c>
      <c r="AA51" s="3">
        <f t="shared" si="85"/>
        <v>988</v>
      </c>
      <c r="AB51" s="3">
        <f t="shared" si="85"/>
        <v>988</v>
      </c>
      <c r="AD51" s="57" t="s">
        <v>371</v>
      </c>
      <c r="AE51" s="13">
        <f>AB51*Factors!$AG$16</f>
        <v>1047.28</v>
      </c>
      <c r="AF51" s="3">
        <f t="shared" ref="AF51:AP51" si="86">AE51</f>
        <v>1047.28</v>
      </c>
      <c r="AG51" s="3">
        <f t="shared" si="86"/>
        <v>1047.28</v>
      </c>
      <c r="AH51" s="3">
        <f t="shared" si="86"/>
        <v>1047.28</v>
      </c>
      <c r="AI51" s="3">
        <f t="shared" si="86"/>
        <v>1047.28</v>
      </c>
      <c r="AJ51" s="3">
        <f t="shared" si="86"/>
        <v>1047.28</v>
      </c>
      <c r="AK51" s="3">
        <f t="shared" si="86"/>
        <v>1047.28</v>
      </c>
      <c r="AL51" s="3">
        <f t="shared" si="86"/>
        <v>1047.28</v>
      </c>
      <c r="AM51" s="3">
        <f t="shared" si="86"/>
        <v>1047.28</v>
      </c>
      <c r="AN51" s="3">
        <f t="shared" si="86"/>
        <v>1047.28</v>
      </c>
      <c r="AO51" s="3">
        <f t="shared" si="86"/>
        <v>1047.28</v>
      </c>
      <c r="AP51" s="3">
        <f t="shared" si="86"/>
        <v>1047.28</v>
      </c>
    </row>
    <row r="52" spans="1:42">
      <c r="A52" s="56" t="s">
        <v>372</v>
      </c>
      <c r="B52" s="57" t="str">
        <f>'O&amp;M Budget'!A62</f>
        <v>usufruct</v>
      </c>
      <c r="C52" s="17">
        <v>1602</v>
      </c>
      <c r="D52" s="3">
        <f t="shared" ref="D52:N52" si="87">C52</f>
        <v>1602</v>
      </c>
      <c r="E52" s="3">
        <f t="shared" si="87"/>
        <v>1602</v>
      </c>
      <c r="F52" s="3">
        <f t="shared" si="87"/>
        <v>1602</v>
      </c>
      <c r="G52" s="3">
        <f t="shared" si="87"/>
        <v>1602</v>
      </c>
      <c r="H52" s="3">
        <f t="shared" si="87"/>
        <v>1602</v>
      </c>
      <c r="I52" s="3">
        <f t="shared" si="87"/>
        <v>1602</v>
      </c>
      <c r="J52" s="3">
        <f t="shared" si="87"/>
        <v>1602</v>
      </c>
      <c r="K52" s="3">
        <f t="shared" si="87"/>
        <v>1602</v>
      </c>
      <c r="L52" s="3">
        <f t="shared" si="87"/>
        <v>1602</v>
      </c>
      <c r="M52" s="3">
        <f t="shared" si="87"/>
        <v>1602</v>
      </c>
      <c r="N52" s="3">
        <f t="shared" si="87"/>
        <v>1602</v>
      </c>
      <c r="P52" s="57" t="s">
        <v>373</v>
      </c>
      <c r="Q52" s="13">
        <f>N52*Factors!$R$16</f>
        <v>1666.0800000000002</v>
      </c>
      <c r="R52" s="3">
        <f t="shared" ref="R52:AB52" si="88">Q52</f>
        <v>1666.0800000000002</v>
      </c>
      <c r="S52" s="3">
        <f t="shared" si="88"/>
        <v>1666.0800000000002</v>
      </c>
      <c r="T52" s="3">
        <f t="shared" si="88"/>
        <v>1666.0800000000002</v>
      </c>
      <c r="U52" s="3">
        <f t="shared" si="88"/>
        <v>1666.0800000000002</v>
      </c>
      <c r="V52" s="3">
        <f t="shared" si="88"/>
        <v>1666.0800000000002</v>
      </c>
      <c r="W52" s="3">
        <f t="shared" si="88"/>
        <v>1666.0800000000002</v>
      </c>
      <c r="X52" s="3">
        <f t="shared" si="88"/>
        <v>1666.0800000000002</v>
      </c>
      <c r="Y52" s="3">
        <f t="shared" si="88"/>
        <v>1666.0800000000002</v>
      </c>
      <c r="Z52" s="3">
        <f t="shared" si="88"/>
        <v>1666.0800000000002</v>
      </c>
      <c r="AA52" s="3">
        <f t="shared" si="88"/>
        <v>1666.0800000000002</v>
      </c>
      <c r="AB52" s="3">
        <f t="shared" si="88"/>
        <v>1666.0800000000002</v>
      </c>
      <c r="AD52" s="57" t="s">
        <v>373</v>
      </c>
      <c r="AE52" s="13">
        <f>AB52*Factors!$AG$16</f>
        <v>1766.0448000000004</v>
      </c>
      <c r="AF52" s="3">
        <f t="shared" ref="AF52:AP52" si="89">AE52</f>
        <v>1766.0448000000004</v>
      </c>
      <c r="AG52" s="3">
        <f t="shared" si="89"/>
        <v>1766.0448000000004</v>
      </c>
      <c r="AH52" s="3">
        <f t="shared" si="89"/>
        <v>1766.0448000000004</v>
      </c>
      <c r="AI52" s="3">
        <f t="shared" si="89"/>
        <v>1766.0448000000004</v>
      </c>
      <c r="AJ52" s="3">
        <f t="shared" si="89"/>
        <v>1766.0448000000004</v>
      </c>
      <c r="AK52" s="3">
        <f t="shared" si="89"/>
        <v>1766.0448000000004</v>
      </c>
      <c r="AL52" s="3">
        <f t="shared" si="89"/>
        <v>1766.0448000000004</v>
      </c>
      <c r="AM52" s="3">
        <f t="shared" si="89"/>
        <v>1766.0448000000004</v>
      </c>
      <c r="AN52" s="3">
        <f t="shared" si="89"/>
        <v>1766.0448000000004</v>
      </c>
      <c r="AO52" s="3">
        <f t="shared" si="89"/>
        <v>1766.0448000000004</v>
      </c>
      <c r="AP52" s="3">
        <f t="shared" si="89"/>
        <v>1766.0448000000004</v>
      </c>
    </row>
    <row r="53" spans="1:42">
      <c r="A53" s="56" t="s">
        <v>374</v>
      </c>
      <c r="B53" s="57" t="str">
        <f>'O&amp;M Budget'!A63</f>
        <v>Customs Expenses</v>
      </c>
      <c r="C53" s="17">
        <v>1100</v>
      </c>
      <c r="D53" s="3">
        <f t="shared" ref="D53:N53" si="90">C53</f>
        <v>1100</v>
      </c>
      <c r="E53" s="3">
        <f t="shared" si="90"/>
        <v>1100</v>
      </c>
      <c r="F53" s="3">
        <f t="shared" si="90"/>
        <v>1100</v>
      </c>
      <c r="G53" s="3">
        <f t="shared" si="90"/>
        <v>1100</v>
      </c>
      <c r="H53" s="3">
        <f t="shared" si="90"/>
        <v>1100</v>
      </c>
      <c r="I53" s="3">
        <f t="shared" si="90"/>
        <v>1100</v>
      </c>
      <c r="J53" s="3">
        <f t="shared" si="90"/>
        <v>1100</v>
      </c>
      <c r="K53" s="3">
        <f t="shared" si="90"/>
        <v>1100</v>
      </c>
      <c r="L53" s="3">
        <f t="shared" si="90"/>
        <v>1100</v>
      </c>
      <c r="M53" s="3">
        <f t="shared" si="90"/>
        <v>1100</v>
      </c>
      <c r="N53" s="3">
        <f t="shared" si="90"/>
        <v>1100</v>
      </c>
      <c r="P53" s="57" t="s">
        <v>375</v>
      </c>
      <c r="Q53" s="13">
        <f>N53*Factors!$R$16</f>
        <v>1144</v>
      </c>
      <c r="R53" s="3">
        <f t="shared" ref="R53:AB53" si="91">Q53</f>
        <v>1144</v>
      </c>
      <c r="S53" s="3">
        <f t="shared" si="91"/>
        <v>1144</v>
      </c>
      <c r="T53" s="3">
        <f t="shared" si="91"/>
        <v>1144</v>
      </c>
      <c r="U53" s="3">
        <f t="shared" si="91"/>
        <v>1144</v>
      </c>
      <c r="V53" s="3">
        <f t="shared" si="91"/>
        <v>1144</v>
      </c>
      <c r="W53" s="3">
        <f t="shared" si="91"/>
        <v>1144</v>
      </c>
      <c r="X53" s="3">
        <f t="shared" si="91"/>
        <v>1144</v>
      </c>
      <c r="Y53" s="3">
        <f t="shared" si="91"/>
        <v>1144</v>
      </c>
      <c r="Z53" s="3">
        <f t="shared" si="91"/>
        <v>1144</v>
      </c>
      <c r="AA53" s="3">
        <f t="shared" si="91"/>
        <v>1144</v>
      </c>
      <c r="AB53" s="3">
        <f t="shared" si="91"/>
        <v>1144</v>
      </c>
      <c r="AD53" s="57" t="s">
        <v>375</v>
      </c>
      <c r="AE53" s="13">
        <f>AB53*Factors!$AG$16</f>
        <v>1212.6400000000001</v>
      </c>
      <c r="AF53" s="3">
        <f t="shared" ref="AF53:AP53" si="92">AE53</f>
        <v>1212.6400000000001</v>
      </c>
      <c r="AG53" s="3">
        <f t="shared" si="92"/>
        <v>1212.6400000000001</v>
      </c>
      <c r="AH53" s="3">
        <f t="shared" si="92"/>
        <v>1212.6400000000001</v>
      </c>
      <c r="AI53" s="3">
        <f t="shared" si="92"/>
        <v>1212.6400000000001</v>
      </c>
      <c r="AJ53" s="3">
        <f t="shared" si="92"/>
        <v>1212.6400000000001</v>
      </c>
      <c r="AK53" s="3">
        <f t="shared" si="92"/>
        <v>1212.6400000000001</v>
      </c>
      <c r="AL53" s="3">
        <f t="shared" si="92"/>
        <v>1212.6400000000001</v>
      </c>
      <c r="AM53" s="3">
        <f t="shared" si="92"/>
        <v>1212.6400000000001</v>
      </c>
      <c r="AN53" s="3">
        <f t="shared" si="92"/>
        <v>1212.6400000000001</v>
      </c>
      <c r="AO53" s="3">
        <f t="shared" si="92"/>
        <v>1212.6400000000001</v>
      </c>
      <c r="AP53" s="3">
        <f t="shared" si="92"/>
        <v>1212.6400000000001</v>
      </c>
    </row>
    <row r="54" spans="1:42">
      <c r="A54" s="56" t="s">
        <v>376</v>
      </c>
      <c r="B54" s="57" t="str">
        <f>'O&amp;M Budget'!A64</f>
        <v>Customs Agency Charges</v>
      </c>
      <c r="C54" s="17">
        <v>20</v>
      </c>
      <c r="D54" s="3">
        <f t="shared" ref="D54:N54" si="93">C54</f>
        <v>20</v>
      </c>
      <c r="E54" s="3">
        <f t="shared" si="93"/>
        <v>20</v>
      </c>
      <c r="F54" s="3">
        <f t="shared" si="93"/>
        <v>20</v>
      </c>
      <c r="G54" s="3">
        <f t="shared" si="93"/>
        <v>20</v>
      </c>
      <c r="H54" s="3">
        <f t="shared" si="93"/>
        <v>20</v>
      </c>
      <c r="I54" s="3">
        <f t="shared" si="93"/>
        <v>20</v>
      </c>
      <c r="J54" s="3">
        <f t="shared" si="93"/>
        <v>20</v>
      </c>
      <c r="K54" s="3">
        <f t="shared" si="93"/>
        <v>20</v>
      </c>
      <c r="L54" s="3">
        <f t="shared" si="93"/>
        <v>20</v>
      </c>
      <c r="M54" s="3">
        <f t="shared" si="93"/>
        <v>20</v>
      </c>
      <c r="N54" s="3">
        <f t="shared" si="93"/>
        <v>20</v>
      </c>
      <c r="P54" s="57" t="s">
        <v>377</v>
      </c>
      <c r="Q54" s="13">
        <f>N54*Factors!$R$16</f>
        <v>20.8</v>
      </c>
      <c r="R54" s="3">
        <f t="shared" ref="R54:AB54" si="94">Q54</f>
        <v>20.8</v>
      </c>
      <c r="S54" s="3">
        <f t="shared" si="94"/>
        <v>20.8</v>
      </c>
      <c r="T54" s="3">
        <f t="shared" si="94"/>
        <v>20.8</v>
      </c>
      <c r="U54" s="3">
        <f t="shared" si="94"/>
        <v>20.8</v>
      </c>
      <c r="V54" s="3">
        <f t="shared" si="94"/>
        <v>20.8</v>
      </c>
      <c r="W54" s="3">
        <f t="shared" si="94"/>
        <v>20.8</v>
      </c>
      <c r="X54" s="3">
        <f t="shared" si="94"/>
        <v>20.8</v>
      </c>
      <c r="Y54" s="3">
        <f t="shared" si="94"/>
        <v>20.8</v>
      </c>
      <c r="Z54" s="3">
        <f t="shared" si="94"/>
        <v>20.8</v>
      </c>
      <c r="AA54" s="3">
        <f t="shared" si="94"/>
        <v>20.8</v>
      </c>
      <c r="AB54" s="3">
        <f t="shared" si="94"/>
        <v>20.8</v>
      </c>
      <c r="AD54" s="57" t="s">
        <v>377</v>
      </c>
      <c r="AE54" s="13">
        <f>AB54*Factors!$AG$16</f>
        <v>22.048000000000002</v>
      </c>
      <c r="AF54" s="3">
        <f t="shared" ref="AF54:AP54" si="95">AE54</f>
        <v>22.048000000000002</v>
      </c>
      <c r="AG54" s="3">
        <f t="shared" si="95"/>
        <v>22.048000000000002</v>
      </c>
      <c r="AH54" s="3">
        <f t="shared" si="95"/>
        <v>22.048000000000002</v>
      </c>
      <c r="AI54" s="3">
        <f t="shared" si="95"/>
        <v>22.048000000000002</v>
      </c>
      <c r="AJ54" s="3">
        <f t="shared" si="95"/>
        <v>22.048000000000002</v>
      </c>
      <c r="AK54" s="3">
        <f t="shared" si="95"/>
        <v>22.048000000000002</v>
      </c>
      <c r="AL54" s="3">
        <f t="shared" si="95"/>
        <v>22.048000000000002</v>
      </c>
      <c r="AM54" s="3">
        <f t="shared" si="95"/>
        <v>22.048000000000002</v>
      </c>
      <c r="AN54" s="3">
        <f t="shared" si="95"/>
        <v>22.048000000000002</v>
      </c>
      <c r="AO54" s="3">
        <f t="shared" si="95"/>
        <v>22.048000000000002</v>
      </c>
      <c r="AP54" s="3">
        <f t="shared" si="95"/>
        <v>22.048000000000002</v>
      </c>
    </row>
    <row r="55" spans="1:42">
      <c r="A55" s="56" t="s">
        <v>378</v>
      </c>
      <c r="B55" s="57" t="str">
        <f>'O&amp;M Budget'!A65</f>
        <v>Unrecoverable Vat</v>
      </c>
      <c r="C55" s="17">
        <v>100</v>
      </c>
      <c r="D55" s="3">
        <f t="shared" ref="D55:N55" si="96">C55</f>
        <v>100</v>
      </c>
      <c r="E55" s="3">
        <f t="shared" si="96"/>
        <v>100</v>
      </c>
      <c r="F55" s="3">
        <f t="shared" si="96"/>
        <v>100</v>
      </c>
      <c r="G55" s="3">
        <f t="shared" si="96"/>
        <v>100</v>
      </c>
      <c r="H55" s="3">
        <f t="shared" si="96"/>
        <v>100</v>
      </c>
      <c r="I55" s="3">
        <f t="shared" si="96"/>
        <v>100</v>
      </c>
      <c r="J55" s="3">
        <f t="shared" si="96"/>
        <v>100</v>
      </c>
      <c r="K55" s="3">
        <f t="shared" si="96"/>
        <v>100</v>
      </c>
      <c r="L55" s="3">
        <f t="shared" si="96"/>
        <v>100</v>
      </c>
      <c r="M55" s="3">
        <f t="shared" si="96"/>
        <v>100</v>
      </c>
      <c r="N55" s="3">
        <f t="shared" si="96"/>
        <v>100</v>
      </c>
      <c r="P55" s="57" t="s">
        <v>379</v>
      </c>
      <c r="Q55" s="13">
        <f>N55*Factors!$R$16</f>
        <v>104</v>
      </c>
      <c r="R55" s="3">
        <f t="shared" ref="R55:AB55" si="97">Q55</f>
        <v>104</v>
      </c>
      <c r="S55" s="3">
        <f t="shared" si="97"/>
        <v>104</v>
      </c>
      <c r="T55" s="3">
        <f t="shared" si="97"/>
        <v>104</v>
      </c>
      <c r="U55" s="3">
        <f t="shared" si="97"/>
        <v>104</v>
      </c>
      <c r="V55" s="3">
        <f t="shared" si="97"/>
        <v>104</v>
      </c>
      <c r="W55" s="3">
        <f t="shared" si="97"/>
        <v>104</v>
      </c>
      <c r="X55" s="3">
        <f t="shared" si="97"/>
        <v>104</v>
      </c>
      <c r="Y55" s="3">
        <f t="shared" si="97"/>
        <v>104</v>
      </c>
      <c r="Z55" s="3">
        <f t="shared" si="97"/>
        <v>104</v>
      </c>
      <c r="AA55" s="3">
        <f t="shared" si="97"/>
        <v>104</v>
      </c>
      <c r="AB55" s="3">
        <f t="shared" si="97"/>
        <v>104</v>
      </c>
      <c r="AD55" s="57" t="s">
        <v>379</v>
      </c>
      <c r="AE55" s="13">
        <f>AB55*Factors!$AG$16</f>
        <v>110.24000000000001</v>
      </c>
      <c r="AF55" s="3">
        <f t="shared" ref="AF55:AP55" si="98">AE55</f>
        <v>110.24000000000001</v>
      </c>
      <c r="AG55" s="3">
        <f t="shared" si="98"/>
        <v>110.24000000000001</v>
      </c>
      <c r="AH55" s="3">
        <f t="shared" si="98"/>
        <v>110.24000000000001</v>
      </c>
      <c r="AI55" s="3">
        <f t="shared" si="98"/>
        <v>110.24000000000001</v>
      </c>
      <c r="AJ55" s="3">
        <f t="shared" si="98"/>
        <v>110.24000000000001</v>
      </c>
      <c r="AK55" s="3">
        <f t="shared" si="98"/>
        <v>110.24000000000001</v>
      </c>
      <c r="AL55" s="3">
        <f t="shared" si="98"/>
        <v>110.24000000000001</v>
      </c>
      <c r="AM55" s="3">
        <f t="shared" si="98"/>
        <v>110.24000000000001</v>
      </c>
      <c r="AN55" s="3">
        <f t="shared" si="98"/>
        <v>110.24000000000001</v>
      </c>
      <c r="AO55" s="3">
        <f t="shared" si="98"/>
        <v>110.24000000000001</v>
      </c>
      <c r="AP55" s="3">
        <f t="shared" si="98"/>
        <v>110.24000000000001</v>
      </c>
    </row>
    <row r="56" spans="1:42">
      <c r="A56" s="56" t="s">
        <v>380</v>
      </c>
      <c r="B56" s="57" t="str">
        <f>'O&amp;M Budget'!A66</f>
        <v>VAT on Imported Services</v>
      </c>
      <c r="C56" s="17">
        <v>750</v>
      </c>
      <c r="D56" s="3">
        <f t="shared" ref="D56:N56" si="99">C56</f>
        <v>750</v>
      </c>
      <c r="E56" s="3">
        <f t="shared" si="99"/>
        <v>750</v>
      </c>
      <c r="F56" s="3">
        <f t="shared" si="99"/>
        <v>750</v>
      </c>
      <c r="G56" s="3">
        <f t="shared" si="99"/>
        <v>750</v>
      </c>
      <c r="H56" s="3">
        <f t="shared" si="99"/>
        <v>750</v>
      </c>
      <c r="I56" s="3">
        <f t="shared" si="99"/>
        <v>750</v>
      </c>
      <c r="J56" s="3">
        <f t="shared" si="99"/>
        <v>750</v>
      </c>
      <c r="K56" s="3">
        <f t="shared" si="99"/>
        <v>750</v>
      </c>
      <c r="L56" s="3">
        <f t="shared" si="99"/>
        <v>750</v>
      </c>
      <c r="M56" s="3">
        <f t="shared" si="99"/>
        <v>750</v>
      </c>
      <c r="N56" s="3">
        <f t="shared" si="99"/>
        <v>750</v>
      </c>
      <c r="P56" s="57" t="s">
        <v>381</v>
      </c>
      <c r="Q56" s="13">
        <f>N56*Factors!$R$16</f>
        <v>780</v>
      </c>
      <c r="R56" s="3">
        <f t="shared" ref="R56:AB56" si="100">Q56</f>
        <v>780</v>
      </c>
      <c r="S56" s="3">
        <f t="shared" si="100"/>
        <v>780</v>
      </c>
      <c r="T56" s="3">
        <f t="shared" si="100"/>
        <v>780</v>
      </c>
      <c r="U56" s="3">
        <f t="shared" si="100"/>
        <v>780</v>
      </c>
      <c r="V56" s="3">
        <f t="shared" si="100"/>
        <v>780</v>
      </c>
      <c r="W56" s="3">
        <f t="shared" si="100"/>
        <v>780</v>
      </c>
      <c r="X56" s="3">
        <f t="shared" si="100"/>
        <v>780</v>
      </c>
      <c r="Y56" s="3">
        <f t="shared" si="100"/>
        <v>780</v>
      </c>
      <c r="Z56" s="3">
        <f t="shared" si="100"/>
        <v>780</v>
      </c>
      <c r="AA56" s="3">
        <f t="shared" si="100"/>
        <v>780</v>
      </c>
      <c r="AB56" s="3">
        <f t="shared" si="100"/>
        <v>780</v>
      </c>
      <c r="AD56" s="57" t="s">
        <v>381</v>
      </c>
      <c r="AE56" s="13">
        <f>AB56*Factors!$AG$16</f>
        <v>826.80000000000007</v>
      </c>
      <c r="AF56" s="3">
        <f t="shared" ref="AF56:AP56" si="101">AE56</f>
        <v>826.80000000000007</v>
      </c>
      <c r="AG56" s="3">
        <f t="shared" si="101"/>
        <v>826.80000000000007</v>
      </c>
      <c r="AH56" s="3">
        <f t="shared" si="101"/>
        <v>826.80000000000007</v>
      </c>
      <c r="AI56" s="3">
        <f t="shared" si="101"/>
        <v>826.80000000000007</v>
      </c>
      <c r="AJ56" s="3">
        <f t="shared" si="101"/>
        <v>826.80000000000007</v>
      </c>
      <c r="AK56" s="3">
        <f t="shared" si="101"/>
        <v>826.80000000000007</v>
      </c>
      <c r="AL56" s="3">
        <f t="shared" si="101"/>
        <v>826.80000000000007</v>
      </c>
      <c r="AM56" s="3">
        <f t="shared" si="101"/>
        <v>826.80000000000007</v>
      </c>
      <c r="AN56" s="3">
        <f t="shared" si="101"/>
        <v>826.80000000000007</v>
      </c>
      <c r="AO56" s="3">
        <f t="shared" si="101"/>
        <v>826.80000000000007</v>
      </c>
      <c r="AP56" s="3">
        <f t="shared" si="101"/>
        <v>826.80000000000007</v>
      </c>
    </row>
    <row r="57" spans="1:42">
      <c r="A57" s="56" t="s">
        <v>382</v>
      </c>
      <c r="B57" s="57" t="str">
        <f>'O&amp;M Budget'!A67</f>
        <v>VAT on representation</v>
      </c>
      <c r="C57" s="17">
        <v>900</v>
      </c>
      <c r="D57" s="3">
        <f t="shared" ref="D57:N57" si="102">C57</f>
        <v>900</v>
      </c>
      <c r="E57" s="3">
        <f t="shared" si="102"/>
        <v>900</v>
      </c>
      <c r="F57" s="3">
        <f t="shared" si="102"/>
        <v>900</v>
      </c>
      <c r="G57" s="3">
        <f t="shared" si="102"/>
        <v>900</v>
      </c>
      <c r="H57" s="3">
        <f t="shared" si="102"/>
        <v>900</v>
      </c>
      <c r="I57" s="3">
        <f t="shared" si="102"/>
        <v>900</v>
      </c>
      <c r="J57" s="3">
        <f t="shared" si="102"/>
        <v>900</v>
      </c>
      <c r="K57" s="3">
        <f t="shared" si="102"/>
        <v>900</v>
      </c>
      <c r="L57" s="3">
        <f t="shared" si="102"/>
        <v>900</v>
      </c>
      <c r="M57" s="3">
        <f t="shared" si="102"/>
        <v>900</v>
      </c>
      <c r="N57" s="3">
        <f t="shared" si="102"/>
        <v>900</v>
      </c>
      <c r="P57" s="57" t="s">
        <v>383</v>
      </c>
      <c r="Q57" s="13">
        <f>N57*Factors!$R$16</f>
        <v>936</v>
      </c>
      <c r="R57" s="3">
        <f t="shared" ref="R57:AB57" si="103">Q57</f>
        <v>936</v>
      </c>
      <c r="S57" s="3">
        <f t="shared" si="103"/>
        <v>936</v>
      </c>
      <c r="T57" s="3">
        <f t="shared" si="103"/>
        <v>936</v>
      </c>
      <c r="U57" s="3">
        <f t="shared" si="103"/>
        <v>936</v>
      </c>
      <c r="V57" s="3">
        <f t="shared" si="103"/>
        <v>936</v>
      </c>
      <c r="W57" s="3">
        <f t="shared" si="103"/>
        <v>936</v>
      </c>
      <c r="X57" s="3">
        <f t="shared" si="103"/>
        <v>936</v>
      </c>
      <c r="Y57" s="3">
        <f t="shared" si="103"/>
        <v>936</v>
      </c>
      <c r="Z57" s="3">
        <f t="shared" si="103"/>
        <v>936</v>
      </c>
      <c r="AA57" s="3">
        <f t="shared" si="103"/>
        <v>936</v>
      </c>
      <c r="AB57" s="3">
        <f t="shared" si="103"/>
        <v>936</v>
      </c>
      <c r="AD57" s="57" t="s">
        <v>383</v>
      </c>
      <c r="AE57" s="13">
        <f>AB57*Factors!$AG$16</f>
        <v>992.16000000000008</v>
      </c>
      <c r="AF57" s="3">
        <f t="shared" ref="AF57:AP57" si="104">AE57</f>
        <v>992.16000000000008</v>
      </c>
      <c r="AG57" s="3">
        <f t="shared" si="104"/>
        <v>992.16000000000008</v>
      </c>
      <c r="AH57" s="3">
        <f t="shared" si="104"/>
        <v>992.16000000000008</v>
      </c>
      <c r="AI57" s="3">
        <f t="shared" si="104"/>
        <v>992.16000000000008</v>
      </c>
      <c r="AJ57" s="3">
        <f t="shared" si="104"/>
        <v>992.16000000000008</v>
      </c>
      <c r="AK57" s="3">
        <f t="shared" si="104"/>
        <v>992.16000000000008</v>
      </c>
      <c r="AL57" s="3">
        <f t="shared" si="104"/>
        <v>992.16000000000008</v>
      </c>
      <c r="AM57" s="3">
        <f t="shared" si="104"/>
        <v>992.16000000000008</v>
      </c>
      <c r="AN57" s="3">
        <f t="shared" si="104"/>
        <v>992.16000000000008</v>
      </c>
      <c r="AO57" s="3">
        <f t="shared" si="104"/>
        <v>992.16000000000008</v>
      </c>
      <c r="AP57" s="3">
        <f t="shared" si="104"/>
        <v>992.16000000000008</v>
      </c>
    </row>
    <row r="58" spans="1:42" hidden="1">
      <c r="A58" s="56" t="s">
        <v>384</v>
      </c>
      <c r="B58" s="57" t="s">
        <v>385</v>
      </c>
      <c r="C58" s="17">
        <v>0</v>
      </c>
      <c r="D58" s="3">
        <f t="shared" ref="D58:N58" si="105">C58</f>
        <v>0</v>
      </c>
      <c r="E58" s="3">
        <f t="shared" si="105"/>
        <v>0</v>
      </c>
      <c r="F58" s="3">
        <f t="shared" si="105"/>
        <v>0</v>
      </c>
      <c r="G58" s="3">
        <f t="shared" si="105"/>
        <v>0</v>
      </c>
      <c r="H58" s="3">
        <f t="shared" si="105"/>
        <v>0</v>
      </c>
      <c r="I58" s="3">
        <f t="shared" si="105"/>
        <v>0</v>
      </c>
      <c r="J58" s="3">
        <f t="shared" si="105"/>
        <v>0</v>
      </c>
      <c r="K58" s="3">
        <f t="shared" si="105"/>
        <v>0</v>
      </c>
      <c r="L58" s="3">
        <f t="shared" si="105"/>
        <v>0</v>
      </c>
      <c r="M58" s="3">
        <f t="shared" si="105"/>
        <v>0</v>
      </c>
      <c r="N58" s="3">
        <f t="shared" si="105"/>
        <v>0</v>
      </c>
      <c r="P58" s="57" t="s">
        <v>385</v>
      </c>
      <c r="Q58" s="13">
        <f>N58*Factors!$R$16</f>
        <v>0</v>
      </c>
      <c r="R58" s="3">
        <f t="shared" ref="R58:AB58" si="106">Q58</f>
        <v>0</v>
      </c>
      <c r="S58" s="3">
        <f t="shared" si="106"/>
        <v>0</v>
      </c>
      <c r="T58" s="3">
        <f t="shared" si="106"/>
        <v>0</v>
      </c>
      <c r="U58" s="3">
        <f t="shared" si="106"/>
        <v>0</v>
      </c>
      <c r="V58" s="3">
        <f t="shared" si="106"/>
        <v>0</v>
      </c>
      <c r="W58" s="3">
        <f t="shared" si="106"/>
        <v>0</v>
      </c>
      <c r="X58" s="3">
        <f t="shared" si="106"/>
        <v>0</v>
      </c>
      <c r="Y58" s="3">
        <f t="shared" si="106"/>
        <v>0</v>
      </c>
      <c r="Z58" s="3">
        <f t="shared" si="106"/>
        <v>0</v>
      </c>
      <c r="AA58" s="3">
        <f t="shared" si="106"/>
        <v>0</v>
      </c>
      <c r="AB58" s="3">
        <f t="shared" si="106"/>
        <v>0</v>
      </c>
      <c r="AD58" s="57" t="s">
        <v>385</v>
      </c>
      <c r="AE58" s="13">
        <f>AB58*Factors!$AG$16</f>
        <v>0</v>
      </c>
      <c r="AF58" s="3">
        <f t="shared" ref="AF58:AP58" si="107">AE58</f>
        <v>0</v>
      </c>
      <c r="AG58" s="3">
        <f t="shared" si="107"/>
        <v>0</v>
      </c>
      <c r="AH58" s="3">
        <f t="shared" si="107"/>
        <v>0</v>
      </c>
      <c r="AI58" s="3">
        <f t="shared" si="107"/>
        <v>0</v>
      </c>
      <c r="AJ58" s="3">
        <f t="shared" si="107"/>
        <v>0</v>
      </c>
      <c r="AK58" s="3">
        <f t="shared" si="107"/>
        <v>0</v>
      </c>
      <c r="AL58" s="3">
        <f t="shared" si="107"/>
        <v>0</v>
      </c>
      <c r="AM58" s="3">
        <f t="shared" si="107"/>
        <v>0</v>
      </c>
      <c r="AN58" s="3">
        <f t="shared" si="107"/>
        <v>0</v>
      </c>
      <c r="AO58" s="3">
        <f t="shared" si="107"/>
        <v>0</v>
      </c>
      <c r="AP58" s="3">
        <f t="shared" si="107"/>
        <v>0</v>
      </c>
    </row>
    <row r="59" spans="1:42">
      <c r="A59" s="56" t="s">
        <v>386</v>
      </c>
      <c r="B59" s="57" t="str">
        <f>'O&amp;M Budget'!A68</f>
        <v>Other Taxes &amp; Fees</v>
      </c>
      <c r="C59" s="17">
        <v>1250</v>
      </c>
      <c r="D59" s="3">
        <f t="shared" ref="D59:N59" si="108">C59</f>
        <v>1250</v>
      </c>
      <c r="E59" s="3">
        <f t="shared" si="108"/>
        <v>1250</v>
      </c>
      <c r="F59" s="3">
        <f t="shared" si="108"/>
        <v>1250</v>
      </c>
      <c r="G59" s="3">
        <f t="shared" si="108"/>
        <v>1250</v>
      </c>
      <c r="H59" s="3">
        <f t="shared" si="108"/>
        <v>1250</v>
      </c>
      <c r="I59" s="3">
        <f t="shared" si="108"/>
        <v>1250</v>
      </c>
      <c r="J59" s="3">
        <f t="shared" si="108"/>
        <v>1250</v>
      </c>
      <c r="K59" s="3">
        <f t="shared" si="108"/>
        <v>1250</v>
      </c>
      <c r="L59" s="3">
        <f t="shared" si="108"/>
        <v>1250</v>
      </c>
      <c r="M59" s="3">
        <f t="shared" si="108"/>
        <v>1250</v>
      </c>
      <c r="N59" s="3">
        <f t="shared" si="108"/>
        <v>1250</v>
      </c>
      <c r="P59" s="57" t="s">
        <v>387</v>
      </c>
      <c r="Q59" s="13">
        <f>N59*Factors!$R$16</f>
        <v>1300</v>
      </c>
      <c r="R59" s="3">
        <f t="shared" ref="R59:AB59" si="109">Q59</f>
        <v>1300</v>
      </c>
      <c r="S59" s="3">
        <f t="shared" si="109"/>
        <v>1300</v>
      </c>
      <c r="T59" s="3">
        <f t="shared" si="109"/>
        <v>1300</v>
      </c>
      <c r="U59" s="3">
        <f t="shared" si="109"/>
        <v>1300</v>
      </c>
      <c r="V59" s="3">
        <f t="shared" si="109"/>
        <v>1300</v>
      </c>
      <c r="W59" s="3">
        <f t="shared" si="109"/>
        <v>1300</v>
      </c>
      <c r="X59" s="3">
        <f t="shared" si="109"/>
        <v>1300</v>
      </c>
      <c r="Y59" s="3">
        <f t="shared" si="109"/>
        <v>1300</v>
      </c>
      <c r="Z59" s="3">
        <f t="shared" si="109"/>
        <v>1300</v>
      </c>
      <c r="AA59" s="3">
        <f t="shared" si="109"/>
        <v>1300</v>
      </c>
      <c r="AB59" s="3">
        <f t="shared" si="109"/>
        <v>1300</v>
      </c>
      <c r="AD59" s="57" t="s">
        <v>387</v>
      </c>
      <c r="AE59" s="13">
        <f>AB59*Factors!$AG$16</f>
        <v>1378</v>
      </c>
      <c r="AF59" s="3">
        <f t="shared" ref="AF59:AP59" si="110">AE59</f>
        <v>1378</v>
      </c>
      <c r="AG59" s="3">
        <f t="shared" si="110"/>
        <v>1378</v>
      </c>
      <c r="AH59" s="3">
        <f t="shared" si="110"/>
        <v>1378</v>
      </c>
      <c r="AI59" s="3">
        <f t="shared" si="110"/>
        <v>1378</v>
      </c>
      <c r="AJ59" s="3">
        <f t="shared" si="110"/>
        <v>1378</v>
      </c>
      <c r="AK59" s="3">
        <f t="shared" si="110"/>
        <v>1378</v>
      </c>
      <c r="AL59" s="3">
        <f t="shared" si="110"/>
        <v>1378</v>
      </c>
      <c r="AM59" s="3">
        <f t="shared" si="110"/>
        <v>1378</v>
      </c>
      <c r="AN59" s="3">
        <f t="shared" si="110"/>
        <v>1378</v>
      </c>
      <c r="AO59" s="3">
        <f t="shared" si="110"/>
        <v>1378</v>
      </c>
      <c r="AP59" s="3">
        <f t="shared" si="110"/>
        <v>1378</v>
      </c>
    </row>
    <row r="60" spans="1:42" s="71" customFormat="1" ht="13.5" thickBot="1">
      <c r="A60" s="54"/>
      <c r="B60" s="136" t="s">
        <v>97</v>
      </c>
      <c r="C60" s="210">
        <f>SUM(C46:C59)</f>
        <v>114181</v>
      </c>
      <c r="D60" s="210">
        <f t="shared" ref="D60:N60" si="111">SUM(D46:D59)</f>
        <v>114181</v>
      </c>
      <c r="E60" s="210">
        <f t="shared" si="111"/>
        <v>114181</v>
      </c>
      <c r="F60" s="210">
        <f t="shared" si="111"/>
        <v>114181</v>
      </c>
      <c r="G60" s="210">
        <f t="shared" si="111"/>
        <v>114181</v>
      </c>
      <c r="H60" s="210">
        <f t="shared" si="111"/>
        <v>114181</v>
      </c>
      <c r="I60" s="210">
        <f t="shared" si="111"/>
        <v>114181</v>
      </c>
      <c r="J60" s="210">
        <f t="shared" si="111"/>
        <v>114181</v>
      </c>
      <c r="K60" s="210">
        <f t="shared" si="111"/>
        <v>114181</v>
      </c>
      <c r="L60" s="210">
        <f t="shared" si="111"/>
        <v>114181</v>
      </c>
      <c r="M60" s="210">
        <f t="shared" si="111"/>
        <v>114181</v>
      </c>
      <c r="N60" s="210">
        <f t="shared" si="111"/>
        <v>114181</v>
      </c>
      <c r="P60" s="55"/>
      <c r="Q60" s="210">
        <f t="shared" ref="Q60:AB60" si="112">SUM(Q46:Q59)</f>
        <v>118748.24000000002</v>
      </c>
      <c r="R60" s="210">
        <f t="shared" si="112"/>
        <v>118748.24000000002</v>
      </c>
      <c r="S60" s="210">
        <f t="shared" si="112"/>
        <v>118748.24000000002</v>
      </c>
      <c r="T60" s="210">
        <f t="shared" si="112"/>
        <v>118748.24000000002</v>
      </c>
      <c r="U60" s="210">
        <f t="shared" si="112"/>
        <v>118748.24000000002</v>
      </c>
      <c r="V60" s="210">
        <f t="shared" si="112"/>
        <v>118748.24000000002</v>
      </c>
      <c r="W60" s="210">
        <f t="shared" si="112"/>
        <v>118748.24000000002</v>
      </c>
      <c r="X60" s="210">
        <f t="shared" si="112"/>
        <v>118748.24000000002</v>
      </c>
      <c r="Y60" s="210">
        <f t="shared" si="112"/>
        <v>118748.24000000002</v>
      </c>
      <c r="Z60" s="210">
        <f t="shared" si="112"/>
        <v>118748.24000000002</v>
      </c>
      <c r="AA60" s="210">
        <f t="shared" si="112"/>
        <v>118748.24000000002</v>
      </c>
      <c r="AB60" s="210">
        <f t="shared" si="112"/>
        <v>118748.24000000002</v>
      </c>
      <c r="AD60" s="55"/>
      <c r="AE60" s="210">
        <f t="shared" ref="AE60:AP60" si="113">SUM(AE46:AE59)</f>
        <v>125873.13440000001</v>
      </c>
      <c r="AF60" s="210">
        <f t="shared" si="113"/>
        <v>125873.13440000001</v>
      </c>
      <c r="AG60" s="210">
        <f t="shared" si="113"/>
        <v>125873.13440000001</v>
      </c>
      <c r="AH60" s="210">
        <f t="shared" si="113"/>
        <v>125873.13440000001</v>
      </c>
      <c r="AI60" s="210">
        <f t="shared" si="113"/>
        <v>125873.13440000001</v>
      </c>
      <c r="AJ60" s="210">
        <f t="shared" si="113"/>
        <v>125873.13440000001</v>
      </c>
      <c r="AK60" s="210">
        <f t="shared" si="113"/>
        <v>125873.13440000001</v>
      </c>
      <c r="AL60" s="210">
        <f t="shared" si="113"/>
        <v>125873.13440000001</v>
      </c>
      <c r="AM60" s="210">
        <f t="shared" si="113"/>
        <v>125873.13440000001</v>
      </c>
      <c r="AN60" s="210">
        <f t="shared" si="113"/>
        <v>125873.13440000001</v>
      </c>
      <c r="AO60" s="210">
        <f t="shared" si="113"/>
        <v>125873.13440000001</v>
      </c>
      <c r="AP60" s="210">
        <f t="shared" si="113"/>
        <v>125873.13440000001</v>
      </c>
    </row>
    <row r="61" spans="1:42" ht="13.5" thickTop="1">
      <c r="A61" s="56"/>
      <c r="B61" s="5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57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D61" s="5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>
      <c r="A62" s="56"/>
      <c r="B62" s="5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57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D62" s="5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>
      <c r="B63" s="55" t="s">
        <v>807</v>
      </c>
      <c r="C63" s="1" t="s">
        <v>50</v>
      </c>
      <c r="D63" s="1" t="s">
        <v>51</v>
      </c>
      <c r="E63" s="1" t="s">
        <v>52</v>
      </c>
      <c r="F63" s="1" t="s">
        <v>53</v>
      </c>
      <c r="G63" s="1" t="s">
        <v>54</v>
      </c>
      <c r="H63" s="1" t="s">
        <v>55</v>
      </c>
      <c r="I63" s="1" t="s">
        <v>56</v>
      </c>
      <c r="J63" s="1" t="s">
        <v>57</v>
      </c>
      <c r="K63" s="1" t="s">
        <v>58</v>
      </c>
      <c r="L63" s="1" t="s">
        <v>59</v>
      </c>
      <c r="M63" s="1" t="s">
        <v>60</v>
      </c>
      <c r="N63" s="1" t="s">
        <v>61</v>
      </c>
      <c r="Q63" s="1" t="s">
        <v>50</v>
      </c>
      <c r="R63" s="1" t="s">
        <v>51</v>
      </c>
      <c r="S63" s="1" t="s">
        <v>52</v>
      </c>
      <c r="T63" s="1" t="s">
        <v>53</v>
      </c>
      <c r="U63" s="1" t="s">
        <v>54</v>
      </c>
      <c r="V63" s="1" t="s">
        <v>55</v>
      </c>
      <c r="W63" s="1" t="s">
        <v>56</v>
      </c>
      <c r="X63" s="1" t="s">
        <v>57</v>
      </c>
      <c r="Y63" s="1" t="s">
        <v>58</v>
      </c>
      <c r="Z63" s="1" t="s">
        <v>59</v>
      </c>
      <c r="AA63" s="1" t="s">
        <v>60</v>
      </c>
      <c r="AB63" s="1" t="s">
        <v>61</v>
      </c>
      <c r="AE63" s="1" t="s">
        <v>50</v>
      </c>
      <c r="AF63" s="1" t="s">
        <v>51</v>
      </c>
      <c r="AG63" s="1" t="s">
        <v>52</v>
      </c>
      <c r="AH63" s="1" t="s">
        <v>53</v>
      </c>
      <c r="AI63" s="1" t="s">
        <v>54</v>
      </c>
      <c r="AJ63" s="1" t="s">
        <v>55</v>
      </c>
      <c r="AK63" s="1" t="s">
        <v>56</v>
      </c>
      <c r="AL63" s="1" t="s">
        <v>57</v>
      </c>
      <c r="AM63" s="1" t="s">
        <v>58</v>
      </c>
      <c r="AN63" s="1" t="s">
        <v>59</v>
      </c>
      <c r="AO63" s="1" t="s">
        <v>60</v>
      </c>
      <c r="AP63" s="1" t="s">
        <v>61</v>
      </c>
    </row>
    <row r="64" spans="1:42">
      <c r="A64" t="s">
        <v>418</v>
      </c>
      <c r="B64" s="57" t="s">
        <v>1209</v>
      </c>
      <c r="C64" s="17">
        <f>11600+4600</f>
        <v>16200</v>
      </c>
      <c r="D64" s="3">
        <f>C64</f>
        <v>16200</v>
      </c>
      <c r="E64" s="3">
        <f t="shared" ref="E64:N64" si="114">D64</f>
        <v>16200</v>
      </c>
      <c r="F64" s="3">
        <f t="shared" si="114"/>
        <v>16200</v>
      </c>
      <c r="G64" s="3">
        <f t="shared" si="114"/>
        <v>16200</v>
      </c>
      <c r="H64" s="3">
        <f t="shared" si="114"/>
        <v>16200</v>
      </c>
      <c r="I64" s="3">
        <f t="shared" si="114"/>
        <v>16200</v>
      </c>
      <c r="J64" s="3">
        <f t="shared" si="114"/>
        <v>16200</v>
      </c>
      <c r="K64" s="3">
        <f t="shared" si="114"/>
        <v>16200</v>
      </c>
      <c r="L64" s="3">
        <f t="shared" si="114"/>
        <v>16200</v>
      </c>
      <c r="M64" s="3">
        <f t="shared" si="114"/>
        <v>16200</v>
      </c>
      <c r="N64" s="3">
        <f t="shared" si="114"/>
        <v>16200</v>
      </c>
      <c r="P64" s="40" t="s">
        <v>154</v>
      </c>
      <c r="Q64" s="13">
        <f>N64*Factors!$R$16</f>
        <v>16848</v>
      </c>
      <c r="R64" s="3">
        <f>Q64</f>
        <v>16848</v>
      </c>
      <c r="S64" s="3">
        <f t="shared" ref="S64:AB64" si="115">R64</f>
        <v>16848</v>
      </c>
      <c r="T64" s="3">
        <f t="shared" si="115"/>
        <v>16848</v>
      </c>
      <c r="U64" s="3">
        <f t="shared" si="115"/>
        <v>16848</v>
      </c>
      <c r="V64" s="3">
        <f t="shared" si="115"/>
        <v>16848</v>
      </c>
      <c r="W64" s="3">
        <f t="shared" si="115"/>
        <v>16848</v>
      </c>
      <c r="X64" s="3">
        <f t="shared" si="115"/>
        <v>16848</v>
      </c>
      <c r="Y64" s="3">
        <f t="shared" si="115"/>
        <v>16848</v>
      </c>
      <c r="Z64" s="3">
        <f t="shared" si="115"/>
        <v>16848</v>
      </c>
      <c r="AA64" s="3">
        <f t="shared" si="115"/>
        <v>16848</v>
      </c>
      <c r="AB64" s="3">
        <f t="shared" si="115"/>
        <v>16848</v>
      </c>
      <c r="AD64" s="40" t="s">
        <v>154</v>
      </c>
      <c r="AE64" s="13">
        <f>AB64*Factors!$AG$16</f>
        <v>17858.88</v>
      </c>
      <c r="AF64" s="3">
        <f>AE64</f>
        <v>17858.88</v>
      </c>
      <c r="AG64" s="3">
        <f t="shared" ref="AG64:AP64" si="116">AF64</f>
        <v>17858.88</v>
      </c>
      <c r="AH64" s="3">
        <f t="shared" si="116"/>
        <v>17858.88</v>
      </c>
      <c r="AI64" s="3">
        <f t="shared" si="116"/>
        <v>17858.88</v>
      </c>
      <c r="AJ64" s="3">
        <f t="shared" si="116"/>
        <v>17858.88</v>
      </c>
      <c r="AK64" s="3">
        <f t="shared" si="116"/>
        <v>17858.88</v>
      </c>
      <c r="AL64" s="3">
        <f t="shared" si="116"/>
        <v>17858.88</v>
      </c>
      <c r="AM64" s="3">
        <f t="shared" si="116"/>
        <v>17858.88</v>
      </c>
      <c r="AN64" s="3">
        <f t="shared" si="116"/>
        <v>17858.88</v>
      </c>
      <c r="AO64" s="3">
        <f t="shared" si="116"/>
        <v>17858.88</v>
      </c>
      <c r="AP64" s="3">
        <f t="shared" si="116"/>
        <v>17858.88</v>
      </c>
    </row>
    <row r="65" spans="1:42">
      <c r="A65" t="s">
        <v>345</v>
      </c>
      <c r="B65" s="340" t="s">
        <v>155</v>
      </c>
      <c r="C65" s="17">
        <v>2050</v>
      </c>
      <c r="D65" s="3">
        <f>C65</f>
        <v>2050</v>
      </c>
      <c r="E65" s="3">
        <f t="shared" ref="E65:N65" si="117">D65</f>
        <v>2050</v>
      </c>
      <c r="F65" s="3">
        <f t="shared" si="117"/>
        <v>2050</v>
      </c>
      <c r="G65" s="3">
        <f t="shared" si="117"/>
        <v>2050</v>
      </c>
      <c r="H65" s="3">
        <f t="shared" si="117"/>
        <v>2050</v>
      </c>
      <c r="I65" s="3">
        <f t="shared" si="117"/>
        <v>2050</v>
      </c>
      <c r="J65" s="3">
        <f t="shared" si="117"/>
        <v>2050</v>
      </c>
      <c r="K65" s="3">
        <f t="shared" si="117"/>
        <v>2050</v>
      </c>
      <c r="L65" s="3">
        <f t="shared" si="117"/>
        <v>2050</v>
      </c>
      <c r="M65" s="3">
        <f t="shared" si="117"/>
        <v>2050</v>
      </c>
      <c r="N65" s="3">
        <f t="shared" si="117"/>
        <v>2050</v>
      </c>
      <c r="P65" s="40" t="s">
        <v>155</v>
      </c>
      <c r="Q65" s="13">
        <v>2050</v>
      </c>
      <c r="R65" s="3">
        <f>Q65</f>
        <v>2050</v>
      </c>
      <c r="S65" s="3">
        <f t="shared" ref="S65:AB65" si="118">R65</f>
        <v>2050</v>
      </c>
      <c r="T65" s="3">
        <f t="shared" si="118"/>
        <v>2050</v>
      </c>
      <c r="U65" s="3">
        <f t="shared" si="118"/>
        <v>2050</v>
      </c>
      <c r="V65" s="3">
        <f t="shared" si="118"/>
        <v>2050</v>
      </c>
      <c r="W65" s="3">
        <f t="shared" si="118"/>
        <v>2050</v>
      </c>
      <c r="X65" s="3">
        <f t="shared" si="118"/>
        <v>2050</v>
      </c>
      <c r="Y65" s="3">
        <f t="shared" si="118"/>
        <v>2050</v>
      </c>
      <c r="Z65" s="3">
        <f t="shared" si="118"/>
        <v>2050</v>
      </c>
      <c r="AA65" s="3">
        <f t="shared" si="118"/>
        <v>2050</v>
      </c>
      <c r="AB65" s="3">
        <f t="shared" si="118"/>
        <v>2050</v>
      </c>
      <c r="AD65" s="40" t="s">
        <v>155</v>
      </c>
      <c r="AE65" s="13">
        <v>2050</v>
      </c>
      <c r="AF65" s="3">
        <f>AE65</f>
        <v>2050</v>
      </c>
      <c r="AG65" s="3">
        <f t="shared" ref="AG65:AP65" si="119">AF65</f>
        <v>2050</v>
      </c>
      <c r="AH65" s="3">
        <f t="shared" si="119"/>
        <v>2050</v>
      </c>
      <c r="AI65" s="3">
        <f t="shared" si="119"/>
        <v>2050</v>
      </c>
      <c r="AJ65" s="3">
        <f t="shared" si="119"/>
        <v>2050</v>
      </c>
      <c r="AK65" s="3">
        <f t="shared" si="119"/>
        <v>2050</v>
      </c>
      <c r="AL65" s="3">
        <f t="shared" si="119"/>
        <v>2050</v>
      </c>
      <c r="AM65" s="3">
        <f t="shared" si="119"/>
        <v>2050</v>
      </c>
      <c r="AN65" s="3">
        <f t="shared" si="119"/>
        <v>2050</v>
      </c>
      <c r="AO65" s="3">
        <f t="shared" si="119"/>
        <v>2050</v>
      </c>
      <c r="AP65" s="3">
        <f t="shared" si="119"/>
        <v>2050</v>
      </c>
    </row>
    <row r="66" spans="1:42">
      <c r="A66" t="s">
        <v>1236</v>
      </c>
      <c r="B66" s="340" t="s">
        <v>156</v>
      </c>
      <c r="C66" s="17">
        <v>14000</v>
      </c>
      <c r="D66" s="3">
        <v>14000</v>
      </c>
      <c r="E66" s="3">
        <v>14000</v>
      </c>
      <c r="F66" s="3">
        <v>14000</v>
      </c>
      <c r="G66" s="3">
        <v>14000</v>
      </c>
      <c r="H66" s="3">
        <v>14000</v>
      </c>
      <c r="I66" s="3">
        <v>14000</v>
      </c>
      <c r="J66" s="3">
        <v>14000</v>
      </c>
      <c r="K66" s="3">
        <v>14000</v>
      </c>
      <c r="L66" s="3">
        <v>14000</v>
      </c>
      <c r="M66" s="3">
        <v>14000</v>
      </c>
      <c r="N66" s="3">
        <v>14000</v>
      </c>
      <c r="P66" s="40" t="s">
        <v>156</v>
      </c>
      <c r="Q66" s="13">
        <v>14000</v>
      </c>
      <c r="R66" s="3">
        <v>14000</v>
      </c>
      <c r="S66" s="3">
        <v>14000</v>
      </c>
      <c r="T66" s="3">
        <v>14000</v>
      </c>
      <c r="U66" s="3">
        <v>14000</v>
      </c>
      <c r="V66" s="3">
        <v>14000</v>
      </c>
      <c r="W66" s="3">
        <v>14000</v>
      </c>
      <c r="X66" s="3">
        <v>14000</v>
      </c>
      <c r="Y66" s="3">
        <v>14000</v>
      </c>
      <c r="Z66" s="3">
        <v>14000</v>
      </c>
      <c r="AA66" s="3">
        <v>14000</v>
      </c>
      <c r="AB66" s="3">
        <v>14000</v>
      </c>
      <c r="AD66" s="40" t="s">
        <v>156</v>
      </c>
      <c r="AE66" s="13">
        <v>14000</v>
      </c>
      <c r="AF66" s="3">
        <v>14000</v>
      </c>
      <c r="AG66" s="3">
        <v>14000</v>
      </c>
      <c r="AH66" s="3">
        <v>14000</v>
      </c>
      <c r="AI66" s="3">
        <v>14000</v>
      </c>
      <c r="AJ66" s="3">
        <v>14000</v>
      </c>
      <c r="AK66" s="3">
        <v>14000</v>
      </c>
      <c r="AL66" s="3">
        <v>14000</v>
      </c>
      <c r="AM66" s="3">
        <v>14000</v>
      </c>
      <c r="AN66" s="3">
        <v>14000</v>
      </c>
      <c r="AO66" s="3">
        <v>14000</v>
      </c>
      <c r="AP66" s="3">
        <v>14000</v>
      </c>
    </row>
    <row r="67" spans="1:42">
      <c r="B67" s="340" t="s">
        <v>157</v>
      </c>
      <c r="C67" s="17">
        <v>3400</v>
      </c>
      <c r="D67" s="3">
        <v>3400</v>
      </c>
      <c r="E67" s="3">
        <v>3400</v>
      </c>
      <c r="F67" s="3">
        <v>3400</v>
      </c>
      <c r="G67" s="3">
        <v>3400</v>
      </c>
      <c r="H67" s="3">
        <v>3400</v>
      </c>
      <c r="I67" s="3">
        <v>3400</v>
      </c>
      <c r="J67" s="3">
        <v>3400</v>
      </c>
      <c r="K67" s="3">
        <v>3400</v>
      </c>
      <c r="L67" s="3">
        <v>3400</v>
      </c>
      <c r="M67" s="3">
        <v>3400</v>
      </c>
      <c r="N67" s="3">
        <v>3400</v>
      </c>
      <c r="P67" s="40" t="s">
        <v>157</v>
      </c>
      <c r="Q67" s="13">
        <v>3400</v>
      </c>
      <c r="R67" s="3">
        <v>3400</v>
      </c>
      <c r="S67" s="3">
        <v>3400</v>
      </c>
      <c r="T67" s="3">
        <v>3400</v>
      </c>
      <c r="U67" s="3">
        <v>3400</v>
      </c>
      <c r="V67" s="3">
        <v>3400</v>
      </c>
      <c r="W67" s="3">
        <v>3400</v>
      </c>
      <c r="X67" s="3">
        <v>3400</v>
      </c>
      <c r="Y67" s="3">
        <v>3400</v>
      </c>
      <c r="Z67" s="3">
        <v>3400</v>
      </c>
      <c r="AA67" s="3">
        <v>3400</v>
      </c>
      <c r="AB67" s="3">
        <v>3400</v>
      </c>
      <c r="AD67" s="40" t="s">
        <v>157</v>
      </c>
      <c r="AE67" s="13">
        <v>3400</v>
      </c>
      <c r="AF67" s="3">
        <v>3400</v>
      </c>
      <c r="AG67" s="3">
        <v>3400</v>
      </c>
      <c r="AH67" s="3">
        <v>3400</v>
      </c>
      <c r="AI67" s="3">
        <v>3400</v>
      </c>
      <c r="AJ67" s="3">
        <v>3400</v>
      </c>
      <c r="AK67" s="3">
        <v>3400</v>
      </c>
      <c r="AL67" s="3">
        <v>3400</v>
      </c>
      <c r="AM67" s="3">
        <v>3400</v>
      </c>
      <c r="AN67" s="3">
        <v>3400</v>
      </c>
      <c r="AO67" s="3">
        <v>3400</v>
      </c>
      <c r="AP67" s="3">
        <v>3400</v>
      </c>
    </row>
    <row r="68" spans="1:42" s="2" customFormat="1" ht="13.5" thickBot="1">
      <c r="B68" s="136" t="s">
        <v>97</v>
      </c>
      <c r="C68" s="209">
        <f>SUM(C64:C67)</f>
        <v>35650</v>
      </c>
      <c r="D68" s="10">
        <f t="shared" ref="D68:N68" si="120">SUM(D64:D67)</f>
        <v>35650</v>
      </c>
      <c r="E68" s="10">
        <f t="shared" si="120"/>
        <v>35650</v>
      </c>
      <c r="F68" s="10">
        <f t="shared" si="120"/>
        <v>35650</v>
      </c>
      <c r="G68" s="10">
        <f t="shared" si="120"/>
        <v>35650</v>
      </c>
      <c r="H68" s="10">
        <f t="shared" si="120"/>
        <v>35650</v>
      </c>
      <c r="I68" s="10">
        <f t="shared" si="120"/>
        <v>35650</v>
      </c>
      <c r="J68" s="10">
        <f t="shared" si="120"/>
        <v>35650</v>
      </c>
      <c r="K68" s="10">
        <f t="shared" si="120"/>
        <v>35650</v>
      </c>
      <c r="L68" s="10">
        <f t="shared" si="120"/>
        <v>35650</v>
      </c>
      <c r="M68" s="10">
        <f t="shared" si="120"/>
        <v>35650</v>
      </c>
      <c r="N68" s="10">
        <f t="shared" si="120"/>
        <v>35650</v>
      </c>
      <c r="Q68" s="130">
        <f t="shared" ref="Q68:AB68" si="121">SUM(Q64:Q67)</f>
        <v>36298</v>
      </c>
      <c r="R68" s="7">
        <f t="shared" si="121"/>
        <v>36298</v>
      </c>
      <c r="S68" s="7">
        <f t="shared" si="121"/>
        <v>36298</v>
      </c>
      <c r="T68" s="7">
        <f t="shared" si="121"/>
        <v>36298</v>
      </c>
      <c r="U68" s="7">
        <f t="shared" si="121"/>
        <v>36298</v>
      </c>
      <c r="V68" s="7">
        <f t="shared" si="121"/>
        <v>36298</v>
      </c>
      <c r="W68" s="7">
        <f t="shared" si="121"/>
        <v>36298</v>
      </c>
      <c r="X68" s="7">
        <f t="shared" si="121"/>
        <v>36298</v>
      </c>
      <c r="Y68" s="7">
        <f t="shared" si="121"/>
        <v>36298</v>
      </c>
      <c r="Z68" s="7">
        <f t="shared" si="121"/>
        <v>36298</v>
      </c>
      <c r="AA68" s="7">
        <f t="shared" si="121"/>
        <v>36298</v>
      </c>
      <c r="AB68" s="7">
        <f t="shared" si="121"/>
        <v>36298</v>
      </c>
      <c r="AE68" s="130">
        <f t="shared" ref="AE68:AP68" si="122">SUM(AE64:AE67)</f>
        <v>37308.880000000005</v>
      </c>
      <c r="AF68" s="7">
        <f t="shared" si="122"/>
        <v>37308.880000000005</v>
      </c>
      <c r="AG68" s="7">
        <f t="shared" si="122"/>
        <v>37308.880000000005</v>
      </c>
      <c r="AH68" s="7">
        <f t="shared" si="122"/>
        <v>37308.880000000005</v>
      </c>
      <c r="AI68" s="7">
        <f t="shared" si="122"/>
        <v>37308.880000000005</v>
      </c>
      <c r="AJ68" s="7">
        <f t="shared" si="122"/>
        <v>37308.880000000005</v>
      </c>
      <c r="AK68" s="7">
        <f t="shared" si="122"/>
        <v>37308.880000000005</v>
      </c>
      <c r="AL68" s="7">
        <f t="shared" si="122"/>
        <v>37308.880000000005</v>
      </c>
      <c r="AM68" s="7">
        <f t="shared" si="122"/>
        <v>37308.880000000005</v>
      </c>
      <c r="AN68" s="7">
        <f t="shared" si="122"/>
        <v>37308.880000000005</v>
      </c>
      <c r="AO68" s="7">
        <f t="shared" si="122"/>
        <v>37308.880000000005</v>
      </c>
      <c r="AP68" s="7">
        <f t="shared" si="122"/>
        <v>37308.880000000005</v>
      </c>
    </row>
    <row r="69" spans="1:42" ht="13.5" thickTop="1">
      <c r="C69" s="1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Q69" s="17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E69" s="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>
      <c r="A70" s="54" t="s">
        <v>410</v>
      </c>
      <c r="B70" s="133" t="s">
        <v>801</v>
      </c>
      <c r="C70" s="1" t="s">
        <v>50</v>
      </c>
      <c r="D70" s="1" t="s">
        <v>51</v>
      </c>
      <c r="E70" s="1" t="s">
        <v>52</v>
      </c>
      <c r="F70" s="1" t="s">
        <v>53</v>
      </c>
      <c r="G70" s="1" t="s">
        <v>54</v>
      </c>
      <c r="H70" s="1" t="s">
        <v>55</v>
      </c>
      <c r="I70" s="1" t="s">
        <v>56</v>
      </c>
      <c r="J70" s="1" t="s">
        <v>57</v>
      </c>
      <c r="K70" s="1" t="s">
        <v>58</v>
      </c>
      <c r="L70" s="1" t="s">
        <v>59</v>
      </c>
      <c r="M70" s="1" t="s">
        <v>60</v>
      </c>
      <c r="N70" s="1" t="s">
        <v>61</v>
      </c>
      <c r="P70" s="55" t="s">
        <v>401</v>
      </c>
      <c r="Q70" s="17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D70" s="55" t="s">
        <v>401</v>
      </c>
      <c r="AE70" s="17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>
      <c r="A71" s="56" t="s">
        <v>411</v>
      </c>
      <c r="B71" s="57" t="s">
        <v>1234</v>
      </c>
      <c r="C71" s="17">
        <v>181140</v>
      </c>
      <c r="D71" s="17">
        <f>C71</f>
        <v>181140</v>
      </c>
      <c r="E71" s="17">
        <f>D71</f>
        <v>181140</v>
      </c>
      <c r="F71" s="17">
        <f>E71</f>
        <v>181140</v>
      </c>
      <c r="G71" s="17">
        <f>F71</f>
        <v>181140</v>
      </c>
      <c r="H71" s="17">
        <f>G71</f>
        <v>181140</v>
      </c>
      <c r="I71" s="3">
        <f>H71*1.1</f>
        <v>199254.00000000003</v>
      </c>
      <c r="J71" s="3">
        <f>I71</f>
        <v>199254.00000000003</v>
      </c>
      <c r="K71" s="3">
        <f t="shared" ref="K71:N73" si="123">J71</f>
        <v>199254.00000000003</v>
      </c>
      <c r="L71" s="3">
        <f t="shared" si="123"/>
        <v>199254.00000000003</v>
      </c>
      <c r="M71" s="3">
        <f t="shared" si="123"/>
        <v>199254.00000000003</v>
      </c>
      <c r="N71" s="3">
        <f t="shared" si="123"/>
        <v>199254.00000000003</v>
      </c>
      <c r="P71" s="57" t="s">
        <v>519</v>
      </c>
      <c r="Q71" s="13">
        <f t="shared" ref="Q71:V71" si="124">480000*4.3/12</f>
        <v>172000</v>
      </c>
      <c r="R71" s="13">
        <f t="shared" si="124"/>
        <v>172000</v>
      </c>
      <c r="S71" s="13">
        <f t="shared" si="124"/>
        <v>172000</v>
      </c>
      <c r="T71" s="13">
        <f t="shared" si="124"/>
        <v>172000</v>
      </c>
      <c r="U71" s="13">
        <f t="shared" si="124"/>
        <v>172000</v>
      </c>
      <c r="V71" s="13">
        <f t="shared" si="124"/>
        <v>172000</v>
      </c>
      <c r="W71" s="3">
        <f>V71*1.1</f>
        <v>189200.00000000003</v>
      </c>
      <c r="X71" s="3">
        <f t="shared" ref="X71:AB73" si="125">W71</f>
        <v>189200.00000000003</v>
      </c>
      <c r="Y71" s="3">
        <f t="shared" si="125"/>
        <v>189200.00000000003</v>
      </c>
      <c r="Z71" s="3">
        <f t="shared" si="125"/>
        <v>189200.00000000003</v>
      </c>
      <c r="AA71" s="3">
        <f t="shared" si="125"/>
        <v>189200.00000000003</v>
      </c>
      <c r="AB71" s="3">
        <f t="shared" si="125"/>
        <v>189200.00000000003</v>
      </c>
      <c r="AD71" s="57" t="s">
        <v>519</v>
      </c>
      <c r="AE71" s="13">
        <f t="shared" ref="AE71:AJ71" si="126">480000*4.3/12</f>
        <v>172000</v>
      </c>
      <c r="AF71" s="13">
        <f t="shared" si="126"/>
        <v>172000</v>
      </c>
      <c r="AG71" s="13">
        <f t="shared" si="126"/>
        <v>172000</v>
      </c>
      <c r="AH71" s="13">
        <f t="shared" si="126"/>
        <v>172000</v>
      </c>
      <c r="AI71" s="13">
        <f t="shared" si="126"/>
        <v>172000</v>
      </c>
      <c r="AJ71" s="13">
        <f t="shared" si="126"/>
        <v>172000</v>
      </c>
      <c r="AK71" s="3">
        <f>AJ71*1.1</f>
        <v>189200.00000000003</v>
      </c>
      <c r="AL71" s="3">
        <f t="shared" ref="AL71:AP73" si="127">AK71</f>
        <v>189200.00000000003</v>
      </c>
      <c r="AM71" s="3">
        <f t="shared" si="127"/>
        <v>189200.00000000003</v>
      </c>
      <c r="AN71" s="3">
        <f t="shared" si="127"/>
        <v>189200.00000000003</v>
      </c>
      <c r="AO71" s="3">
        <f t="shared" si="127"/>
        <v>189200.00000000003</v>
      </c>
      <c r="AP71" s="3">
        <f t="shared" si="127"/>
        <v>189200.00000000003</v>
      </c>
    </row>
    <row r="72" spans="1:42">
      <c r="B72" s="57" t="s">
        <v>1235</v>
      </c>
      <c r="C72" s="17">
        <v>43854</v>
      </c>
      <c r="D72" s="3">
        <f t="shared" ref="D72:H73" si="128">C72</f>
        <v>43854</v>
      </c>
      <c r="E72" s="3">
        <f t="shared" si="128"/>
        <v>43854</v>
      </c>
      <c r="F72" s="3">
        <f t="shared" si="128"/>
        <v>43854</v>
      </c>
      <c r="G72" s="3">
        <f t="shared" si="128"/>
        <v>43854</v>
      </c>
      <c r="H72" s="3">
        <f t="shared" si="128"/>
        <v>43854</v>
      </c>
      <c r="I72" s="3">
        <f>H72*1.1</f>
        <v>48239.4</v>
      </c>
      <c r="J72" s="3">
        <f>I72</f>
        <v>48239.4</v>
      </c>
      <c r="K72" s="3">
        <f t="shared" si="123"/>
        <v>48239.4</v>
      </c>
      <c r="L72" s="3">
        <f t="shared" si="123"/>
        <v>48239.4</v>
      </c>
      <c r="M72" s="3">
        <f t="shared" si="123"/>
        <v>48239.4</v>
      </c>
      <c r="N72" s="3">
        <f t="shared" si="123"/>
        <v>48239.4</v>
      </c>
      <c r="P72" s="57" t="s">
        <v>519</v>
      </c>
      <c r="Q72" s="13">
        <v>40000</v>
      </c>
      <c r="R72" s="3">
        <f t="shared" ref="R72:V73" si="129">Q72</f>
        <v>40000</v>
      </c>
      <c r="S72" s="3">
        <f t="shared" si="129"/>
        <v>40000</v>
      </c>
      <c r="T72" s="3">
        <f t="shared" si="129"/>
        <v>40000</v>
      </c>
      <c r="U72" s="3">
        <f t="shared" si="129"/>
        <v>40000</v>
      </c>
      <c r="V72" s="3">
        <f t="shared" si="129"/>
        <v>40000</v>
      </c>
      <c r="W72" s="3">
        <f>V72*1.1</f>
        <v>44000</v>
      </c>
      <c r="X72" s="3">
        <f t="shared" si="125"/>
        <v>44000</v>
      </c>
      <c r="Y72" s="3">
        <f t="shared" si="125"/>
        <v>44000</v>
      </c>
      <c r="Z72" s="3">
        <f t="shared" si="125"/>
        <v>44000</v>
      </c>
      <c r="AA72" s="3">
        <f t="shared" si="125"/>
        <v>44000</v>
      </c>
      <c r="AB72" s="3">
        <f t="shared" si="125"/>
        <v>44000</v>
      </c>
      <c r="AD72" s="57" t="s">
        <v>519</v>
      </c>
      <c r="AE72" s="13">
        <v>40000</v>
      </c>
      <c r="AF72" s="3">
        <f t="shared" ref="AF72:AJ73" si="130">AE72</f>
        <v>40000</v>
      </c>
      <c r="AG72" s="3">
        <f t="shared" si="130"/>
        <v>40000</v>
      </c>
      <c r="AH72" s="3">
        <f t="shared" si="130"/>
        <v>40000</v>
      </c>
      <c r="AI72" s="3">
        <f t="shared" si="130"/>
        <v>40000</v>
      </c>
      <c r="AJ72" s="3">
        <f t="shared" si="130"/>
        <v>40000</v>
      </c>
      <c r="AK72" s="3">
        <f>AJ72*1.1</f>
        <v>44000</v>
      </c>
      <c r="AL72" s="3">
        <f t="shared" si="127"/>
        <v>44000</v>
      </c>
      <c r="AM72" s="3">
        <f t="shared" si="127"/>
        <v>44000</v>
      </c>
      <c r="AN72" s="3">
        <f t="shared" si="127"/>
        <v>44000</v>
      </c>
      <c r="AO72" s="3">
        <f t="shared" si="127"/>
        <v>44000</v>
      </c>
      <c r="AP72" s="3">
        <f t="shared" si="127"/>
        <v>44000</v>
      </c>
    </row>
    <row r="73" spans="1:42">
      <c r="A73" s="56" t="s">
        <v>413</v>
      </c>
      <c r="B73" s="57" t="s">
        <v>652</v>
      </c>
      <c r="C73" s="17">
        <v>1700</v>
      </c>
      <c r="D73" s="3">
        <f t="shared" si="128"/>
        <v>1700</v>
      </c>
      <c r="E73" s="3">
        <f t="shared" si="128"/>
        <v>1700</v>
      </c>
      <c r="F73" s="3">
        <f t="shared" si="128"/>
        <v>1700</v>
      </c>
      <c r="G73" s="3">
        <f t="shared" si="128"/>
        <v>1700</v>
      </c>
      <c r="H73" s="3">
        <f t="shared" si="128"/>
        <v>1700</v>
      </c>
      <c r="I73" s="3">
        <f>H73*1.1</f>
        <v>1870.0000000000002</v>
      </c>
      <c r="J73" s="3">
        <f>I73</f>
        <v>1870.0000000000002</v>
      </c>
      <c r="K73" s="3">
        <f t="shared" si="123"/>
        <v>1870.0000000000002</v>
      </c>
      <c r="L73" s="3">
        <f t="shared" si="123"/>
        <v>1870.0000000000002</v>
      </c>
      <c r="M73" s="3">
        <f t="shared" si="123"/>
        <v>1870.0000000000002</v>
      </c>
      <c r="N73" s="3">
        <f t="shared" si="123"/>
        <v>1870.0000000000002</v>
      </c>
      <c r="P73" s="57" t="s">
        <v>414</v>
      </c>
      <c r="Q73" s="13">
        <v>1700</v>
      </c>
      <c r="R73" s="3">
        <f t="shared" si="129"/>
        <v>1700</v>
      </c>
      <c r="S73" s="3">
        <f t="shared" si="129"/>
        <v>1700</v>
      </c>
      <c r="T73" s="3">
        <f t="shared" si="129"/>
        <v>1700</v>
      </c>
      <c r="U73" s="3">
        <f t="shared" si="129"/>
        <v>1700</v>
      </c>
      <c r="V73" s="3">
        <f t="shared" si="129"/>
        <v>1700</v>
      </c>
      <c r="W73" s="3">
        <f>V73*1.1</f>
        <v>1870.0000000000002</v>
      </c>
      <c r="X73" s="3">
        <f t="shared" si="125"/>
        <v>1870.0000000000002</v>
      </c>
      <c r="Y73" s="3">
        <f t="shared" si="125"/>
        <v>1870.0000000000002</v>
      </c>
      <c r="Z73" s="3">
        <f t="shared" si="125"/>
        <v>1870.0000000000002</v>
      </c>
      <c r="AA73" s="3">
        <f t="shared" si="125"/>
        <v>1870.0000000000002</v>
      </c>
      <c r="AB73" s="3">
        <f t="shared" si="125"/>
        <v>1870.0000000000002</v>
      </c>
      <c r="AD73" s="57" t="s">
        <v>414</v>
      </c>
      <c r="AE73" s="13">
        <v>1700</v>
      </c>
      <c r="AF73" s="3">
        <f t="shared" si="130"/>
        <v>1700</v>
      </c>
      <c r="AG73" s="3">
        <f t="shared" si="130"/>
        <v>1700</v>
      </c>
      <c r="AH73" s="3">
        <f t="shared" si="130"/>
        <v>1700</v>
      </c>
      <c r="AI73" s="3">
        <f t="shared" si="130"/>
        <v>1700</v>
      </c>
      <c r="AJ73" s="3">
        <f t="shared" si="130"/>
        <v>1700</v>
      </c>
      <c r="AK73" s="3">
        <f>AJ73*1.1</f>
        <v>1870.0000000000002</v>
      </c>
      <c r="AL73" s="3">
        <f t="shared" si="127"/>
        <v>1870.0000000000002</v>
      </c>
      <c r="AM73" s="3">
        <f t="shared" si="127"/>
        <v>1870.0000000000002</v>
      </c>
      <c r="AN73" s="3">
        <f t="shared" si="127"/>
        <v>1870.0000000000002</v>
      </c>
      <c r="AO73" s="3">
        <f t="shared" si="127"/>
        <v>1870.0000000000002</v>
      </c>
      <c r="AP73" s="3">
        <f t="shared" si="127"/>
        <v>1870.0000000000002</v>
      </c>
    </row>
    <row r="74" spans="1:42" hidden="1">
      <c r="A74" s="56" t="s">
        <v>415</v>
      </c>
      <c r="B74" s="57" t="s">
        <v>416</v>
      </c>
      <c r="C74" s="1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57" t="s">
        <v>416</v>
      </c>
      <c r="Q74" s="1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D74" s="57" t="s">
        <v>416</v>
      </c>
      <c r="AE74" s="1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s="2" customFormat="1" ht="13.5" thickBot="1">
      <c r="B75" s="136" t="s">
        <v>97</v>
      </c>
      <c r="C75" s="10">
        <f>C71+C73</f>
        <v>182840</v>
      </c>
      <c r="D75" s="10">
        <f t="shared" ref="D75:N75" si="131">D71+D73</f>
        <v>182840</v>
      </c>
      <c r="E75" s="10">
        <f t="shared" si="131"/>
        <v>182840</v>
      </c>
      <c r="F75" s="10">
        <f t="shared" si="131"/>
        <v>182840</v>
      </c>
      <c r="G75" s="10">
        <f t="shared" si="131"/>
        <v>182840</v>
      </c>
      <c r="H75" s="10">
        <f t="shared" si="131"/>
        <v>182840</v>
      </c>
      <c r="I75" s="10">
        <f t="shared" si="131"/>
        <v>201124.00000000003</v>
      </c>
      <c r="J75" s="10">
        <f t="shared" si="131"/>
        <v>201124.00000000003</v>
      </c>
      <c r="K75" s="10">
        <f t="shared" si="131"/>
        <v>201124.00000000003</v>
      </c>
      <c r="L75" s="10">
        <f t="shared" si="131"/>
        <v>201124.00000000003</v>
      </c>
      <c r="M75" s="10">
        <f t="shared" si="131"/>
        <v>201124.00000000003</v>
      </c>
      <c r="N75" s="10">
        <f t="shared" si="131"/>
        <v>201124.00000000003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ht="13.5" thickTop="1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>
      <c r="B77" s="190" t="s">
        <v>815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>
      <c r="A78" s="56" t="s">
        <v>426</v>
      </c>
      <c r="B78" s="192" t="s">
        <v>657</v>
      </c>
      <c r="C78" s="17">
        <v>8500</v>
      </c>
      <c r="D78" s="3">
        <f>C78</f>
        <v>8500</v>
      </c>
      <c r="E78" s="3">
        <f t="shared" ref="E78:N78" si="132">D78</f>
        <v>8500</v>
      </c>
      <c r="F78" s="3">
        <f t="shared" si="132"/>
        <v>8500</v>
      </c>
      <c r="G78" s="3">
        <f t="shared" si="132"/>
        <v>8500</v>
      </c>
      <c r="H78" s="3">
        <f t="shared" si="132"/>
        <v>8500</v>
      </c>
      <c r="I78" s="3">
        <f t="shared" si="132"/>
        <v>8500</v>
      </c>
      <c r="J78" s="3">
        <f t="shared" si="132"/>
        <v>8500</v>
      </c>
      <c r="K78" s="3">
        <f t="shared" si="132"/>
        <v>8500</v>
      </c>
      <c r="L78" s="3">
        <f t="shared" si="132"/>
        <v>8500</v>
      </c>
      <c r="M78" s="3">
        <f t="shared" si="132"/>
        <v>8500</v>
      </c>
      <c r="N78" s="3">
        <f t="shared" si="132"/>
        <v>8500</v>
      </c>
      <c r="P78" s="57" t="s">
        <v>427</v>
      </c>
      <c r="Q78" s="13">
        <v>8500</v>
      </c>
      <c r="R78" s="3">
        <f>Q78</f>
        <v>8500</v>
      </c>
      <c r="S78" s="3">
        <f t="shared" ref="S78:AB78" si="133">R78</f>
        <v>8500</v>
      </c>
      <c r="T78" s="3">
        <f t="shared" si="133"/>
        <v>8500</v>
      </c>
      <c r="U78" s="3">
        <f t="shared" si="133"/>
        <v>8500</v>
      </c>
      <c r="V78" s="3">
        <f t="shared" si="133"/>
        <v>8500</v>
      </c>
      <c r="W78" s="3">
        <f t="shared" si="133"/>
        <v>8500</v>
      </c>
      <c r="X78" s="3">
        <f t="shared" si="133"/>
        <v>8500</v>
      </c>
      <c r="Y78" s="3">
        <f t="shared" si="133"/>
        <v>8500</v>
      </c>
      <c r="Z78" s="3">
        <f t="shared" si="133"/>
        <v>8500</v>
      </c>
      <c r="AA78" s="3">
        <f t="shared" si="133"/>
        <v>8500</v>
      </c>
      <c r="AB78" s="3">
        <f t="shared" si="133"/>
        <v>8500</v>
      </c>
      <c r="AD78" s="57" t="s">
        <v>427</v>
      </c>
      <c r="AE78" s="13">
        <v>8500</v>
      </c>
      <c r="AF78" s="3">
        <f>AE78</f>
        <v>8500</v>
      </c>
      <c r="AG78" s="3">
        <f t="shared" ref="AG78:AP78" si="134">AF78</f>
        <v>8500</v>
      </c>
      <c r="AH78" s="3">
        <f t="shared" si="134"/>
        <v>8500</v>
      </c>
      <c r="AI78" s="3">
        <f t="shared" si="134"/>
        <v>8500</v>
      </c>
      <c r="AJ78" s="3">
        <f t="shared" si="134"/>
        <v>8500</v>
      </c>
      <c r="AK78" s="3">
        <f t="shared" si="134"/>
        <v>8500</v>
      </c>
      <c r="AL78" s="3">
        <f t="shared" si="134"/>
        <v>8500</v>
      </c>
      <c r="AM78" s="3">
        <f t="shared" si="134"/>
        <v>8500</v>
      </c>
      <c r="AN78" s="3">
        <f t="shared" si="134"/>
        <v>8500</v>
      </c>
      <c r="AO78" s="3">
        <f t="shared" si="134"/>
        <v>8500</v>
      </c>
      <c r="AP78" s="3">
        <f t="shared" si="134"/>
        <v>8500</v>
      </c>
    </row>
    <row r="79" spans="1:42">
      <c r="A79" s="56" t="s">
        <v>428</v>
      </c>
      <c r="B79" s="192" t="s">
        <v>814</v>
      </c>
      <c r="C79" s="17">
        <v>5200</v>
      </c>
      <c r="D79" s="3">
        <f t="shared" ref="D79:N79" si="135">C79</f>
        <v>5200</v>
      </c>
      <c r="E79" s="3">
        <f t="shared" si="135"/>
        <v>5200</v>
      </c>
      <c r="F79" s="3">
        <f t="shared" si="135"/>
        <v>5200</v>
      </c>
      <c r="G79" s="3">
        <f t="shared" si="135"/>
        <v>5200</v>
      </c>
      <c r="H79" s="3">
        <f t="shared" si="135"/>
        <v>5200</v>
      </c>
      <c r="I79" s="3">
        <f t="shared" si="135"/>
        <v>5200</v>
      </c>
      <c r="J79" s="3">
        <f t="shared" si="135"/>
        <v>5200</v>
      </c>
      <c r="K79" s="3">
        <f t="shared" si="135"/>
        <v>5200</v>
      </c>
      <c r="L79" s="3">
        <f t="shared" si="135"/>
        <v>5200</v>
      </c>
      <c r="M79" s="3">
        <f t="shared" si="135"/>
        <v>5200</v>
      </c>
      <c r="N79" s="3">
        <f t="shared" si="135"/>
        <v>5200</v>
      </c>
      <c r="P79" s="57" t="s">
        <v>429</v>
      </c>
      <c r="Q79" s="13">
        <v>5200</v>
      </c>
      <c r="R79" s="3">
        <f t="shared" ref="R79:AB79" si="136">Q79</f>
        <v>5200</v>
      </c>
      <c r="S79" s="3">
        <f t="shared" si="136"/>
        <v>5200</v>
      </c>
      <c r="T79" s="3">
        <f t="shared" si="136"/>
        <v>5200</v>
      </c>
      <c r="U79" s="3">
        <f t="shared" si="136"/>
        <v>5200</v>
      </c>
      <c r="V79" s="3">
        <f t="shared" si="136"/>
        <v>5200</v>
      </c>
      <c r="W79" s="3">
        <f t="shared" si="136"/>
        <v>5200</v>
      </c>
      <c r="X79" s="3">
        <f t="shared" si="136"/>
        <v>5200</v>
      </c>
      <c r="Y79" s="3">
        <f t="shared" si="136"/>
        <v>5200</v>
      </c>
      <c r="Z79" s="3">
        <f t="shared" si="136"/>
        <v>5200</v>
      </c>
      <c r="AA79" s="3">
        <f t="shared" si="136"/>
        <v>5200</v>
      </c>
      <c r="AB79" s="3">
        <f t="shared" si="136"/>
        <v>5200</v>
      </c>
      <c r="AD79" s="57" t="s">
        <v>429</v>
      </c>
      <c r="AE79" s="13">
        <v>5200</v>
      </c>
      <c r="AF79" s="3">
        <f t="shared" ref="AF79:AP79" si="137">AE79</f>
        <v>5200</v>
      </c>
      <c r="AG79" s="3">
        <f t="shared" si="137"/>
        <v>5200</v>
      </c>
      <c r="AH79" s="3">
        <f t="shared" si="137"/>
        <v>5200</v>
      </c>
      <c r="AI79" s="3">
        <f t="shared" si="137"/>
        <v>5200</v>
      </c>
      <c r="AJ79" s="3">
        <f t="shared" si="137"/>
        <v>5200</v>
      </c>
      <c r="AK79" s="3">
        <f t="shared" si="137"/>
        <v>5200</v>
      </c>
      <c r="AL79" s="3">
        <f t="shared" si="137"/>
        <v>5200</v>
      </c>
      <c r="AM79" s="3">
        <f t="shared" si="137"/>
        <v>5200</v>
      </c>
      <c r="AN79" s="3">
        <f t="shared" si="137"/>
        <v>5200</v>
      </c>
      <c r="AO79" s="3">
        <f t="shared" si="137"/>
        <v>5200</v>
      </c>
      <c r="AP79" s="3">
        <f t="shared" si="137"/>
        <v>5200</v>
      </c>
    </row>
    <row r="80" spans="1:42" s="71" customFormat="1" ht="13.5" thickBot="1">
      <c r="B80" s="136" t="s">
        <v>97</v>
      </c>
      <c r="C80" s="210">
        <f>SUM(C78:C79)</f>
        <v>13700</v>
      </c>
      <c r="D80" s="210">
        <f t="shared" ref="D80:N80" si="138">SUM(D78:D79)</f>
        <v>13700</v>
      </c>
      <c r="E80" s="210">
        <f t="shared" si="138"/>
        <v>13700</v>
      </c>
      <c r="F80" s="210">
        <f t="shared" si="138"/>
        <v>13700</v>
      </c>
      <c r="G80" s="210">
        <f t="shared" si="138"/>
        <v>13700</v>
      </c>
      <c r="H80" s="210">
        <f t="shared" si="138"/>
        <v>13700</v>
      </c>
      <c r="I80" s="210">
        <f t="shared" si="138"/>
        <v>13700</v>
      </c>
      <c r="J80" s="210">
        <f t="shared" si="138"/>
        <v>13700</v>
      </c>
      <c r="K80" s="210">
        <f t="shared" si="138"/>
        <v>13700</v>
      </c>
      <c r="L80" s="210">
        <f t="shared" si="138"/>
        <v>13700</v>
      </c>
      <c r="M80" s="210">
        <f t="shared" si="138"/>
        <v>13700</v>
      </c>
      <c r="N80" s="210">
        <f t="shared" si="138"/>
        <v>13700</v>
      </c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</row>
    <row r="81" spans="1:42" ht="13.5" thickTop="1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>
      <c r="A82" s="54" t="s">
        <v>430</v>
      </c>
      <c r="B82" s="190" t="s">
        <v>811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55" t="s">
        <v>431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D82" s="55" t="s">
        <v>431</v>
      </c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>
      <c r="A83" s="56" t="s">
        <v>432</v>
      </c>
      <c r="B83" s="57" t="s">
        <v>659</v>
      </c>
      <c r="C83" s="17">
        <v>5800</v>
      </c>
      <c r="D83" s="3">
        <f>C83</f>
        <v>5800</v>
      </c>
      <c r="E83" s="3">
        <f t="shared" ref="E83:N83" si="139">D83</f>
        <v>5800</v>
      </c>
      <c r="F83" s="3">
        <f t="shared" si="139"/>
        <v>5800</v>
      </c>
      <c r="G83" s="3">
        <f t="shared" si="139"/>
        <v>5800</v>
      </c>
      <c r="H83" s="3">
        <f t="shared" si="139"/>
        <v>5800</v>
      </c>
      <c r="I83" s="3">
        <f t="shared" si="139"/>
        <v>5800</v>
      </c>
      <c r="J83" s="3">
        <f t="shared" si="139"/>
        <v>5800</v>
      </c>
      <c r="K83" s="3">
        <f t="shared" si="139"/>
        <v>5800</v>
      </c>
      <c r="L83" s="3">
        <f t="shared" si="139"/>
        <v>5800</v>
      </c>
      <c r="M83" s="3">
        <f t="shared" si="139"/>
        <v>5800</v>
      </c>
      <c r="N83" s="3">
        <f t="shared" si="139"/>
        <v>5800</v>
      </c>
      <c r="P83" s="65" t="s">
        <v>433</v>
      </c>
      <c r="Q83" s="13">
        <v>5800</v>
      </c>
      <c r="R83" s="3">
        <f>Q83</f>
        <v>5800</v>
      </c>
      <c r="S83" s="3">
        <f t="shared" ref="S83:AB83" si="140">R83</f>
        <v>5800</v>
      </c>
      <c r="T83" s="3">
        <f t="shared" si="140"/>
        <v>5800</v>
      </c>
      <c r="U83" s="3">
        <f t="shared" si="140"/>
        <v>5800</v>
      </c>
      <c r="V83" s="3">
        <f t="shared" si="140"/>
        <v>5800</v>
      </c>
      <c r="W83" s="3">
        <f t="shared" si="140"/>
        <v>5800</v>
      </c>
      <c r="X83" s="3">
        <f t="shared" si="140"/>
        <v>5800</v>
      </c>
      <c r="Y83" s="3">
        <f t="shared" si="140"/>
        <v>5800</v>
      </c>
      <c r="Z83" s="3">
        <f t="shared" si="140"/>
        <v>5800</v>
      </c>
      <c r="AA83" s="3">
        <f t="shared" si="140"/>
        <v>5800</v>
      </c>
      <c r="AB83" s="3">
        <f t="shared" si="140"/>
        <v>5800</v>
      </c>
      <c r="AD83" s="65" t="s">
        <v>433</v>
      </c>
      <c r="AE83" s="13">
        <v>5800</v>
      </c>
      <c r="AF83" s="3">
        <f>AE83</f>
        <v>5800</v>
      </c>
      <c r="AG83" s="3">
        <f t="shared" ref="AG83:AP83" si="141">AF83</f>
        <v>5800</v>
      </c>
      <c r="AH83" s="3">
        <f t="shared" si="141"/>
        <v>5800</v>
      </c>
      <c r="AI83" s="3">
        <f t="shared" si="141"/>
        <v>5800</v>
      </c>
      <c r="AJ83" s="3">
        <f t="shared" si="141"/>
        <v>5800</v>
      </c>
      <c r="AK83" s="3">
        <f t="shared" si="141"/>
        <v>5800</v>
      </c>
      <c r="AL83" s="3">
        <f t="shared" si="141"/>
        <v>5800</v>
      </c>
      <c r="AM83" s="3">
        <f t="shared" si="141"/>
        <v>5800</v>
      </c>
      <c r="AN83" s="3">
        <f t="shared" si="141"/>
        <v>5800</v>
      </c>
      <c r="AO83" s="3">
        <f t="shared" si="141"/>
        <v>5800</v>
      </c>
      <c r="AP83" s="3">
        <f t="shared" si="141"/>
        <v>5800</v>
      </c>
    </row>
    <row r="84" spans="1:42">
      <c r="A84" s="56" t="s">
        <v>434</v>
      </c>
      <c r="B84" s="57" t="s">
        <v>819</v>
      </c>
      <c r="C84" s="17">
        <v>2100</v>
      </c>
      <c r="D84" s="3">
        <f t="shared" ref="D84:N84" si="142">C84</f>
        <v>2100</v>
      </c>
      <c r="E84" s="3">
        <f t="shared" si="142"/>
        <v>2100</v>
      </c>
      <c r="F84" s="3">
        <f t="shared" si="142"/>
        <v>2100</v>
      </c>
      <c r="G84" s="3">
        <f t="shared" si="142"/>
        <v>2100</v>
      </c>
      <c r="H84" s="3">
        <f t="shared" si="142"/>
        <v>2100</v>
      </c>
      <c r="I84" s="3">
        <f t="shared" si="142"/>
        <v>2100</v>
      </c>
      <c r="J84" s="3">
        <f t="shared" si="142"/>
        <v>2100</v>
      </c>
      <c r="K84" s="3">
        <f t="shared" si="142"/>
        <v>2100</v>
      </c>
      <c r="L84" s="3">
        <f t="shared" si="142"/>
        <v>2100</v>
      </c>
      <c r="M84" s="3">
        <f t="shared" si="142"/>
        <v>2100</v>
      </c>
      <c r="N84" s="3">
        <f t="shared" si="142"/>
        <v>2100</v>
      </c>
      <c r="P84" s="65" t="s">
        <v>435</v>
      </c>
      <c r="Q84" s="13">
        <v>2100</v>
      </c>
      <c r="R84" s="3">
        <f t="shared" ref="R84:AB84" si="143">Q84</f>
        <v>2100</v>
      </c>
      <c r="S84" s="3">
        <f t="shared" si="143"/>
        <v>2100</v>
      </c>
      <c r="T84" s="3">
        <f t="shared" si="143"/>
        <v>2100</v>
      </c>
      <c r="U84" s="3">
        <f t="shared" si="143"/>
        <v>2100</v>
      </c>
      <c r="V84" s="3">
        <f t="shared" si="143"/>
        <v>2100</v>
      </c>
      <c r="W84" s="3">
        <f t="shared" si="143"/>
        <v>2100</v>
      </c>
      <c r="X84" s="3">
        <f t="shared" si="143"/>
        <v>2100</v>
      </c>
      <c r="Y84" s="3">
        <f t="shared" si="143"/>
        <v>2100</v>
      </c>
      <c r="Z84" s="3">
        <f t="shared" si="143"/>
        <v>2100</v>
      </c>
      <c r="AA84" s="3">
        <f t="shared" si="143"/>
        <v>2100</v>
      </c>
      <c r="AB84" s="3">
        <f t="shared" si="143"/>
        <v>2100</v>
      </c>
      <c r="AD84" s="65" t="s">
        <v>435</v>
      </c>
      <c r="AE84" s="13">
        <v>2100</v>
      </c>
      <c r="AF84" s="3">
        <f t="shared" ref="AF84:AP84" si="144">AE84</f>
        <v>2100</v>
      </c>
      <c r="AG84" s="3">
        <f t="shared" si="144"/>
        <v>2100</v>
      </c>
      <c r="AH84" s="3">
        <f t="shared" si="144"/>
        <v>2100</v>
      </c>
      <c r="AI84" s="3">
        <f t="shared" si="144"/>
        <v>2100</v>
      </c>
      <c r="AJ84" s="3">
        <f t="shared" si="144"/>
        <v>2100</v>
      </c>
      <c r="AK84" s="3">
        <f t="shared" si="144"/>
        <v>2100</v>
      </c>
      <c r="AL84" s="3">
        <f t="shared" si="144"/>
        <v>2100</v>
      </c>
      <c r="AM84" s="3">
        <f t="shared" si="144"/>
        <v>2100</v>
      </c>
      <c r="AN84" s="3">
        <f t="shared" si="144"/>
        <v>2100</v>
      </c>
      <c r="AO84" s="3">
        <f t="shared" si="144"/>
        <v>2100</v>
      </c>
      <c r="AP84" s="3">
        <f t="shared" si="144"/>
        <v>2100</v>
      </c>
    </row>
    <row r="85" spans="1:42" s="71" customFormat="1" ht="13.5" thickBot="1">
      <c r="A85" s="54"/>
      <c r="B85" s="136" t="s">
        <v>97</v>
      </c>
      <c r="C85" s="211">
        <f>SUM(C83:C84)</f>
        <v>7900</v>
      </c>
      <c r="D85" s="211">
        <f t="shared" ref="D85:N85" si="145">SUM(D83:D84)</f>
        <v>7900</v>
      </c>
      <c r="E85" s="211">
        <f t="shared" si="145"/>
        <v>7900</v>
      </c>
      <c r="F85" s="211">
        <f t="shared" si="145"/>
        <v>7900</v>
      </c>
      <c r="G85" s="211">
        <f t="shared" si="145"/>
        <v>7900</v>
      </c>
      <c r="H85" s="211">
        <f t="shared" si="145"/>
        <v>7900</v>
      </c>
      <c r="I85" s="211">
        <f t="shared" si="145"/>
        <v>7900</v>
      </c>
      <c r="J85" s="211">
        <f t="shared" si="145"/>
        <v>7900</v>
      </c>
      <c r="K85" s="211">
        <f t="shared" si="145"/>
        <v>7900</v>
      </c>
      <c r="L85" s="211">
        <f t="shared" si="145"/>
        <v>7900</v>
      </c>
      <c r="M85" s="211">
        <f t="shared" si="145"/>
        <v>7900</v>
      </c>
      <c r="N85" s="211">
        <f t="shared" si="145"/>
        <v>7900</v>
      </c>
      <c r="P85" s="212"/>
      <c r="Q85" s="213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D85" s="212"/>
      <c r="AE85" s="213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</row>
    <row r="86" spans="1:42" ht="13.5" thickTop="1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>
      <c r="B87" s="133" t="s">
        <v>821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s="71" customFormat="1" ht="13.5" thickBot="1">
      <c r="A88" s="54" t="s">
        <v>440</v>
      </c>
      <c r="B88" s="309" t="s">
        <v>820</v>
      </c>
      <c r="C88" s="210">
        <v>9000</v>
      </c>
      <c r="D88" s="210">
        <f>C88</f>
        <v>9000</v>
      </c>
      <c r="E88" s="210">
        <f t="shared" ref="E88:N88" si="146">D88</f>
        <v>9000</v>
      </c>
      <c r="F88" s="210">
        <f t="shared" si="146"/>
        <v>9000</v>
      </c>
      <c r="G88" s="210">
        <f t="shared" si="146"/>
        <v>9000</v>
      </c>
      <c r="H88" s="210">
        <f t="shared" si="146"/>
        <v>9000</v>
      </c>
      <c r="I88" s="210">
        <f t="shared" si="146"/>
        <v>9000</v>
      </c>
      <c r="J88" s="210">
        <f t="shared" si="146"/>
        <v>9000</v>
      </c>
      <c r="K88" s="210">
        <f t="shared" si="146"/>
        <v>9000</v>
      </c>
      <c r="L88" s="210">
        <f t="shared" si="146"/>
        <v>9000</v>
      </c>
      <c r="M88" s="210">
        <f t="shared" si="146"/>
        <v>9000</v>
      </c>
      <c r="N88" s="210">
        <f t="shared" si="146"/>
        <v>9000</v>
      </c>
      <c r="P88" s="55" t="s">
        <v>439</v>
      </c>
      <c r="Q88" s="188">
        <v>9000</v>
      </c>
      <c r="R88" s="188">
        <f>Q88</f>
        <v>9000</v>
      </c>
      <c r="S88" s="188">
        <f t="shared" ref="S88:AB88" si="147">R88</f>
        <v>9000</v>
      </c>
      <c r="T88" s="188">
        <f t="shared" si="147"/>
        <v>9000</v>
      </c>
      <c r="U88" s="188">
        <f t="shared" si="147"/>
        <v>9000</v>
      </c>
      <c r="V88" s="188">
        <f t="shared" si="147"/>
        <v>9000</v>
      </c>
      <c r="W88" s="188">
        <f t="shared" si="147"/>
        <v>9000</v>
      </c>
      <c r="X88" s="188">
        <f t="shared" si="147"/>
        <v>9000</v>
      </c>
      <c r="Y88" s="188">
        <f t="shared" si="147"/>
        <v>9000</v>
      </c>
      <c r="Z88" s="188">
        <f t="shared" si="147"/>
        <v>9000</v>
      </c>
      <c r="AA88" s="188">
        <f t="shared" si="147"/>
        <v>9000</v>
      </c>
      <c r="AB88" s="188">
        <f t="shared" si="147"/>
        <v>9000</v>
      </c>
      <c r="AD88" s="55" t="s">
        <v>439</v>
      </c>
      <c r="AE88" s="188">
        <v>9000</v>
      </c>
      <c r="AF88" s="188">
        <f>AE88</f>
        <v>9000</v>
      </c>
      <c r="AG88" s="188">
        <f t="shared" ref="AG88:AP88" si="148">AF88</f>
        <v>9000</v>
      </c>
      <c r="AH88" s="188">
        <f t="shared" si="148"/>
        <v>9000</v>
      </c>
      <c r="AI88" s="188">
        <f t="shared" si="148"/>
        <v>9000</v>
      </c>
      <c r="AJ88" s="188">
        <f t="shared" si="148"/>
        <v>9000</v>
      </c>
      <c r="AK88" s="188">
        <f t="shared" si="148"/>
        <v>9000</v>
      </c>
      <c r="AL88" s="188">
        <f t="shared" si="148"/>
        <v>9000</v>
      </c>
      <c r="AM88" s="188">
        <f t="shared" si="148"/>
        <v>9000</v>
      </c>
      <c r="AN88" s="188">
        <f t="shared" si="148"/>
        <v>9000</v>
      </c>
      <c r="AO88" s="188">
        <f t="shared" si="148"/>
        <v>9000</v>
      </c>
      <c r="AP88" s="188">
        <f t="shared" si="148"/>
        <v>9000</v>
      </c>
    </row>
    <row r="89" spans="1:42" ht="13.5" thickTop="1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4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4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4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4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  <rowBreaks count="1" manualBreakCount="1">
    <brk id="62" max="14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31"/>
  <sheetViews>
    <sheetView view="pageBreakPreview" topLeftCell="B6" zoomScale="75" zoomScaleNormal="100" workbookViewId="0">
      <selection activeCell="B27" sqref="B27"/>
    </sheetView>
  </sheetViews>
  <sheetFormatPr defaultColWidth="8.85546875" defaultRowHeight="12.75"/>
  <cols>
    <col min="1" max="1" width="8.85546875" style="9"/>
    <col min="2" max="2" width="39.85546875" style="9" customWidth="1"/>
    <col min="3" max="3" width="11.28515625" style="9" customWidth="1"/>
    <col min="4" max="4" width="10.28515625" style="9" bestFit="1" customWidth="1"/>
    <col min="5" max="6" width="9.42578125" style="9" bestFit="1" customWidth="1"/>
    <col min="7" max="7" width="13" style="9" customWidth="1"/>
    <col min="8" max="8" width="15.28515625" style="9" customWidth="1"/>
    <col min="9" max="16384" width="8.85546875" style="9"/>
  </cols>
  <sheetData>
    <row r="1" spans="1:9">
      <c r="A1" s="68" t="s">
        <v>502</v>
      </c>
    </row>
    <row r="2" spans="1:9" ht="20.25">
      <c r="A2" s="220" t="s">
        <v>39</v>
      </c>
    </row>
    <row r="3" spans="1:9" ht="20.25">
      <c r="A3" s="220"/>
    </row>
    <row r="4" spans="1:9" ht="22.9" customHeight="1" thickBot="1"/>
    <row r="5" spans="1:9" s="77" customFormat="1">
      <c r="A5" s="427" t="s">
        <v>1242</v>
      </c>
      <c r="B5" s="429" t="s">
        <v>1243</v>
      </c>
      <c r="C5" s="431" t="s">
        <v>1244</v>
      </c>
      <c r="D5" s="432"/>
      <c r="E5" s="423" t="s">
        <v>1245</v>
      </c>
      <c r="F5" s="435"/>
      <c r="G5" s="423" t="s">
        <v>1246</v>
      </c>
      <c r="H5" s="424"/>
      <c r="I5" s="425" t="s">
        <v>1247</v>
      </c>
    </row>
    <row r="6" spans="1:9" s="77" customFormat="1" ht="13.5" thickBot="1">
      <c r="A6" s="428"/>
      <c r="B6" s="430"/>
      <c r="C6" s="433"/>
      <c r="D6" s="434"/>
      <c r="E6" s="341" t="s">
        <v>212</v>
      </c>
      <c r="F6" s="342" t="s">
        <v>129</v>
      </c>
      <c r="G6" s="341" t="s">
        <v>212</v>
      </c>
      <c r="H6" s="343" t="s">
        <v>129</v>
      </c>
      <c r="I6" s="426"/>
    </row>
    <row r="7" spans="1:9" s="77" customFormat="1">
      <c r="A7" s="344" t="s">
        <v>160</v>
      </c>
      <c r="B7" s="345" t="s">
        <v>1248</v>
      </c>
      <c r="C7" s="346"/>
      <c r="D7" s="347"/>
      <c r="E7" s="348"/>
      <c r="F7" s="349"/>
      <c r="G7" s="350">
        <f>SUM(G8:G8)</f>
        <v>17920</v>
      </c>
      <c r="H7" s="351">
        <f>SUM(H8:H8)</f>
        <v>16000</v>
      </c>
      <c r="I7" s="352"/>
    </row>
    <row r="8" spans="1:9" s="77" customFormat="1">
      <c r="A8" s="353" t="s">
        <v>1249</v>
      </c>
      <c r="B8" s="354" t="s">
        <v>1250</v>
      </c>
      <c r="C8" s="355">
        <v>1</v>
      </c>
      <c r="D8" s="356" t="s">
        <v>1251</v>
      </c>
      <c r="E8" s="357"/>
      <c r="F8" s="358">
        <v>16000</v>
      </c>
      <c r="G8" s="357">
        <f>H8/$G$24</f>
        <v>17920</v>
      </c>
      <c r="H8" s="359">
        <f>C8*F8</f>
        <v>16000</v>
      </c>
      <c r="I8" s="360" t="s">
        <v>1252</v>
      </c>
    </row>
    <row r="9" spans="1:9" s="77" customFormat="1">
      <c r="A9" s="344" t="s">
        <v>1253</v>
      </c>
      <c r="B9" s="345" t="s">
        <v>1254</v>
      </c>
      <c r="C9" s="361"/>
      <c r="D9" s="362"/>
      <c r="E9" s="357"/>
      <c r="F9" s="358"/>
      <c r="G9" s="363">
        <f>SUM(G10:G11)</f>
        <v>28560</v>
      </c>
      <c r="H9" s="364">
        <f>SUM(H10:H11)</f>
        <v>25500</v>
      </c>
      <c r="I9" s="360"/>
    </row>
    <row r="10" spans="1:9" s="77" customFormat="1">
      <c r="A10" s="365" t="s">
        <v>1249</v>
      </c>
      <c r="B10" s="366" t="s">
        <v>1255</v>
      </c>
      <c r="C10" s="367">
        <v>1</v>
      </c>
      <c r="D10" s="362" t="s">
        <v>1251</v>
      </c>
      <c r="E10" s="357"/>
      <c r="F10" s="358">
        <v>20500</v>
      </c>
      <c r="G10" s="357">
        <f>H10/$G$24</f>
        <v>22960</v>
      </c>
      <c r="H10" s="359">
        <f>F10</f>
        <v>20500</v>
      </c>
      <c r="I10" s="360" t="s">
        <v>1256</v>
      </c>
    </row>
    <row r="11" spans="1:9" s="77" customFormat="1">
      <c r="A11" s="365" t="s">
        <v>1257</v>
      </c>
      <c r="B11" s="366" t="s">
        <v>1258</v>
      </c>
      <c r="C11" s="367">
        <v>1</v>
      </c>
      <c r="D11" s="362" t="s">
        <v>1251</v>
      </c>
      <c r="E11" s="357"/>
      <c r="F11" s="358">
        <v>5000</v>
      </c>
      <c r="G11" s="357">
        <f>H11/$G$24</f>
        <v>5600</v>
      </c>
      <c r="H11" s="359">
        <f>F11</f>
        <v>5000</v>
      </c>
      <c r="I11" s="360" t="s">
        <v>1256</v>
      </c>
    </row>
    <row r="12" spans="1:9" s="77" customFormat="1">
      <c r="A12" s="344" t="s">
        <v>1259</v>
      </c>
      <c r="B12" s="345" t="s">
        <v>1260</v>
      </c>
      <c r="C12" s="368"/>
      <c r="D12" s="369"/>
      <c r="E12" s="357"/>
      <c r="F12" s="358"/>
      <c r="G12" s="363">
        <f>SUM(G13,G14)</f>
        <v>55000</v>
      </c>
      <c r="H12" s="364">
        <f>SUM(H13,H14)</f>
        <v>49107.142857142855</v>
      </c>
      <c r="I12" s="360"/>
    </row>
    <row r="13" spans="1:9" s="77" customFormat="1">
      <c r="A13" s="370" t="s">
        <v>1249</v>
      </c>
      <c r="B13" s="371" t="s">
        <v>1261</v>
      </c>
      <c r="C13" s="367">
        <v>1</v>
      </c>
      <c r="D13" s="362" t="s">
        <v>1251</v>
      </c>
      <c r="E13" s="357">
        <v>5000</v>
      </c>
      <c r="F13" s="358"/>
      <c r="G13" s="357">
        <f>E13*C13</f>
        <v>5000</v>
      </c>
      <c r="H13" s="359">
        <f>G13*$G$24</f>
        <v>4464.2857142857138</v>
      </c>
      <c r="I13" s="360" t="s">
        <v>1256</v>
      </c>
    </row>
    <row r="14" spans="1:9" s="77" customFormat="1">
      <c r="A14" s="370" t="s">
        <v>1257</v>
      </c>
      <c r="B14" s="371" t="s">
        <v>1262</v>
      </c>
      <c r="C14" s="367">
        <v>1</v>
      </c>
      <c r="D14" s="362" t="s">
        <v>1251</v>
      </c>
      <c r="E14" s="357">
        <v>50000</v>
      </c>
      <c r="F14" s="358"/>
      <c r="G14" s="357">
        <f>E14*C14</f>
        <v>50000</v>
      </c>
      <c r="H14" s="359">
        <f>G14*$G$24</f>
        <v>44642.857142857138</v>
      </c>
      <c r="I14" s="360" t="s">
        <v>1252</v>
      </c>
    </row>
    <row r="15" spans="1:9" s="77" customFormat="1">
      <c r="A15" s="372" t="s">
        <v>1263</v>
      </c>
      <c r="B15" s="373" t="s">
        <v>1264</v>
      </c>
      <c r="C15" s="368"/>
      <c r="D15" s="369"/>
      <c r="E15" s="357"/>
      <c r="F15" s="358"/>
      <c r="G15" s="363">
        <f>SUM(G16:G18)</f>
        <v>153156.64000000001</v>
      </c>
      <c r="H15" s="364">
        <f>SUM(H16:H18)</f>
        <v>136747</v>
      </c>
      <c r="I15" s="360"/>
    </row>
    <row r="16" spans="1:9" s="77" customFormat="1">
      <c r="A16" s="370" t="s">
        <v>1249</v>
      </c>
      <c r="B16" s="374" t="s">
        <v>1265</v>
      </c>
      <c r="C16" s="367">
        <v>5</v>
      </c>
      <c r="D16" s="362" t="s">
        <v>1266</v>
      </c>
      <c r="E16" s="375"/>
      <c r="F16" s="376"/>
      <c r="G16" s="357">
        <f>H16/$G$24</f>
        <v>42095.200000000004</v>
      </c>
      <c r="H16" s="377">
        <v>37585</v>
      </c>
      <c r="I16" s="360" t="s">
        <v>1267</v>
      </c>
    </row>
    <row r="17" spans="1:13" s="77" customFormat="1">
      <c r="A17" s="370" t="s">
        <v>1257</v>
      </c>
      <c r="B17" s="374" t="s">
        <v>1268</v>
      </c>
      <c r="C17" s="367">
        <v>8</v>
      </c>
      <c r="D17" s="362" t="s">
        <v>1266</v>
      </c>
      <c r="E17" s="375"/>
      <c r="F17" s="376"/>
      <c r="G17" s="357">
        <f>H17/$G$24</f>
        <v>99861.440000000002</v>
      </c>
      <c r="H17" s="377">
        <v>89162</v>
      </c>
      <c r="I17" s="360" t="s">
        <v>1267</v>
      </c>
    </row>
    <row r="18" spans="1:13" s="77" customFormat="1">
      <c r="A18" s="370" t="s">
        <v>1269</v>
      </c>
      <c r="B18" s="374" t="s">
        <v>1270</v>
      </c>
      <c r="C18" s="355"/>
      <c r="D18" s="356"/>
      <c r="E18" s="375"/>
      <c r="F18" s="376"/>
      <c r="G18" s="357">
        <f>H18/$G$24</f>
        <v>11200</v>
      </c>
      <c r="H18" s="359">
        <v>10000</v>
      </c>
      <c r="I18" s="360" t="s">
        <v>1267</v>
      </c>
    </row>
    <row r="19" spans="1:13" s="77" customFormat="1">
      <c r="A19" s="378" t="s">
        <v>163</v>
      </c>
      <c r="B19" s="379" t="s">
        <v>1271</v>
      </c>
      <c r="C19" s="367"/>
      <c r="D19" s="362"/>
      <c r="E19" s="357"/>
      <c r="F19" s="358"/>
      <c r="G19" s="380">
        <f>SUM(G20:G20)</f>
        <v>5600</v>
      </c>
      <c r="H19" s="381">
        <f>SUM(H20:H20)</f>
        <v>5000</v>
      </c>
      <c r="I19" s="382"/>
    </row>
    <row r="20" spans="1:13" s="77" customFormat="1" ht="13.5" thickBot="1">
      <c r="A20" s="370" t="s">
        <v>1249</v>
      </c>
      <c r="B20" s="374" t="s">
        <v>1272</v>
      </c>
      <c r="C20" s="355">
        <v>1</v>
      </c>
      <c r="D20" s="356" t="s">
        <v>1273</v>
      </c>
      <c r="E20" s="375"/>
      <c r="F20" s="376">
        <v>5000</v>
      </c>
      <c r="G20" s="375">
        <f>H20/$G$24</f>
        <v>5600</v>
      </c>
      <c r="H20" s="377">
        <f>C20*F20</f>
        <v>5000</v>
      </c>
      <c r="I20" s="383" t="s">
        <v>1256</v>
      </c>
    </row>
    <row r="21" spans="1:13" s="77" customFormat="1" ht="13.5" thickBot="1">
      <c r="A21" s="384"/>
      <c r="B21" s="385" t="s">
        <v>755</v>
      </c>
      <c r="C21" s="385"/>
      <c r="D21" s="385"/>
      <c r="E21" s="385"/>
      <c r="F21" s="385"/>
      <c r="G21" s="386">
        <f>G7+G9+G12+G15+G19</f>
        <v>260236.64</v>
      </c>
      <c r="H21" s="386">
        <f>H7+H9+H12+H15+H19</f>
        <v>232354.14285714284</v>
      </c>
      <c r="I21" s="387"/>
    </row>
    <row r="22" spans="1:13" s="77" customFormat="1"/>
    <row r="23" spans="1:13" s="77" customFormat="1" hidden="1">
      <c r="F23" s="388" t="s">
        <v>1277</v>
      </c>
      <c r="G23" s="389">
        <v>4.2</v>
      </c>
      <c r="H23" s="77" t="s">
        <v>1274</v>
      </c>
    </row>
    <row r="24" spans="1:13" s="77" customFormat="1" hidden="1">
      <c r="G24" s="389">
        <f>3.75/G23</f>
        <v>0.89285714285714279</v>
      </c>
      <c r="H24" s="77" t="s">
        <v>1275</v>
      </c>
    </row>
    <row r="25" spans="1:13" s="77" customFormat="1" hidden="1">
      <c r="G25" s="389">
        <f>5.9/G23</f>
        <v>1.4047619047619049</v>
      </c>
      <c r="H25" s="77" t="s">
        <v>1276</v>
      </c>
    </row>
    <row r="29" spans="1:13">
      <c r="B29" s="87" t="s">
        <v>50</v>
      </c>
      <c r="C29" s="87" t="s">
        <v>51</v>
      </c>
      <c r="D29" s="87" t="s">
        <v>52</v>
      </c>
      <c r="E29" s="87" t="s">
        <v>53</v>
      </c>
      <c r="F29" s="87" t="s">
        <v>54</v>
      </c>
      <c r="G29" s="87" t="s">
        <v>55</v>
      </c>
      <c r="H29" s="87" t="s">
        <v>56</v>
      </c>
      <c r="I29" s="87" t="s">
        <v>57</v>
      </c>
      <c r="J29" s="87" t="s">
        <v>58</v>
      </c>
      <c r="K29" s="87" t="s">
        <v>59</v>
      </c>
      <c r="L29" s="87" t="s">
        <v>60</v>
      </c>
      <c r="M29" s="87" t="s">
        <v>61</v>
      </c>
    </row>
    <row r="30" spans="1:13" s="88" customFormat="1" ht="13.5" thickBot="1">
      <c r="A30" s="390" t="s">
        <v>755</v>
      </c>
      <c r="B30" s="390">
        <f>H16+H17+H18</f>
        <v>136747</v>
      </c>
      <c r="C30" s="390">
        <v>0</v>
      </c>
      <c r="D30" s="390">
        <f>H10+H11+H20+H13</f>
        <v>34964.28571428571</v>
      </c>
      <c r="E30" s="390">
        <v>0</v>
      </c>
      <c r="F30" s="390">
        <v>0</v>
      </c>
      <c r="G30" s="390">
        <f>H8+H14</f>
        <v>60642.857142857138</v>
      </c>
      <c r="H30" s="390">
        <v>0</v>
      </c>
      <c r="I30" s="390">
        <v>0</v>
      </c>
      <c r="J30" s="390">
        <v>0</v>
      </c>
      <c r="K30" s="390">
        <v>0</v>
      </c>
      <c r="L30" s="390">
        <v>0</v>
      </c>
      <c r="M30" s="390">
        <v>0</v>
      </c>
    </row>
    <row r="31" spans="1:13" ht="13.5" thickTop="1"/>
  </sheetData>
  <mergeCells count="6">
    <mergeCell ref="G5:H5"/>
    <mergeCell ref="I5:I6"/>
    <mergeCell ref="A5:A6"/>
    <mergeCell ref="B5:B6"/>
    <mergeCell ref="C5:D6"/>
    <mergeCell ref="E5:F5"/>
  </mergeCells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"/>
  <sheetViews>
    <sheetView view="pageBreakPreview" zoomScale="75" zoomScaleNormal="100" workbookViewId="0">
      <selection activeCell="I22" sqref="I22"/>
    </sheetView>
  </sheetViews>
  <sheetFormatPr defaultRowHeight="12.75"/>
  <cols>
    <col min="1" max="1" width="9.28515625" customWidth="1"/>
    <col min="2" max="2" width="10.28515625" customWidth="1"/>
    <col min="15" max="15" width="24.7109375" customWidth="1"/>
  </cols>
  <sheetData>
    <row r="1" spans="2:42">
      <c r="B1" s="2" t="s">
        <v>502</v>
      </c>
    </row>
    <row r="2" spans="2:42" ht="20.25">
      <c r="B2" s="111" t="s">
        <v>38</v>
      </c>
    </row>
    <row r="4" spans="2:42" ht="51.6" customHeight="1"/>
    <row r="5" spans="2:42"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  <c r="K5" s="1" t="s">
        <v>58</v>
      </c>
      <c r="L5" s="1" t="s">
        <v>59</v>
      </c>
      <c r="M5" s="1" t="s">
        <v>60</v>
      </c>
      <c r="N5" s="1" t="s">
        <v>61</v>
      </c>
    </row>
    <row r="6" spans="2:42" ht="13.5" thickBot="1">
      <c r="B6" s="55" t="s">
        <v>671</v>
      </c>
      <c r="C6" s="217">
        <v>4500</v>
      </c>
      <c r="D6" s="19">
        <f t="shared" ref="D6:N6" si="0">C6</f>
        <v>4500</v>
      </c>
      <c r="E6" s="19">
        <f t="shared" si="0"/>
        <v>4500</v>
      </c>
      <c r="F6" s="19">
        <f t="shared" si="0"/>
        <v>4500</v>
      </c>
      <c r="G6" s="19">
        <f t="shared" si="0"/>
        <v>4500</v>
      </c>
      <c r="H6" s="19">
        <f t="shared" si="0"/>
        <v>4500</v>
      </c>
      <c r="I6" s="19">
        <f t="shared" si="0"/>
        <v>4500</v>
      </c>
      <c r="J6" s="19">
        <f t="shared" si="0"/>
        <v>4500</v>
      </c>
      <c r="K6" s="19">
        <f t="shared" si="0"/>
        <v>4500</v>
      </c>
      <c r="L6" s="19">
        <f t="shared" si="0"/>
        <v>4500</v>
      </c>
      <c r="M6" s="19">
        <f t="shared" si="0"/>
        <v>4500</v>
      </c>
      <c r="N6" s="19">
        <f t="shared" si="0"/>
        <v>4500</v>
      </c>
      <c r="P6" s="57" t="s">
        <v>480</v>
      </c>
      <c r="Q6" s="13">
        <v>4500</v>
      </c>
      <c r="R6" s="3">
        <f t="shared" ref="R6:AB6" si="1">Q6</f>
        <v>4500</v>
      </c>
      <c r="S6" s="3">
        <f t="shared" si="1"/>
        <v>4500</v>
      </c>
      <c r="T6" s="3">
        <f t="shared" si="1"/>
        <v>4500</v>
      </c>
      <c r="U6" s="3">
        <f t="shared" si="1"/>
        <v>4500</v>
      </c>
      <c r="V6" s="3">
        <f t="shared" si="1"/>
        <v>4500</v>
      </c>
      <c r="W6" s="3">
        <f t="shared" si="1"/>
        <v>4500</v>
      </c>
      <c r="X6" s="3">
        <f t="shared" si="1"/>
        <v>4500</v>
      </c>
      <c r="Y6" s="3">
        <f t="shared" si="1"/>
        <v>4500</v>
      </c>
      <c r="Z6" s="3">
        <f t="shared" si="1"/>
        <v>4500</v>
      </c>
      <c r="AA6" s="3">
        <f t="shared" si="1"/>
        <v>4500</v>
      </c>
      <c r="AB6" s="3">
        <f t="shared" si="1"/>
        <v>4500</v>
      </c>
      <c r="AD6" s="57" t="s">
        <v>480</v>
      </c>
      <c r="AE6" s="13">
        <v>4500</v>
      </c>
      <c r="AF6" s="3">
        <f t="shared" ref="AF6:AP6" si="2">AE6</f>
        <v>4500</v>
      </c>
      <c r="AG6" s="3">
        <f t="shared" si="2"/>
        <v>4500</v>
      </c>
      <c r="AH6" s="3">
        <f t="shared" si="2"/>
        <v>4500</v>
      </c>
      <c r="AI6" s="3">
        <f t="shared" si="2"/>
        <v>4500</v>
      </c>
      <c r="AJ6" s="3">
        <f t="shared" si="2"/>
        <v>4500</v>
      </c>
      <c r="AK6" s="3">
        <f t="shared" si="2"/>
        <v>4500</v>
      </c>
      <c r="AL6" s="3">
        <f t="shared" si="2"/>
        <v>4500</v>
      </c>
      <c r="AM6" s="3">
        <f t="shared" si="2"/>
        <v>4500</v>
      </c>
      <c r="AN6" s="3">
        <f t="shared" si="2"/>
        <v>4500</v>
      </c>
      <c r="AO6" s="3">
        <f t="shared" si="2"/>
        <v>4500</v>
      </c>
      <c r="AP6" s="3">
        <f t="shared" si="2"/>
        <v>4500</v>
      </c>
    </row>
    <row r="7" spans="2:42" ht="13.5" thickTop="1"/>
  </sheetData>
  <pageMargins left="0.59055118110236227" right="0.39370078740157483" top="0.39370078740157483" bottom="0.39370078740157483" header="0.51181102362204722" footer="0.51181102362204722"/>
  <pageSetup paperSize="9" scale="75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S655"/>
  <sheetViews>
    <sheetView tabSelected="1" view="pageBreakPreview" topLeftCell="G32" zoomScale="75" zoomScaleNormal="75" workbookViewId="0">
      <selection activeCell="P50" sqref="P50"/>
    </sheetView>
  </sheetViews>
  <sheetFormatPr defaultRowHeight="12.75"/>
  <cols>
    <col min="1" max="1" width="8.42578125" hidden="1" customWidth="1"/>
    <col min="2" max="2" width="37.5703125" style="314" customWidth="1"/>
    <col min="3" max="3" width="11.7109375" customWidth="1"/>
    <col min="4" max="5" width="11.5703125" customWidth="1"/>
    <col min="6" max="6" width="12.28515625" customWidth="1"/>
    <col min="7" max="7" width="12.85546875" customWidth="1"/>
    <col min="8" max="9" width="12.7109375" customWidth="1"/>
    <col min="10" max="14" width="12.5703125" customWidth="1"/>
    <col min="15" max="15" width="13.85546875" customWidth="1"/>
    <col min="16" max="16" width="44.7109375" customWidth="1"/>
    <col min="17" max="17" width="2.85546875" customWidth="1"/>
    <col min="18" max="18" width="14.5703125" customWidth="1"/>
    <col min="19" max="29" width="11.5703125" bestFit="1" customWidth="1"/>
    <col min="30" max="30" width="12.7109375" bestFit="1" customWidth="1"/>
    <col min="32" max="32" width="3.42578125" customWidth="1"/>
    <col min="33" max="33" width="11.5703125" customWidth="1"/>
    <col min="34" max="44" width="11.5703125" bestFit="1" customWidth="1"/>
    <col min="45" max="45" width="12.7109375" bestFit="1" customWidth="1"/>
  </cols>
  <sheetData>
    <row r="1" spans="1:45" ht="17.45" customHeight="1">
      <c r="B1" s="133" t="s">
        <v>502</v>
      </c>
    </row>
    <row r="2" spans="1:45" ht="19.149999999999999" customHeight="1">
      <c r="B2" s="259" t="s">
        <v>37</v>
      </c>
    </row>
    <row r="4" spans="1:45" ht="18">
      <c r="B4" s="301" t="str">
        <f>'P&amp;L$'!B5</f>
        <v>SALES</v>
      </c>
      <c r="R4" s="42" t="s">
        <v>605</v>
      </c>
      <c r="AG4" s="42" t="s">
        <v>611</v>
      </c>
    </row>
    <row r="5" spans="1:45"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  <c r="K5" s="1" t="s">
        <v>58</v>
      </c>
      <c r="L5" s="1" t="s">
        <v>59</v>
      </c>
      <c r="M5" s="1" t="s">
        <v>60</v>
      </c>
      <c r="N5" s="1" t="s">
        <v>61</v>
      </c>
      <c r="O5" s="12" t="s">
        <v>97</v>
      </c>
      <c r="R5" s="1" t="s">
        <v>50</v>
      </c>
      <c r="S5" s="1" t="s">
        <v>51</v>
      </c>
      <c r="T5" s="1" t="s">
        <v>52</v>
      </c>
      <c r="U5" s="1" t="s">
        <v>53</v>
      </c>
      <c r="V5" s="1" t="s">
        <v>54</v>
      </c>
      <c r="W5" s="1" t="s">
        <v>55</v>
      </c>
      <c r="X5" s="1" t="s">
        <v>56</v>
      </c>
      <c r="Y5" s="1" t="s">
        <v>57</v>
      </c>
      <c r="Z5" s="1" t="s">
        <v>58</v>
      </c>
      <c r="AA5" s="1" t="s">
        <v>59</v>
      </c>
      <c r="AB5" s="1" t="s">
        <v>60</v>
      </c>
      <c r="AC5" s="1" t="s">
        <v>61</v>
      </c>
      <c r="AD5" s="12" t="s">
        <v>97</v>
      </c>
      <c r="AG5" s="1" t="s">
        <v>50</v>
      </c>
      <c r="AH5" s="1" t="s">
        <v>51</v>
      </c>
      <c r="AI5" s="1" t="s">
        <v>52</v>
      </c>
      <c r="AJ5" s="1" t="s">
        <v>53</v>
      </c>
      <c r="AK5" s="1" t="s">
        <v>54</v>
      </c>
      <c r="AL5" s="1" t="s">
        <v>55</v>
      </c>
      <c r="AM5" s="1" t="s">
        <v>56</v>
      </c>
      <c r="AN5" s="1" t="s">
        <v>57</v>
      </c>
      <c r="AO5" s="1" t="s">
        <v>58</v>
      </c>
      <c r="AP5" s="1" t="s">
        <v>59</v>
      </c>
      <c r="AQ5" s="1" t="s">
        <v>60</v>
      </c>
      <c r="AR5" s="1" t="s">
        <v>61</v>
      </c>
      <c r="AS5" s="12" t="s">
        <v>97</v>
      </c>
    </row>
    <row r="6" spans="1:45">
      <c r="A6" s="56" t="s">
        <v>441</v>
      </c>
      <c r="B6" s="314" t="s">
        <v>93</v>
      </c>
      <c r="C6" s="3">
        <f>Sales!B12</f>
        <v>13639555.340833332</v>
      </c>
      <c r="D6" s="3">
        <f>Sales!C12</f>
        <v>12909225.740833335</v>
      </c>
      <c r="E6" s="3">
        <f>Sales!D12</f>
        <v>13488547.340833332</v>
      </c>
      <c r="F6" s="3">
        <f>Sales!E12</f>
        <v>12826857.740833335</v>
      </c>
      <c r="G6" s="3">
        <f>Sales!F12</f>
        <v>12843331.340833332</v>
      </c>
      <c r="H6" s="3">
        <f>Sales!G12</f>
        <v>12700560.140833333</v>
      </c>
      <c r="I6" s="3">
        <f>Sales!H12</f>
        <v>16138271.950833336</v>
      </c>
      <c r="J6" s="3">
        <f>Sales!I12</f>
        <v>15835643.470833335</v>
      </c>
      <c r="K6" s="3">
        <f>Sales!J12</f>
        <v>15664592.590833334</v>
      </c>
      <c r="L6" s="3">
        <f>Sales!K12</f>
        <v>16819186.030833334</v>
      </c>
      <c r="M6" s="3">
        <f>Sales!L12</f>
        <v>15924458.350833334</v>
      </c>
      <c r="N6" s="3">
        <f>Sales!M12</f>
        <v>16095509.230833333</v>
      </c>
      <c r="O6" s="3">
        <f>SUM(C6:N6)</f>
        <v>174885739.26999998</v>
      </c>
      <c r="R6" s="3">
        <f>Sales!Q12</f>
        <v>14624872.850466669</v>
      </c>
      <c r="S6" s="3">
        <f>Sales!R12</f>
        <v>13825354.130466668</v>
      </c>
      <c r="T6" s="3">
        <f>Sales!S12</f>
        <v>14447836.562466668</v>
      </c>
      <c r="U6" s="3">
        <f>Sales!T12</f>
        <v>13459859.858466666</v>
      </c>
      <c r="V6" s="3">
        <f>Sales!U12</f>
        <v>13608341.906466667</v>
      </c>
      <c r="W6" s="3">
        <f>Sales!V12</f>
        <v>11358267.794466667</v>
      </c>
      <c r="X6" s="3">
        <f>Sales!W12</f>
        <v>16941169.638466671</v>
      </c>
      <c r="Y6" s="3">
        <f>Sales!X12</f>
        <v>16448543.104066668</v>
      </c>
      <c r="Z6" s="3">
        <f>Sales!Y12</f>
        <v>14956979.430466669</v>
      </c>
      <c r="AA6" s="3">
        <f>Sales!Z12</f>
        <v>18042737.30566667</v>
      </c>
      <c r="AB6" s="3">
        <f>Sales!AA12</f>
        <v>17016432.025666669</v>
      </c>
      <c r="AC6" s="3">
        <f>Sales!AB12</f>
        <v>17618531.123266667</v>
      </c>
      <c r="AD6" s="3">
        <f>SUM(R6:AC6)</f>
        <v>182348925.7304</v>
      </c>
      <c r="AG6" s="3">
        <f>Sales!AF12</f>
        <v>14933336.326774668</v>
      </c>
      <c r="AH6" s="3">
        <f>Sales!AG12</f>
        <v>14449056.416374668</v>
      </c>
      <c r="AI6" s="3">
        <f>Sales!AH12</f>
        <v>15272332.264054669</v>
      </c>
      <c r="AJ6" s="3">
        <f>Sales!AI12</f>
        <v>14140327.973494668</v>
      </c>
      <c r="AK6" s="3">
        <f>Sales!AJ12</f>
        <v>13547085.083254669</v>
      </c>
      <c r="AL6" s="3">
        <f>Sales!AK12</f>
        <v>13843706.528374668</v>
      </c>
      <c r="AM6" s="3">
        <f>Sales!AL12</f>
        <v>17624022.180422671</v>
      </c>
      <c r="AN6" s="3">
        <f>Sales!AM12</f>
        <v>17624022.180422671</v>
      </c>
      <c r="AO6" s="3">
        <f>Sales!AN12</f>
        <v>17435455.690310668</v>
      </c>
      <c r="AP6" s="3">
        <f>Sales!AO12</f>
        <v>18218731.880006671</v>
      </c>
      <c r="AQ6" s="3">
        <f>Sales!AP12</f>
        <v>17827093.785158668</v>
      </c>
      <c r="AR6" s="3">
        <f>Sales!AQ12</f>
        <v>18624875.089478668</v>
      </c>
      <c r="AS6" s="3">
        <f>SUM(AG6:AR6)</f>
        <v>193540045.398128</v>
      </c>
    </row>
    <row r="7" spans="1:45">
      <c r="A7" s="56" t="s">
        <v>442</v>
      </c>
      <c r="B7" s="314" t="s">
        <v>94</v>
      </c>
      <c r="C7" s="3">
        <f>Sales!B59</f>
        <v>1994890.4828850192</v>
      </c>
      <c r="D7" s="3">
        <f>Sales!C59</f>
        <v>1835089.6136470481</v>
      </c>
      <c r="E7" s="3">
        <f>Sales!D59</f>
        <v>1775228.8104708262</v>
      </c>
      <c r="F7" s="3">
        <f>Sales!E59</f>
        <v>1574835.9549946662</v>
      </c>
      <c r="G7" s="3">
        <f>Sales!F59</f>
        <v>1149913.7831815721</v>
      </c>
      <c r="H7" s="3">
        <f>Sales!G59</f>
        <v>1117174.3630923713</v>
      </c>
      <c r="I7" s="3">
        <f>Sales!H59</f>
        <v>1160823.5861838011</v>
      </c>
      <c r="J7" s="3">
        <f>Sales!I59</f>
        <v>1164649.0380978002</v>
      </c>
      <c r="K7" s="3">
        <f>Sales!J59</f>
        <v>1293266.6980553358</v>
      </c>
      <c r="L7" s="3">
        <f>Sales!K59</f>
        <v>1604115.2454373809</v>
      </c>
      <c r="M7" s="3">
        <f>Sales!L59</f>
        <v>1757705.5780787917</v>
      </c>
      <c r="N7" s="3">
        <f>Sales!M59</f>
        <v>1935222.0680927581</v>
      </c>
      <c r="O7" s="3">
        <f>SUM(C7:N7)</f>
        <v>18362915.222217374</v>
      </c>
      <c r="R7" s="3">
        <f>Sales!Q59</f>
        <v>2067199.4625785653</v>
      </c>
      <c r="S7" s="3">
        <f>Sales!R59</f>
        <v>1906640.2578170744</v>
      </c>
      <c r="T7" s="3">
        <f>Sales!S59</f>
        <v>1849419.0716575878</v>
      </c>
      <c r="U7" s="3">
        <f>Sales!T59</f>
        <v>1636599.000962446</v>
      </c>
      <c r="V7" s="3">
        <f>Sales!U59</f>
        <v>1199802.6132575644</v>
      </c>
      <c r="W7" s="3">
        <f>Sales!V59</f>
        <v>1168948.4352167703</v>
      </c>
      <c r="X7" s="3">
        <f>Sales!W59</f>
        <v>1221212.7978015328</v>
      </c>
      <c r="Y7" s="3">
        <f>Sales!X59</f>
        <v>1228452.4484984251</v>
      </c>
      <c r="Z7" s="3">
        <f>Sales!Y59</f>
        <v>1366291.8907671152</v>
      </c>
      <c r="AA7" s="3">
        <f>Sales!Z59</f>
        <v>1696238.3291901471</v>
      </c>
      <c r="AB7" s="3">
        <f>Sales!AA59</f>
        <v>1862369.7645262333</v>
      </c>
      <c r="AC7" s="3">
        <f>Sales!AB59</f>
        <v>2054583.0251665814</v>
      </c>
      <c r="AD7" s="3">
        <f>SUM(R7:AC7)</f>
        <v>19257757.097440042</v>
      </c>
      <c r="AG7" s="3">
        <f>Sales!AF59</f>
        <v>2170559.4357074932</v>
      </c>
      <c r="AH7" s="3">
        <f>Sales!AG59</f>
        <v>2001972.2707079274</v>
      </c>
      <c r="AI7" s="3">
        <f>Sales!AH59</f>
        <v>1941890.0252404669</v>
      </c>
      <c r="AJ7" s="3">
        <f>Sales!AI59</f>
        <v>1718428.9510105681</v>
      </c>
      <c r="AK7" s="3">
        <f>Sales!AJ59</f>
        <v>1259792.7439204424</v>
      </c>
      <c r="AL7" s="3">
        <f>Sales!AK59</f>
        <v>1227395.8569776088</v>
      </c>
      <c r="AM7" s="3">
        <f>Sales!AL59</f>
        <v>1282273.4376916094</v>
      </c>
      <c r="AN7" s="3">
        <f>Sales!AM59</f>
        <v>1289875.0709233463</v>
      </c>
      <c r="AO7" s="3">
        <f>Sales!AN59</f>
        <v>1434606.4853054709</v>
      </c>
      <c r="AP7" s="3">
        <f>Sales!AO59</f>
        <v>1781050.2456496544</v>
      </c>
      <c r="AQ7" s="3">
        <f>Sales!AP59</f>
        <v>1955488.2527525453</v>
      </c>
      <c r="AR7" s="3">
        <f>Sales!AQ59</f>
        <v>2157312.1764249108</v>
      </c>
      <c r="AS7" s="3">
        <f>SUM(AG7:AR7)</f>
        <v>20220644.952312041</v>
      </c>
    </row>
    <row r="8" spans="1:45">
      <c r="A8" s="56" t="s">
        <v>443</v>
      </c>
      <c r="B8" s="314" t="s">
        <v>95</v>
      </c>
      <c r="C8" s="3">
        <f>Sales!B73</f>
        <v>290134.52</v>
      </c>
      <c r="D8" s="3">
        <f>Sales!C73</f>
        <v>264785</v>
      </c>
      <c r="E8" s="3">
        <f>Sales!D73</f>
        <v>247341.80000000002</v>
      </c>
      <c r="F8" s="3">
        <f>Sales!E73</f>
        <v>178175.72</v>
      </c>
      <c r="G8" s="3">
        <f>Sales!F73</f>
        <v>80550.680000000008</v>
      </c>
      <c r="H8" s="3">
        <f>Sales!G73</f>
        <v>79090.760000000009</v>
      </c>
      <c r="I8" s="3">
        <f>Sales!H73</f>
        <v>77517.08</v>
      </c>
      <c r="J8" s="3">
        <f>Sales!I73</f>
        <v>77611.88</v>
      </c>
      <c r="K8" s="3">
        <f>Sales!J73</f>
        <v>94050.200000000012</v>
      </c>
      <c r="L8" s="3">
        <f>Sales!K73</f>
        <v>169890.2</v>
      </c>
      <c r="M8" s="3">
        <f>Sales!L73</f>
        <v>198330.2</v>
      </c>
      <c r="N8" s="3">
        <f>Sales!M73</f>
        <v>226770.2</v>
      </c>
      <c r="O8" s="3">
        <f>SUM(C8:N8)</f>
        <v>1984248.2399999998</v>
      </c>
      <c r="R8" s="3">
        <f>Sales!Q73</f>
        <v>290134.52</v>
      </c>
      <c r="S8" s="3">
        <f>Sales!R73</f>
        <v>264785</v>
      </c>
      <c r="T8" s="3">
        <f>Sales!S73</f>
        <v>247341.80000000002</v>
      </c>
      <c r="U8" s="3">
        <f>Sales!T73</f>
        <v>178175.72</v>
      </c>
      <c r="V8" s="3">
        <f>Sales!U73</f>
        <v>80550.680000000008</v>
      </c>
      <c r="W8" s="3">
        <f>Sales!V73</f>
        <v>79090.760000000009</v>
      </c>
      <c r="X8" s="3">
        <f>Sales!W73</f>
        <v>77517.08</v>
      </c>
      <c r="Y8" s="3">
        <f>Sales!X73</f>
        <v>77611.88</v>
      </c>
      <c r="Z8" s="3">
        <f>Sales!Y73</f>
        <v>150930.20000000001</v>
      </c>
      <c r="AA8" s="3">
        <f>Sales!Z73</f>
        <v>247341.80000000002</v>
      </c>
      <c r="AB8" s="3">
        <f>Sales!AA73</f>
        <v>264785</v>
      </c>
      <c r="AC8" s="3">
        <f>Sales!AB73</f>
        <v>290134.52</v>
      </c>
      <c r="AD8" s="3">
        <f>SUM(R8:AC8)</f>
        <v>2248398.96</v>
      </c>
      <c r="AG8" s="3">
        <f>Sales!AF73</f>
        <v>290134.52</v>
      </c>
      <c r="AH8" s="3">
        <f>Sales!AG73</f>
        <v>264785</v>
      </c>
      <c r="AI8" s="3">
        <f>Sales!AH73</f>
        <v>247341.80000000002</v>
      </c>
      <c r="AJ8" s="3">
        <f>Sales!AI73</f>
        <v>178175.72</v>
      </c>
      <c r="AK8" s="3">
        <f>Sales!AJ73</f>
        <v>80550.680000000008</v>
      </c>
      <c r="AL8" s="3">
        <f>Sales!AK73</f>
        <v>79090.760000000009</v>
      </c>
      <c r="AM8" s="3">
        <f>Sales!AL73</f>
        <v>77517.08</v>
      </c>
      <c r="AN8" s="3">
        <f>Sales!AM73</f>
        <v>77611.88</v>
      </c>
      <c r="AO8" s="3">
        <f>Sales!AN73</f>
        <v>150930.20000000001</v>
      </c>
      <c r="AP8" s="3">
        <f>Sales!AO73</f>
        <v>247341.80000000002</v>
      </c>
      <c r="AQ8" s="3">
        <f>Sales!AP73</f>
        <v>264785</v>
      </c>
      <c r="AR8" s="3">
        <f>Sales!AQ73</f>
        <v>290134.52</v>
      </c>
      <c r="AS8" s="3">
        <f>SUM(AG8:AR8)</f>
        <v>2248398.96</v>
      </c>
    </row>
    <row r="9" spans="1:45" hidden="1">
      <c r="B9" s="314" t="s">
        <v>748</v>
      </c>
      <c r="C9" s="3">
        <f>Sales!B36</f>
        <v>0</v>
      </c>
      <c r="D9" s="3">
        <f>Sales!C36</f>
        <v>0</v>
      </c>
      <c r="E9" s="3">
        <f>Sales!D36</f>
        <v>0</v>
      </c>
      <c r="F9" s="3">
        <f>Sales!E36</f>
        <v>0</v>
      </c>
      <c r="G9" s="3">
        <f>Sales!F36</f>
        <v>0</v>
      </c>
      <c r="H9" s="3">
        <f>Sales!G36</f>
        <v>0</v>
      </c>
      <c r="I9" s="3">
        <f>Sales!H36</f>
        <v>0</v>
      </c>
      <c r="J9" s="3">
        <f>Sales!I36</f>
        <v>0</v>
      </c>
      <c r="K9" s="3">
        <f>Sales!J36</f>
        <v>0</v>
      </c>
      <c r="L9" s="3">
        <f>Sales!K36</f>
        <v>0</v>
      </c>
      <c r="M9" s="3">
        <f>Sales!L36</f>
        <v>0</v>
      </c>
      <c r="N9" s="3">
        <f>Sales!M36</f>
        <v>0</v>
      </c>
      <c r="O9" s="3">
        <f>SUM(C9:N9)</f>
        <v>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5" ht="13.5" thickBot="1">
      <c r="B12" s="136" t="s">
        <v>97</v>
      </c>
      <c r="C12" s="10">
        <f>SUM(C6:C9)</f>
        <v>15924580.343718352</v>
      </c>
      <c r="D12" s="10">
        <f t="shared" ref="D12:O12" si="0">SUM(D6:D9)</f>
        <v>15009100.354480382</v>
      </c>
      <c r="E12" s="10">
        <f t="shared" si="0"/>
        <v>15511117.95130416</v>
      </c>
      <c r="F12" s="10">
        <f t="shared" si="0"/>
        <v>14579869.415828001</v>
      </c>
      <c r="G12" s="10">
        <f t="shared" si="0"/>
        <v>14073795.804014904</v>
      </c>
      <c r="H12" s="10">
        <f t="shared" si="0"/>
        <v>13896825.263925703</v>
      </c>
      <c r="I12" s="10">
        <f t="shared" si="0"/>
        <v>17376612.617017135</v>
      </c>
      <c r="J12" s="10">
        <f t="shared" si="0"/>
        <v>17077904.388931133</v>
      </c>
      <c r="K12" s="10">
        <f t="shared" si="0"/>
        <v>17051909.48888867</v>
      </c>
      <c r="L12" s="10">
        <f t="shared" si="0"/>
        <v>18593191.476270713</v>
      </c>
      <c r="M12" s="10">
        <f t="shared" si="0"/>
        <v>17880494.128912125</v>
      </c>
      <c r="N12" s="10">
        <f t="shared" si="0"/>
        <v>18257501.498926092</v>
      </c>
      <c r="O12" s="10">
        <f t="shared" si="0"/>
        <v>195232902.73221737</v>
      </c>
      <c r="R12" s="10">
        <f>SUM(R6:R9)</f>
        <v>16982206.833045233</v>
      </c>
      <c r="S12" s="10">
        <f t="shared" ref="S12:AD12" si="1">SUM(S6:S9)</f>
        <v>15996779.388283743</v>
      </c>
      <c r="T12" s="10">
        <f t="shared" si="1"/>
        <v>16544597.434124257</v>
      </c>
      <c r="U12" s="10">
        <f t="shared" si="1"/>
        <v>15274634.579429112</v>
      </c>
      <c r="V12" s="10">
        <f t="shared" si="1"/>
        <v>14888695.199724231</v>
      </c>
      <c r="W12" s="10">
        <f t="shared" si="1"/>
        <v>12606306.989683436</v>
      </c>
      <c r="X12" s="10">
        <f t="shared" si="1"/>
        <v>18239899.516268201</v>
      </c>
      <c r="Y12" s="10">
        <f t="shared" si="1"/>
        <v>17754607.432565093</v>
      </c>
      <c r="Z12" s="10">
        <f t="shared" si="1"/>
        <v>16474201.521233782</v>
      </c>
      <c r="AA12" s="10">
        <f t="shared" si="1"/>
        <v>19986317.434856817</v>
      </c>
      <c r="AB12" s="10">
        <f t="shared" si="1"/>
        <v>19143586.790192902</v>
      </c>
      <c r="AC12" s="10">
        <f t="shared" si="1"/>
        <v>19963248.668433249</v>
      </c>
      <c r="AD12" s="10">
        <f t="shared" si="1"/>
        <v>203855081.78784004</v>
      </c>
      <c r="AG12" s="10">
        <f>SUM(AG6:AG9)</f>
        <v>17394030.282482162</v>
      </c>
      <c r="AH12" s="10">
        <f t="shared" ref="AH12:AS12" si="2">SUM(AH6:AH9)</f>
        <v>16715813.687082596</v>
      </c>
      <c r="AI12" s="10">
        <f t="shared" si="2"/>
        <v>17461564.089295138</v>
      </c>
      <c r="AJ12" s="10">
        <f t="shared" si="2"/>
        <v>16036932.644505236</v>
      </c>
      <c r="AK12" s="10">
        <f t="shared" si="2"/>
        <v>14887428.50717511</v>
      </c>
      <c r="AL12" s="10">
        <f t="shared" si="2"/>
        <v>15150193.145352276</v>
      </c>
      <c r="AM12" s="10">
        <f t="shared" si="2"/>
        <v>18983812.69811428</v>
      </c>
      <c r="AN12" s="10">
        <f t="shared" si="2"/>
        <v>18991509.131346017</v>
      </c>
      <c r="AO12" s="10">
        <f t="shared" si="2"/>
        <v>19020992.375616137</v>
      </c>
      <c r="AP12" s="10">
        <f t="shared" si="2"/>
        <v>20247123.925656326</v>
      </c>
      <c r="AQ12" s="10">
        <f t="shared" si="2"/>
        <v>20047367.037911214</v>
      </c>
      <c r="AR12" s="10">
        <f t="shared" si="2"/>
        <v>21072321.785903577</v>
      </c>
      <c r="AS12" s="10">
        <f t="shared" si="2"/>
        <v>216009089.31044006</v>
      </c>
    </row>
    <row r="13" spans="1:45" ht="13.5" thickTop="1">
      <c r="B13" s="19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5">
      <c r="B14" s="19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5" ht="18">
      <c r="B15" s="301" t="str">
        <f>'P&amp;L$'!B17</f>
        <v>COSTS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Q15" s="4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F15" s="42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5">
      <c r="B16" s="4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Q16" s="4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F16" s="42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5">
      <c r="B17" s="192"/>
      <c r="C17" s="1" t="s">
        <v>50</v>
      </c>
      <c r="D17" s="1" t="s">
        <v>51</v>
      </c>
      <c r="E17" s="1" t="s">
        <v>52</v>
      </c>
      <c r="F17" s="1" t="s">
        <v>53</v>
      </c>
      <c r="G17" s="1" t="s">
        <v>54</v>
      </c>
      <c r="H17" s="1" t="s">
        <v>55</v>
      </c>
      <c r="I17" s="1" t="s">
        <v>56</v>
      </c>
      <c r="J17" s="1" t="s">
        <v>57</v>
      </c>
      <c r="K17" s="1" t="s">
        <v>58</v>
      </c>
      <c r="L17" s="1" t="s">
        <v>59</v>
      </c>
      <c r="M17" s="1" t="s">
        <v>60</v>
      </c>
      <c r="N17" s="1" t="s">
        <v>61</v>
      </c>
      <c r="O17" s="12" t="s">
        <v>97</v>
      </c>
      <c r="R17" s="1" t="s">
        <v>50</v>
      </c>
      <c r="S17" s="1" t="s">
        <v>51</v>
      </c>
      <c r="T17" s="1" t="s">
        <v>52</v>
      </c>
      <c r="U17" s="1" t="s">
        <v>53</v>
      </c>
      <c r="V17" s="1" t="s">
        <v>54</v>
      </c>
      <c r="W17" s="1" t="s">
        <v>55</v>
      </c>
      <c r="X17" s="1" t="s">
        <v>56</v>
      </c>
      <c r="Y17" s="1" t="s">
        <v>57</v>
      </c>
      <c r="Z17" s="1" t="s">
        <v>58</v>
      </c>
      <c r="AA17" s="1" t="s">
        <v>59</v>
      </c>
      <c r="AB17" s="1" t="s">
        <v>60</v>
      </c>
      <c r="AC17" s="1" t="s">
        <v>61</v>
      </c>
      <c r="AD17" s="12" t="s">
        <v>97</v>
      </c>
      <c r="AG17" s="1" t="s">
        <v>50</v>
      </c>
      <c r="AH17" s="1" t="s">
        <v>51</v>
      </c>
      <c r="AI17" s="1" t="s">
        <v>52</v>
      </c>
      <c r="AJ17" s="1" t="s">
        <v>53</v>
      </c>
      <c r="AK17" s="1" t="s">
        <v>54</v>
      </c>
      <c r="AL17" s="1" t="s">
        <v>55</v>
      </c>
      <c r="AM17" s="1" t="s">
        <v>56</v>
      </c>
      <c r="AN17" s="1" t="s">
        <v>57</v>
      </c>
      <c r="AO17" s="1" t="s">
        <v>58</v>
      </c>
      <c r="AP17" s="1" t="s">
        <v>59</v>
      </c>
      <c r="AQ17" s="1" t="s">
        <v>60</v>
      </c>
      <c r="AR17" s="1" t="s">
        <v>61</v>
      </c>
      <c r="AS17" s="12" t="s">
        <v>97</v>
      </c>
    </row>
    <row r="18" spans="1:45">
      <c r="A18" s="54" t="s">
        <v>229</v>
      </c>
      <c r="B18" s="55" t="str">
        <f>'P&amp;L$'!B19</f>
        <v>MATERIALS AND ENERGY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F18" s="55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56" t="s">
        <v>230</v>
      </c>
      <c r="B19" s="57" t="str">
        <f>'P&amp;L$'!B20</f>
        <v>Gas</v>
      </c>
      <c r="C19" s="3">
        <f>Gas!B13</f>
        <v>10736384.613780629</v>
      </c>
      <c r="D19" s="3">
        <f>Gas!C13</f>
        <v>9735387.7609149497</v>
      </c>
      <c r="E19" s="3">
        <f>Gas!D13</f>
        <v>10576645.157686649</v>
      </c>
      <c r="F19" s="3">
        <f>Gas!E13</f>
        <v>9660836.2432187833</v>
      </c>
      <c r="G19" s="3">
        <f>Gas!F13</f>
        <v>9726206.8759744018</v>
      </c>
      <c r="H19" s="3">
        <f>Gas!G13</f>
        <v>9528364.4125315603</v>
      </c>
      <c r="I19" s="3">
        <f>Gas!H13</f>
        <v>10521995.91333152</v>
      </c>
      <c r="J19" s="3">
        <f>Gas!I13</f>
        <v>10206371.133003794</v>
      </c>
      <c r="K19" s="3">
        <f>Gas!J13</f>
        <v>10002809.20029597</v>
      </c>
      <c r="L19" s="3">
        <f>Gas!K13</f>
        <v>11376971.673470234</v>
      </c>
      <c r="M19" s="3">
        <f>Gas!L13</f>
        <v>10379328.538970737</v>
      </c>
      <c r="N19" s="3">
        <f>Gas!M13</f>
        <v>10614375.348199239</v>
      </c>
      <c r="O19" s="3">
        <f>SUM(C19:N19)</f>
        <v>123065676.87137845</v>
      </c>
      <c r="Q19" s="57"/>
      <c r="R19" s="3">
        <f>Gas!Q13</f>
        <v>11259077.387637585</v>
      </c>
      <c r="S19" s="3">
        <f>Gas!R13</f>
        <v>10238701.302569058</v>
      </c>
      <c r="T19" s="3">
        <f>Gas!S13</f>
        <v>11147096.786604445</v>
      </c>
      <c r="U19" s="3">
        <f>Gas!T13</f>
        <v>10308547.579161087</v>
      </c>
      <c r="V19" s="3">
        <f>Gas!U13</f>
        <v>10409284.998758111</v>
      </c>
      <c r="W19" s="3">
        <f>Gas!V13</f>
        <v>10227568.339630242</v>
      </c>
      <c r="X19" s="3">
        <f>Gas!W13</f>
        <v>10995242.965641757</v>
      </c>
      <c r="Y19" s="3">
        <f>Gas!X13</f>
        <v>10692770.729124084</v>
      </c>
      <c r="Z19" s="3">
        <f>Gas!Y13</f>
        <v>10502815.048296848</v>
      </c>
      <c r="AA19" s="3">
        <f>Gas!Z13</f>
        <v>12065649.92329403</v>
      </c>
      <c r="AB19" s="3">
        <f>Gas!AA13</f>
        <v>11241895.950473964</v>
      </c>
      <c r="AC19" s="3">
        <f>Gas!AB13</f>
        <v>11524811.808502087</v>
      </c>
      <c r="AD19" s="3">
        <f>SUM(R19:AC19)</f>
        <v>130613462.81969331</v>
      </c>
      <c r="AF19" s="57"/>
      <c r="AG19" s="3">
        <f>Gas!AF13</f>
        <v>11822031.25701946</v>
      </c>
      <c r="AH19" s="3">
        <f>Gas!AG13</f>
        <v>10750636.367697509</v>
      </c>
      <c r="AI19" s="3">
        <f>Gas!AH13</f>
        <v>11704451.625934664</v>
      </c>
      <c r="AJ19" s="3">
        <f>Gas!AI13</f>
        <v>10823974.958119139</v>
      </c>
      <c r="AK19" s="3">
        <f>Gas!AJ13</f>
        <v>10929749.248696014</v>
      </c>
      <c r="AL19" s="3">
        <f>Gas!AK13</f>
        <v>10738946.756611755</v>
      </c>
      <c r="AM19" s="3">
        <f>Gas!AL13</f>
        <v>11545005.113923844</v>
      </c>
      <c r="AN19" s="3">
        <f>Gas!AM13</f>
        <v>11227409.265580289</v>
      </c>
      <c r="AO19" s="3">
        <f>Gas!AN13</f>
        <v>11027955.80071169</v>
      </c>
      <c r="AP19" s="3">
        <f>Gas!AO13</f>
        <v>12668932.419458732</v>
      </c>
      <c r="AQ19" s="3">
        <f>Gas!AP13</f>
        <v>11803990.747997664</v>
      </c>
      <c r="AR19" s="3">
        <f>Gas!AQ13</f>
        <v>12101052.398927193</v>
      </c>
      <c r="AS19" s="3">
        <f>SUM(AG19:AR19)</f>
        <v>137144135.96067792</v>
      </c>
    </row>
    <row r="20" spans="1:45">
      <c r="A20" s="56" t="s">
        <v>231</v>
      </c>
      <c r="B20" s="57" t="str">
        <f>'P&amp;L$'!B21</f>
        <v>Fuel Oil</v>
      </c>
      <c r="C20" s="3">
        <f>Materials!C7</f>
        <v>29358</v>
      </c>
      <c r="D20" s="3">
        <f>Materials!D7</f>
        <v>29358</v>
      </c>
      <c r="E20" s="3">
        <f>Materials!E7</f>
        <v>29358</v>
      </c>
      <c r="F20" s="3">
        <f>Materials!F7</f>
        <v>29358</v>
      </c>
      <c r="G20" s="3">
        <f>Materials!G7</f>
        <v>29358</v>
      </c>
      <c r="H20" s="3">
        <f>Materials!H7</f>
        <v>29358</v>
      </c>
      <c r="I20" s="3">
        <f>Materials!I7</f>
        <v>29358</v>
      </c>
      <c r="J20" s="3">
        <f>Materials!J7</f>
        <v>29358</v>
      </c>
      <c r="K20" s="3">
        <f>Materials!K7</f>
        <v>29358</v>
      </c>
      <c r="L20" s="3">
        <f>Materials!L7</f>
        <v>29358</v>
      </c>
      <c r="M20" s="3">
        <f>Materials!M7</f>
        <v>29358</v>
      </c>
      <c r="N20" s="3">
        <f>Materials!N7</f>
        <v>29358</v>
      </c>
      <c r="O20" s="3">
        <f t="shared" ref="O20:O30" si="3">SUM(C20:N20)</f>
        <v>352296</v>
      </c>
      <c r="Q20" s="57"/>
      <c r="R20" s="3">
        <f>Materials!R7</f>
        <v>36442</v>
      </c>
      <c r="S20" s="3">
        <f>Materials!S7</f>
        <v>36442</v>
      </c>
      <c r="T20" s="3">
        <f>Materials!T7</f>
        <v>36442</v>
      </c>
      <c r="U20" s="3">
        <f>Materials!U7</f>
        <v>36442</v>
      </c>
      <c r="V20" s="3">
        <f>Materials!V7</f>
        <v>36442</v>
      </c>
      <c r="W20" s="3">
        <f>Materials!W7</f>
        <v>36442</v>
      </c>
      <c r="X20" s="3">
        <f>Materials!X7</f>
        <v>36442</v>
      </c>
      <c r="Y20" s="3">
        <f>Materials!Y7</f>
        <v>36442</v>
      </c>
      <c r="Z20" s="3">
        <f>Materials!Z7</f>
        <v>36442</v>
      </c>
      <c r="AA20" s="3">
        <f>Materials!AA7</f>
        <v>36442</v>
      </c>
      <c r="AB20" s="3">
        <f>Materials!AB7</f>
        <v>36442</v>
      </c>
      <c r="AC20" s="3">
        <f>Materials!AC7</f>
        <v>36442</v>
      </c>
      <c r="AD20" s="3">
        <f t="shared" ref="AD20:AD30" si="4">SUM(R20:AC20)</f>
        <v>437304</v>
      </c>
      <c r="AF20" s="57"/>
      <c r="AG20" s="3">
        <f>Materials!AG7</f>
        <v>36442</v>
      </c>
      <c r="AH20" s="3">
        <f>Materials!AH7</f>
        <v>36442</v>
      </c>
      <c r="AI20" s="3">
        <f>Materials!AI7</f>
        <v>36442</v>
      </c>
      <c r="AJ20" s="3">
        <f>Materials!AJ7</f>
        <v>36442</v>
      </c>
      <c r="AK20" s="3">
        <f>Materials!AK7</f>
        <v>36442</v>
      </c>
      <c r="AL20" s="3">
        <f>Materials!AL7</f>
        <v>36442</v>
      </c>
      <c r="AM20" s="3">
        <f>Materials!AM7</f>
        <v>36442</v>
      </c>
      <c r="AN20" s="3">
        <f>Materials!AN7</f>
        <v>36442</v>
      </c>
      <c r="AO20" s="3">
        <f>Materials!AO7</f>
        <v>36442</v>
      </c>
      <c r="AP20" s="3">
        <f>Materials!AP7</f>
        <v>36442</v>
      </c>
      <c r="AQ20" s="3">
        <f>Materials!AQ7</f>
        <v>36442</v>
      </c>
      <c r="AR20" s="3">
        <f>Materials!AR7</f>
        <v>36442</v>
      </c>
      <c r="AS20" s="3">
        <f t="shared" ref="AS20:AS30" si="5">SUM(AG20:AR20)</f>
        <v>437304</v>
      </c>
    </row>
    <row r="21" spans="1:45">
      <c r="A21" s="56" t="s">
        <v>233</v>
      </c>
      <c r="B21" s="57" t="str">
        <f>'P&amp;L$'!B22</f>
        <v>Electricity</v>
      </c>
      <c r="C21" s="3">
        <f>Materials!C13</f>
        <v>36443.449999999997</v>
      </c>
      <c r="D21" s="3">
        <f>Materials!D13</f>
        <v>36443.449999999997</v>
      </c>
      <c r="E21" s="3">
        <f>Materials!E13</f>
        <v>36443.449999999997</v>
      </c>
      <c r="F21" s="3">
        <f>Materials!F13</f>
        <v>36443.449999999997</v>
      </c>
      <c r="G21" s="3">
        <f>Materials!G13</f>
        <v>36443.449999999997</v>
      </c>
      <c r="H21" s="3">
        <f>Materials!H13</f>
        <v>36443.449999999997</v>
      </c>
      <c r="I21" s="3">
        <f>Materials!I13</f>
        <v>36443.449999999997</v>
      </c>
      <c r="J21" s="3">
        <f>Materials!J13</f>
        <v>36443.449999999997</v>
      </c>
      <c r="K21" s="3">
        <f>Materials!K13</f>
        <v>36443.449999999997</v>
      </c>
      <c r="L21" s="3">
        <f>Materials!L13</f>
        <v>36443.449999999997</v>
      </c>
      <c r="M21" s="3">
        <f>Materials!M13</f>
        <v>36443.449999999997</v>
      </c>
      <c r="N21" s="3">
        <f>Materials!N13</f>
        <v>36443.449999999997</v>
      </c>
      <c r="O21" s="3">
        <f t="shared" si="3"/>
        <v>437321.40000000008</v>
      </c>
      <c r="Q21" s="57"/>
      <c r="R21" s="3">
        <f>Materials!R13</f>
        <v>36443.449999999997</v>
      </c>
      <c r="S21" s="3">
        <f>Materials!S13</f>
        <v>36443.449999999997</v>
      </c>
      <c r="T21" s="3">
        <f>Materials!T13</f>
        <v>36443.449999999997</v>
      </c>
      <c r="U21" s="3">
        <f>Materials!U13</f>
        <v>36443.449999999997</v>
      </c>
      <c r="V21" s="3">
        <f>Materials!V13</f>
        <v>36443.449999999997</v>
      </c>
      <c r="W21" s="3">
        <f>Materials!W13</f>
        <v>36443.449999999997</v>
      </c>
      <c r="X21" s="3">
        <f>Materials!X13</f>
        <v>36443.449999999997</v>
      </c>
      <c r="Y21" s="3">
        <f>Materials!Y13</f>
        <v>36443.449999999997</v>
      </c>
      <c r="Z21" s="3">
        <f>Materials!Z13</f>
        <v>36443.449999999997</v>
      </c>
      <c r="AA21" s="3">
        <f>Materials!AA13</f>
        <v>36443.449999999997</v>
      </c>
      <c r="AB21" s="3">
        <f>Materials!AB13</f>
        <v>36443.449999999997</v>
      </c>
      <c r="AC21" s="3">
        <f>Materials!AC13</f>
        <v>36443.449999999997</v>
      </c>
      <c r="AD21" s="3">
        <f t="shared" si="4"/>
        <v>437321.40000000008</v>
      </c>
      <c r="AF21" s="57"/>
      <c r="AG21" s="3">
        <f>Materials!AG13</f>
        <v>36443.449999999997</v>
      </c>
      <c r="AH21" s="3">
        <f>Materials!AH13</f>
        <v>36443.449999999997</v>
      </c>
      <c r="AI21" s="3">
        <f>Materials!AI13</f>
        <v>36443.449999999997</v>
      </c>
      <c r="AJ21" s="3">
        <f>Materials!AJ13</f>
        <v>36443.449999999997</v>
      </c>
      <c r="AK21" s="3">
        <f>Materials!AK13</f>
        <v>36443.449999999997</v>
      </c>
      <c r="AL21" s="3">
        <f>Materials!AL13</f>
        <v>36443.449999999997</v>
      </c>
      <c r="AM21" s="3">
        <f>Materials!AM13</f>
        <v>36443.449999999997</v>
      </c>
      <c r="AN21" s="3">
        <f>Materials!AN13</f>
        <v>36443.449999999997</v>
      </c>
      <c r="AO21" s="3">
        <f>Materials!AO13</f>
        <v>36443.449999999997</v>
      </c>
      <c r="AP21" s="3">
        <f>Materials!AP13</f>
        <v>36443.449999999997</v>
      </c>
      <c r="AQ21" s="3">
        <f>Materials!AQ13</f>
        <v>36443.449999999997</v>
      </c>
      <c r="AR21" s="3">
        <f>Materials!AR13</f>
        <v>36443.449999999997</v>
      </c>
      <c r="AS21" s="3">
        <f t="shared" si="5"/>
        <v>437321.40000000008</v>
      </c>
    </row>
    <row r="22" spans="1:45">
      <c r="A22" s="56" t="s">
        <v>234</v>
      </c>
      <c r="B22" s="57" t="str">
        <f>'P&amp;L$'!B23</f>
        <v>Chemicals</v>
      </c>
      <c r="C22" s="3">
        <f>Materials!C8</f>
        <v>125000</v>
      </c>
      <c r="D22" s="3">
        <f>Materials!D8</f>
        <v>115000</v>
      </c>
      <c r="E22" s="3">
        <f>Materials!E8</f>
        <v>115000</v>
      </c>
      <c r="F22" s="3">
        <f>Materials!F8</f>
        <v>120000</v>
      </c>
      <c r="G22" s="3">
        <f>Materials!G8</f>
        <v>120000</v>
      </c>
      <c r="H22" s="3">
        <f>Materials!H8</f>
        <v>130000</v>
      </c>
      <c r="I22" s="3">
        <f>Materials!I8</f>
        <v>130000</v>
      </c>
      <c r="J22" s="3">
        <f>Materials!J8</f>
        <v>130000</v>
      </c>
      <c r="K22" s="3">
        <f>Materials!K8</f>
        <v>130000</v>
      </c>
      <c r="L22" s="3">
        <f>Materials!L8</f>
        <v>125000</v>
      </c>
      <c r="M22" s="3">
        <f>Materials!M8</f>
        <v>125000</v>
      </c>
      <c r="N22" s="3">
        <f>Materials!N8</f>
        <v>120000</v>
      </c>
      <c r="O22" s="3">
        <f t="shared" si="3"/>
        <v>1485000</v>
      </c>
      <c r="Q22" s="57"/>
      <c r="R22" s="3">
        <f>Materials!R8</f>
        <v>130000</v>
      </c>
      <c r="S22" s="3">
        <f>Materials!S8</f>
        <v>119600</v>
      </c>
      <c r="T22" s="3">
        <f>Materials!T8</f>
        <v>119600</v>
      </c>
      <c r="U22" s="3">
        <f>Materials!U8</f>
        <v>124800</v>
      </c>
      <c r="V22" s="3">
        <f>Materials!V8</f>
        <v>124800</v>
      </c>
      <c r="W22" s="3">
        <f>Materials!W8</f>
        <v>135200</v>
      </c>
      <c r="X22" s="3">
        <f>Materials!X8</f>
        <v>135200</v>
      </c>
      <c r="Y22" s="3">
        <f>Materials!Y8</f>
        <v>135200</v>
      </c>
      <c r="Z22" s="3">
        <f>Materials!Z8</f>
        <v>135200</v>
      </c>
      <c r="AA22" s="3">
        <f>Materials!AA8</f>
        <v>130000</v>
      </c>
      <c r="AB22" s="3">
        <f>Materials!AB8</f>
        <v>130000</v>
      </c>
      <c r="AC22" s="3">
        <f>Materials!AC8</f>
        <v>124800</v>
      </c>
      <c r="AD22" s="3">
        <f t="shared" si="4"/>
        <v>1544400</v>
      </c>
      <c r="AF22" s="57"/>
      <c r="AG22" s="3">
        <f>Materials!AG8</f>
        <v>137800</v>
      </c>
      <c r="AH22" s="3">
        <f>Materials!AH8</f>
        <v>126776</v>
      </c>
      <c r="AI22" s="3">
        <f>Materials!AI8</f>
        <v>126776</v>
      </c>
      <c r="AJ22" s="3">
        <f>Materials!AJ8</f>
        <v>132288</v>
      </c>
      <c r="AK22" s="3">
        <f>Materials!AK8</f>
        <v>132288</v>
      </c>
      <c r="AL22" s="3">
        <f>Materials!AL8</f>
        <v>143312</v>
      </c>
      <c r="AM22" s="3">
        <f>Materials!AM8</f>
        <v>143312</v>
      </c>
      <c r="AN22" s="3">
        <f>Materials!AN8</f>
        <v>143312</v>
      </c>
      <c r="AO22" s="3">
        <f>Materials!AO8</f>
        <v>143312</v>
      </c>
      <c r="AP22" s="3">
        <f>Materials!AP8</f>
        <v>137800</v>
      </c>
      <c r="AQ22" s="3">
        <f>Materials!AQ8</f>
        <v>137800</v>
      </c>
      <c r="AR22" s="3">
        <f>Materials!AR8</f>
        <v>132288</v>
      </c>
      <c r="AS22" s="3">
        <f t="shared" si="5"/>
        <v>1637064</v>
      </c>
    </row>
    <row r="23" spans="1:45">
      <c r="A23" s="56" t="s">
        <v>236</v>
      </c>
      <c r="B23" s="57" t="str">
        <f>'P&amp;L$'!B24</f>
        <v>Operational materials</v>
      </c>
      <c r="C23" s="3">
        <f>Materials!C9</f>
        <v>20000</v>
      </c>
      <c r="D23" s="3">
        <f>Materials!D9</f>
        <v>20000</v>
      </c>
      <c r="E23" s="3">
        <f>Materials!E9</f>
        <v>20000</v>
      </c>
      <c r="F23" s="3">
        <f>Materials!F9</f>
        <v>20000</v>
      </c>
      <c r="G23" s="3">
        <f>Materials!G9</f>
        <v>20000</v>
      </c>
      <c r="H23" s="3">
        <f>Materials!H9</f>
        <v>20000</v>
      </c>
      <c r="I23" s="3">
        <f>Materials!I9</f>
        <v>20000</v>
      </c>
      <c r="J23" s="3">
        <f>Materials!J9</f>
        <v>20000</v>
      </c>
      <c r="K23" s="3">
        <f>Materials!K9</f>
        <v>20000</v>
      </c>
      <c r="L23" s="3">
        <f>Materials!L9</f>
        <v>20000</v>
      </c>
      <c r="M23" s="3">
        <f>Materials!M9</f>
        <v>20000</v>
      </c>
      <c r="N23" s="3">
        <f>Materials!N9</f>
        <v>20000</v>
      </c>
      <c r="O23" s="3">
        <f t="shared" si="3"/>
        <v>240000</v>
      </c>
      <c r="Q23" s="57"/>
      <c r="R23" s="3">
        <f>Materials!R9</f>
        <v>20800</v>
      </c>
      <c r="S23" s="3">
        <f>Materials!S9</f>
        <v>20800</v>
      </c>
      <c r="T23" s="3">
        <f>Materials!T9</f>
        <v>20800</v>
      </c>
      <c r="U23" s="3">
        <f>Materials!U9</f>
        <v>20800</v>
      </c>
      <c r="V23" s="3">
        <f>Materials!V9</f>
        <v>20800</v>
      </c>
      <c r="W23" s="3">
        <f>Materials!W9</f>
        <v>20800</v>
      </c>
      <c r="X23" s="3">
        <f>Materials!X9</f>
        <v>20800</v>
      </c>
      <c r="Y23" s="3">
        <f>Materials!Y9</f>
        <v>20800</v>
      </c>
      <c r="Z23" s="3">
        <f>Materials!Z9</f>
        <v>20800</v>
      </c>
      <c r="AA23" s="3">
        <f>Materials!AA9</f>
        <v>20800</v>
      </c>
      <c r="AB23" s="3">
        <f>Materials!AB9</f>
        <v>20800</v>
      </c>
      <c r="AC23" s="3">
        <f>Materials!AC9</f>
        <v>20800</v>
      </c>
      <c r="AD23" s="3">
        <f t="shared" si="4"/>
        <v>249600</v>
      </c>
      <c r="AF23" s="57"/>
      <c r="AG23" s="3">
        <f>Materials!AG9</f>
        <v>22048</v>
      </c>
      <c r="AH23" s="3">
        <f>Materials!AH9</f>
        <v>22048</v>
      </c>
      <c r="AI23" s="3">
        <f>Materials!AI9</f>
        <v>22048</v>
      </c>
      <c r="AJ23" s="3">
        <f>Materials!AJ9</f>
        <v>22048</v>
      </c>
      <c r="AK23" s="3">
        <f>Materials!AK9</f>
        <v>22048</v>
      </c>
      <c r="AL23" s="3">
        <f>Materials!AL9</f>
        <v>22048</v>
      </c>
      <c r="AM23" s="3">
        <f>Materials!AM9</f>
        <v>22048</v>
      </c>
      <c r="AN23" s="3">
        <f>Materials!AN9</f>
        <v>22048</v>
      </c>
      <c r="AO23" s="3">
        <f>Materials!AO9</f>
        <v>22048</v>
      </c>
      <c r="AP23" s="3">
        <f>Materials!AP9</f>
        <v>22048</v>
      </c>
      <c r="AQ23" s="3">
        <f>Materials!AQ9</f>
        <v>22048</v>
      </c>
      <c r="AR23" s="3">
        <f>Materials!AR9</f>
        <v>22048</v>
      </c>
      <c r="AS23" s="3">
        <f t="shared" si="5"/>
        <v>264576</v>
      </c>
    </row>
    <row r="24" spans="1:45">
      <c r="A24" s="56" t="s">
        <v>238</v>
      </c>
      <c r="B24" s="57" t="str">
        <f>'P&amp;L$'!B25</f>
        <v>Fire/safety materials</v>
      </c>
      <c r="C24" s="3">
        <f>Materials!C10</f>
        <v>10000</v>
      </c>
      <c r="D24" s="3">
        <f>Materials!D10</f>
        <v>10000</v>
      </c>
      <c r="E24" s="3">
        <f>Materials!E10</f>
        <v>10000</v>
      </c>
      <c r="F24" s="3">
        <f>Materials!F10</f>
        <v>10000</v>
      </c>
      <c r="G24" s="3">
        <f>Materials!G10</f>
        <v>10000</v>
      </c>
      <c r="H24" s="3">
        <f>Materials!H10</f>
        <v>10000</v>
      </c>
      <c r="I24" s="3">
        <f>Materials!I10</f>
        <v>10000</v>
      </c>
      <c r="J24" s="3">
        <f>Materials!J10</f>
        <v>10000</v>
      </c>
      <c r="K24" s="3">
        <f>Materials!K10</f>
        <v>10000</v>
      </c>
      <c r="L24" s="3">
        <f>Materials!L10</f>
        <v>10000</v>
      </c>
      <c r="M24" s="3">
        <f>Materials!M10</f>
        <v>10000</v>
      </c>
      <c r="N24" s="3">
        <f>Materials!N10</f>
        <v>10000</v>
      </c>
      <c r="O24" s="3">
        <f t="shared" si="3"/>
        <v>120000</v>
      </c>
      <c r="Q24" s="57"/>
      <c r="R24" s="3">
        <f>Materials!R10</f>
        <v>10400</v>
      </c>
      <c r="S24" s="3">
        <f>Materials!S10</f>
        <v>10400</v>
      </c>
      <c r="T24" s="3">
        <f>Materials!T10</f>
        <v>10400</v>
      </c>
      <c r="U24" s="3">
        <f>Materials!U10</f>
        <v>10400</v>
      </c>
      <c r="V24" s="3">
        <f>Materials!V10</f>
        <v>10400</v>
      </c>
      <c r="W24" s="3">
        <f>Materials!W10</f>
        <v>10400</v>
      </c>
      <c r="X24" s="3">
        <f>Materials!X10</f>
        <v>10400</v>
      </c>
      <c r="Y24" s="3">
        <f>Materials!Y10</f>
        <v>10400</v>
      </c>
      <c r="Z24" s="3">
        <f>Materials!Z10</f>
        <v>10400</v>
      </c>
      <c r="AA24" s="3">
        <f>Materials!AA10</f>
        <v>10400</v>
      </c>
      <c r="AB24" s="3">
        <f>Materials!AB10</f>
        <v>10400</v>
      </c>
      <c r="AC24" s="3">
        <f>Materials!AC10</f>
        <v>10400</v>
      </c>
      <c r="AD24" s="3">
        <f t="shared" si="4"/>
        <v>124800</v>
      </c>
      <c r="AF24" s="57"/>
      <c r="AG24" s="3">
        <f>Materials!AG10</f>
        <v>11024</v>
      </c>
      <c r="AH24" s="3">
        <f>Materials!AH10</f>
        <v>11024</v>
      </c>
      <c r="AI24" s="3">
        <f>Materials!AI10</f>
        <v>11024</v>
      </c>
      <c r="AJ24" s="3">
        <f>Materials!AJ10</f>
        <v>11024</v>
      </c>
      <c r="AK24" s="3">
        <f>Materials!AK10</f>
        <v>11024</v>
      </c>
      <c r="AL24" s="3">
        <f>Materials!AL10</f>
        <v>11024</v>
      </c>
      <c r="AM24" s="3">
        <f>Materials!AM10</f>
        <v>11024</v>
      </c>
      <c r="AN24" s="3">
        <f>Materials!AN10</f>
        <v>11024</v>
      </c>
      <c r="AO24" s="3">
        <f>Materials!AO10</f>
        <v>11024</v>
      </c>
      <c r="AP24" s="3">
        <f>Materials!AP10</f>
        <v>11024</v>
      </c>
      <c r="AQ24" s="3">
        <f>Materials!AQ10</f>
        <v>11024</v>
      </c>
      <c r="AR24" s="3">
        <f>Materials!AR10</f>
        <v>11024</v>
      </c>
      <c r="AS24" s="3">
        <f t="shared" si="5"/>
        <v>132288</v>
      </c>
    </row>
    <row r="25" spans="1:45">
      <c r="A25" s="56" t="s">
        <v>240</v>
      </c>
      <c r="B25" s="57" t="str">
        <f>'P&amp;L$'!B26</f>
        <v>Stores materials</v>
      </c>
      <c r="C25" s="3">
        <f>Materials!C11</f>
        <v>4500</v>
      </c>
      <c r="D25" s="3">
        <f>Materials!D11</f>
        <v>4500</v>
      </c>
      <c r="E25" s="3">
        <f>Materials!E11</f>
        <v>4500</v>
      </c>
      <c r="F25" s="3">
        <f>Materials!F11</f>
        <v>4500</v>
      </c>
      <c r="G25" s="3">
        <f>Materials!G11</f>
        <v>4500</v>
      </c>
      <c r="H25" s="3">
        <f>Materials!H11</f>
        <v>4500</v>
      </c>
      <c r="I25" s="3">
        <f>Materials!I11</f>
        <v>4500</v>
      </c>
      <c r="J25" s="3">
        <f>Materials!J11</f>
        <v>4500</v>
      </c>
      <c r="K25" s="3">
        <f>Materials!K11</f>
        <v>4500</v>
      </c>
      <c r="L25" s="3">
        <f>Materials!L11</f>
        <v>4500</v>
      </c>
      <c r="M25" s="3">
        <f>Materials!M11</f>
        <v>4500</v>
      </c>
      <c r="N25" s="3">
        <f>Materials!N11</f>
        <v>4500</v>
      </c>
      <c r="O25" s="3">
        <f t="shared" si="3"/>
        <v>54000</v>
      </c>
      <c r="Q25" s="57"/>
      <c r="R25" s="3">
        <f>Materials!R11</f>
        <v>4680</v>
      </c>
      <c r="S25" s="3">
        <f>Materials!S11</f>
        <v>4680</v>
      </c>
      <c r="T25" s="3">
        <f>Materials!T11</f>
        <v>4680</v>
      </c>
      <c r="U25" s="3">
        <f>Materials!U11</f>
        <v>4680</v>
      </c>
      <c r="V25" s="3">
        <f>Materials!V11</f>
        <v>4680</v>
      </c>
      <c r="W25" s="3">
        <f>Materials!W11</f>
        <v>4680</v>
      </c>
      <c r="X25" s="3">
        <f>Materials!X11</f>
        <v>4680</v>
      </c>
      <c r="Y25" s="3">
        <f>Materials!Y11</f>
        <v>4680</v>
      </c>
      <c r="Z25" s="3">
        <f>Materials!Z11</f>
        <v>4680</v>
      </c>
      <c r="AA25" s="3">
        <f>Materials!AA11</f>
        <v>4680</v>
      </c>
      <c r="AB25" s="3">
        <f>Materials!AB11</f>
        <v>4680</v>
      </c>
      <c r="AC25" s="3">
        <f>Materials!AC11</f>
        <v>4680</v>
      </c>
      <c r="AD25" s="3">
        <f t="shared" si="4"/>
        <v>56160</v>
      </c>
      <c r="AF25" s="57"/>
      <c r="AG25" s="3">
        <f>Materials!AG11</f>
        <v>4960.8</v>
      </c>
      <c r="AH25" s="3">
        <f>Materials!AH11</f>
        <v>4960.8</v>
      </c>
      <c r="AI25" s="3">
        <f>Materials!AI11</f>
        <v>4960.8</v>
      </c>
      <c r="AJ25" s="3">
        <f>Materials!AJ11</f>
        <v>4960.8</v>
      </c>
      <c r="AK25" s="3">
        <f>Materials!AK11</f>
        <v>4960.8</v>
      </c>
      <c r="AL25" s="3">
        <f>Materials!AL11</f>
        <v>4960.8</v>
      </c>
      <c r="AM25" s="3">
        <f>Materials!AM11</f>
        <v>4960.8</v>
      </c>
      <c r="AN25" s="3">
        <f>Materials!AN11</f>
        <v>4960.8</v>
      </c>
      <c r="AO25" s="3">
        <f>Materials!AO11</f>
        <v>4960.8</v>
      </c>
      <c r="AP25" s="3">
        <f>Materials!AP11</f>
        <v>4960.8</v>
      </c>
      <c r="AQ25" s="3">
        <f>Materials!AQ11</f>
        <v>4960.8</v>
      </c>
      <c r="AR25" s="3">
        <f>Materials!AR11</f>
        <v>4960.8</v>
      </c>
      <c r="AS25" s="3">
        <f t="shared" si="5"/>
        <v>59529.600000000013</v>
      </c>
    </row>
    <row r="26" spans="1:45">
      <c r="A26" s="56" t="s">
        <v>242</v>
      </c>
      <c r="B26" s="57" t="str">
        <f>'P&amp;L$'!B27</f>
        <v>Industrial water</v>
      </c>
      <c r="C26" s="21">
        <f>SiteServices!C12</f>
        <v>72968.727800160006</v>
      </c>
      <c r="D26" s="21">
        <f>SiteServices!D12</f>
        <v>73070.741200320001</v>
      </c>
      <c r="E26" s="21">
        <f>SiteServices!E12</f>
        <v>77237.907633840005</v>
      </c>
      <c r="F26" s="21">
        <f>SiteServices!F12</f>
        <v>81416.408889600018</v>
      </c>
      <c r="G26" s="21">
        <f>SiteServices!G12</f>
        <v>81529.757112000021</v>
      </c>
      <c r="H26" s="21">
        <f>SiteServices!H12</f>
        <v>89807.415867840027</v>
      </c>
      <c r="I26" s="21">
        <f>SiteServices!I12</f>
        <v>91984.689280440027</v>
      </c>
      <c r="J26" s="21">
        <f>SiteServices!J12</f>
        <v>96299.137066240044</v>
      </c>
      <c r="K26" s="21">
        <f>SiteServices!K12</f>
        <v>92239.746846280046</v>
      </c>
      <c r="L26" s="21">
        <f>SiteServices!L12</f>
        <v>92367.275629200056</v>
      </c>
      <c r="M26" s="21">
        <f>SiteServices!M12</f>
        <v>84086.185829200054</v>
      </c>
      <c r="N26" s="21">
        <f>SiteServices!N12</f>
        <v>75781.908977760046</v>
      </c>
      <c r="O26" s="3">
        <f t="shared" si="3"/>
        <v>1008789.9021328803</v>
      </c>
      <c r="Q26" s="57"/>
      <c r="R26" s="21">
        <f>SiteServices!Q12</f>
        <v>74090.875201920047</v>
      </c>
      <c r="S26" s="21">
        <f>SiteServices!R12</f>
        <v>74399.587181928044</v>
      </c>
      <c r="T26" s="21">
        <f>SiteServices!S12</f>
        <v>78858.760226488055</v>
      </c>
      <c r="U26" s="21">
        <f>SiteServices!T12</f>
        <v>83352.234602160053</v>
      </c>
      <c r="V26" s="21">
        <f>SiteServices!U12</f>
        <v>83695.247913280051</v>
      </c>
      <c r="W26" s="21">
        <f>SiteServices!V12</f>
        <v>92442.087346840053</v>
      </c>
      <c r="X26" s="21">
        <f>SiteServices!W12</f>
        <v>94937.891524916049</v>
      </c>
      <c r="Y26" s="21">
        <f>SiteServices!X12</f>
        <v>99656.718727466374</v>
      </c>
      <c r="Z26" s="21">
        <f>SiteServices!Y12</f>
        <v>95709.744301541374</v>
      </c>
      <c r="AA26" s="21">
        <f>SiteServices!Z12</f>
        <v>96095.670689854043</v>
      </c>
      <c r="AB26" s="21">
        <f>SiteServices!AA12</f>
        <v>87710.542798333365</v>
      </c>
      <c r="AC26" s="21">
        <f>SiteServices!AB12</f>
        <v>79255.246472574028</v>
      </c>
      <c r="AD26" s="3">
        <f t="shared" si="4"/>
        <v>1040204.6069873016</v>
      </c>
      <c r="AF26" s="57"/>
      <c r="AG26" s="21">
        <f>SiteServices!AE12</f>
        <v>78119.566541024426</v>
      </c>
      <c r="AH26" s="21">
        <f>SiteServices!AF12</f>
        <v>78443.714120032833</v>
      </c>
      <c r="AI26" s="21">
        <f>SiteServices!AG12</f>
        <v>83143.854015654637</v>
      </c>
      <c r="AJ26" s="21">
        <f>SiteServices!AH12</f>
        <v>87880.010308944038</v>
      </c>
      <c r="AK26" s="21">
        <f>SiteServices!AI12</f>
        <v>88240.174285620029</v>
      </c>
      <c r="AL26" s="21">
        <f>SiteServices!AJ12</f>
        <v>97460.372088525633</v>
      </c>
      <c r="AM26" s="21">
        <f>SiteServices!AK12</f>
        <v>100090.00880889014</v>
      </c>
      <c r="AN26" s="21">
        <f>SiteServices!AL12</f>
        <v>105063.19658555565</v>
      </c>
      <c r="AO26" s="21">
        <f>SiteServices!AM12</f>
        <v>100900.45422434674</v>
      </c>
      <c r="AP26" s="21">
        <f>SiteServices!AN12</f>
        <v>101305.67693207505</v>
      </c>
      <c r="AQ26" s="21">
        <f>SiteServices!AO12</f>
        <v>92464.45421800304</v>
      </c>
      <c r="AR26" s="21">
        <f>SiteServices!AP12</f>
        <v>83549.554647980432</v>
      </c>
      <c r="AS26" s="3">
        <f t="shared" si="5"/>
        <v>1096661.0367766528</v>
      </c>
    </row>
    <row r="27" spans="1:45">
      <c r="A27" s="56" t="s">
        <v>243</v>
      </c>
      <c r="B27" s="57" t="str">
        <f>'P&amp;L$'!B28</f>
        <v>Drinking water</v>
      </c>
      <c r="C27" s="21">
        <f>SiteServices!C18</f>
        <v>198.47792741693658</v>
      </c>
      <c r="D27" s="21">
        <f>SiteServices!D18</f>
        <v>198.7554080424446</v>
      </c>
      <c r="E27" s="21">
        <f>SiteServices!E18</f>
        <v>199.03288866795262</v>
      </c>
      <c r="F27" s="21">
        <f>SiteServices!F18</f>
        <v>199.31036929346061</v>
      </c>
      <c r="G27" s="21">
        <f>SiteServices!G18</f>
        <v>199.58784991896863</v>
      </c>
      <c r="H27" s="21">
        <f>SiteServices!H18</f>
        <v>199.86533054447665</v>
      </c>
      <c r="I27" s="21">
        <f>SiteServices!I18</f>
        <v>204.73324261883749</v>
      </c>
      <c r="J27" s="21">
        <f>SiteServices!J18</f>
        <v>205.01708747887551</v>
      </c>
      <c r="K27" s="21">
        <f>SiteServices!K18</f>
        <v>205.30093233891353</v>
      </c>
      <c r="L27" s="21">
        <f>SiteServices!L18</f>
        <v>205.58477719895154</v>
      </c>
      <c r="M27" s="21">
        <f>SiteServices!M18</f>
        <v>205.86862205898953</v>
      </c>
      <c r="N27" s="21">
        <f>SiteServices!N18</f>
        <v>206.15246691902755</v>
      </c>
      <c r="O27" s="3">
        <f t="shared" si="3"/>
        <v>2427.6869024978346</v>
      </c>
      <c r="Q27" s="57"/>
      <c r="R27" s="21">
        <f>SiteServices!Q18</f>
        <v>201.53021429752471</v>
      </c>
      <c r="S27" s="21">
        <f>SiteServices!R18</f>
        <v>202.36992352376441</v>
      </c>
      <c r="T27" s="21">
        <f>SiteServices!S18</f>
        <v>203.20963275000409</v>
      </c>
      <c r="U27" s="21">
        <f>SiteServices!T18</f>
        <v>204.04934197624377</v>
      </c>
      <c r="V27" s="21">
        <f>SiteServices!U18</f>
        <v>204.88905120248344</v>
      </c>
      <c r="W27" s="21">
        <f>SiteServices!V18</f>
        <v>205.72876042872312</v>
      </c>
      <c r="X27" s="21">
        <f>SiteServices!W18</f>
        <v>211.3062785920032</v>
      </c>
      <c r="Y27" s="21">
        <f>SiteServices!X18</f>
        <v>212.16524720416581</v>
      </c>
      <c r="Z27" s="21">
        <f>SiteServices!Y18</f>
        <v>213.02421581632842</v>
      </c>
      <c r="AA27" s="21">
        <f>SiteServices!Z18</f>
        <v>213.88318442849103</v>
      </c>
      <c r="AB27" s="21">
        <f>SiteServices!AA18</f>
        <v>214.74215304065365</v>
      </c>
      <c r="AC27" s="21">
        <f>SiteServices!AB18</f>
        <v>215.60112165281626</v>
      </c>
      <c r="AD27" s="3">
        <f t="shared" si="4"/>
        <v>2502.4991249132017</v>
      </c>
      <c r="AF27" s="57"/>
      <c r="AG27" s="21">
        <f>SiteServices!AE18</f>
        <v>212.48841969995254</v>
      </c>
      <c r="AH27" s="21">
        <f>SiteServices!AF18</f>
        <v>213.37011438750423</v>
      </c>
      <c r="AI27" s="21">
        <f>SiteServices!AG18</f>
        <v>214.25180907505589</v>
      </c>
      <c r="AJ27" s="21">
        <f>SiteServices!AH18</f>
        <v>215.13350376260757</v>
      </c>
      <c r="AK27" s="21">
        <f>SiteServices!AI18</f>
        <v>216.01519845015923</v>
      </c>
      <c r="AL27" s="21">
        <f>SiteServices!AJ18</f>
        <v>216.89689313771092</v>
      </c>
      <c r="AM27" s="21">
        <f>SiteServices!AK18</f>
        <v>222.77350956437408</v>
      </c>
      <c r="AN27" s="21">
        <f>SiteServices!AL18</f>
        <v>223.67542660714483</v>
      </c>
      <c r="AO27" s="21">
        <f>SiteServices!AM18</f>
        <v>224.57734364991558</v>
      </c>
      <c r="AP27" s="21">
        <f>SiteServices!AN18</f>
        <v>225.47926069268632</v>
      </c>
      <c r="AQ27" s="21">
        <f>SiteServices!AO18</f>
        <v>226.38117773545707</v>
      </c>
      <c r="AR27" s="21">
        <f>SiteServices!AP18</f>
        <v>227.28309477822782</v>
      </c>
      <c r="AS27" s="3">
        <f t="shared" si="5"/>
        <v>2638.3257515407963</v>
      </c>
    </row>
    <row r="28" spans="1:45">
      <c r="A28" s="56" t="s">
        <v>245</v>
      </c>
      <c r="B28" s="57" t="str">
        <f>'P&amp;L$'!B29</f>
        <v>Condensate</v>
      </c>
      <c r="C28" s="21">
        <f>SiteServices!C38</f>
        <v>7092.0301612799994</v>
      </c>
      <c r="D28" s="21">
        <f>SiteServices!D38</f>
        <v>5326.4588419199999</v>
      </c>
      <c r="E28" s="21">
        <f>SiteServices!E38</f>
        <v>6578.4705775520006</v>
      </c>
      <c r="F28" s="21">
        <f>SiteServices!F38</f>
        <v>4451.109403200001</v>
      </c>
      <c r="G28" s="21">
        <f>SiteServices!G38</f>
        <v>891.46125080000024</v>
      </c>
      <c r="H28" s="21">
        <f>SiteServices!H38</f>
        <v>892.70062096000026</v>
      </c>
      <c r="I28" s="21">
        <f>SiteServices!I38</f>
        <v>913.46780646000036</v>
      </c>
      <c r="J28" s="21">
        <f>SiteServices!J38</f>
        <v>914.73425024000039</v>
      </c>
      <c r="K28" s="21">
        <f>SiteServices!K38</f>
        <v>1832.0013880400008</v>
      </c>
      <c r="L28" s="21">
        <f>SiteServices!L38</f>
        <v>3669.0685512000018</v>
      </c>
      <c r="M28" s="21">
        <f>SiteServices!M38</f>
        <v>4592.6679079000032</v>
      </c>
      <c r="N28" s="21">
        <f>SiteServices!N38</f>
        <v>6438.6001775200048</v>
      </c>
      <c r="O28" s="3">
        <f t="shared" si="3"/>
        <v>43592.770937072011</v>
      </c>
      <c r="Q28" s="57"/>
      <c r="R28" s="21">
        <f>SiteServices!Q38</f>
        <v>7231.0992967573384</v>
      </c>
      <c r="S28" s="21">
        <f>SiteServices!R38</f>
        <v>5445.8278936160032</v>
      </c>
      <c r="T28" s="21">
        <f>SiteServices!S38</f>
        <v>6744.2752880856033</v>
      </c>
      <c r="U28" s="21">
        <f>SiteServices!T38</f>
        <v>4575.6956130933359</v>
      </c>
      <c r="V28" s="21">
        <f>SiteServices!U38</f>
        <v>918.88969279333378</v>
      </c>
      <c r="W28" s="21">
        <f>SiteServices!V38</f>
        <v>922.64026296800046</v>
      </c>
      <c r="X28" s="21">
        <f>SiteServices!W38</f>
        <v>946.62752609966708</v>
      </c>
      <c r="Y28" s="21">
        <f>SiteServices!X38</f>
        <v>950.46002620533375</v>
      </c>
      <c r="Z28" s="21">
        <f>SiteServices!Y38</f>
        <v>1908.5850526220008</v>
      </c>
      <c r="AA28" s="21">
        <f>SiteServices!Z38</f>
        <v>3832.5001056666683</v>
      </c>
      <c r="AB28" s="21">
        <f>SiteServices!AA38</f>
        <v>4809.7876326116684</v>
      </c>
      <c r="AC28" s="21">
        <f>SiteServices!AB38</f>
        <v>6760.5301863960021</v>
      </c>
      <c r="AD28" s="3">
        <f t="shared" si="4"/>
        <v>45046.918576914963</v>
      </c>
      <c r="AF28" s="57"/>
      <c r="AG28" s="21">
        <f>SiteServices!AE38</f>
        <v>7592.654261595203</v>
      </c>
      <c r="AH28" s="21">
        <f>SiteServices!AF38</f>
        <v>5718.1192882968016</v>
      </c>
      <c r="AI28" s="21">
        <f>SiteServices!AG38</f>
        <v>7081.4890524898819</v>
      </c>
      <c r="AJ28" s="21">
        <f>SiteServices!AH38</f>
        <v>4804.4803937480019</v>
      </c>
      <c r="AK28" s="21">
        <f>SiteServices!AI38</f>
        <v>964.83417743300038</v>
      </c>
      <c r="AL28" s="21">
        <f>SiteServices!AJ38</f>
        <v>968.77227611640035</v>
      </c>
      <c r="AM28" s="21">
        <f>SiteServices!AK38</f>
        <v>993.95890240465042</v>
      </c>
      <c r="AN28" s="21">
        <f>SiteServices!AL38</f>
        <v>997.98302751560038</v>
      </c>
      <c r="AO28" s="21">
        <f>SiteServices!AM38</f>
        <v>2004.0143052531009</v>
      </c>
      <c r="AP28" s="21">
        <f>SiteServices!AN38</f>
        <v>4024.1251109500017</v>
      </c>
      <c r="AQ28" s="21">
        <f>SiteServices!AO38</f>
        <v>5050.2770142422523</v>
      </c>
      <c r="AR28" s="21">
        <f>SiteServices!AP38</f>
        <v>7098.5566957158035</v>
      </c>
      <c r="AS28" s="3">
        <f t="shared" si="5"/>
        <v>47299.264505760701</v>
      </c>
    </row>
    <row r="29" spans="1:45">
      <c r="A29" s="56" t="s">
        <v>246</v>
      </c>
      <c r="B29" s="57" t="str">
        <f>'P&amp;L$'!B30</f>
        <v>Other materials</v>
      </c>
      <c r="C29" s="21">
        <f>Materials!C12</f>
        <v>3200</v>
      </c>
      <c r="D29" s="21">
        <f>Materials!D12</f>
        <v>3200</v>
      </c>
      <c r="E29" s="21">
        <f>Materials!E12</f>
        <v>3200</v>
      </c>
      <c r="F29" s="21">
        <f>Materials!F12</f>
        <v>3200</v>
      </c>
      <c r="G29" s="21">
        <f>Materials!G12</f>
        <v>3200</v>
      </c>
      <c r="H29" s="21">
        <f>Materials!H12</f>
        <v>3200</v>
      </c>
      <c r="I29" s="21">
        <f>Materials!I12</f>
        <v>3200</v>
      </c>
      <c r="J29" s="21">
        <f>Materials!J12</f>
        <v>3200</v>
      </c>
      <c r="K29" s="21">
        <f>Materials!K12</f>
        <v>3200</v>
      </c>
      <c r="L29" s="21">
        <f>Materials!L12</f>
        <v>3200</v>
      </c>
      <c r="M29" s="21">
        <f>Materials!M12</f>
        <v>3200</v>
      </c>
      <c r="N29" s="21">
        <f>Materials!N12</f>
        <v>3200</v>
      </c>
      <c r="O29" s="3">
        <f t="shared" si="3"/>
        <v>38400</v>
      </c>
      <c r="Q29" s="57"/>
      <c r="R29" s="21">
        <f>Materials!R12</f>
        <v>3328</v>
      </c>
      <c r="S29" s="21">
        <f>Materials!S12</f>
        <v>3328</v>
      </c>
      <c r="T29" s="21">
        <f>Materials!T12</f>
        <v>3328</v>
      </c>
      <c r="U29" s="21">
        <f>Materials!U12</f>
        <v>3328</v>
      </c>
      <c r="V29" s="21">
        <f>Materials!V12</f>
        <v>3328</v>
      </c>
      <c r="W29" s="21">
        <f>Materials!W12</f>
        <v>3328</v>
      </c>
      <c r="X29" s="21">
        <f>Materials!X12</f>
        <v>3328</v>
      </c>
      <c r="Y29" s="21">
        <f>Materials!Y12</f>
        <v>3328</v>
      </c>
      <c r="Z29" s="21">
        <f>Materials!Z12</f>
        <v>3328</v>
      </c>
      <c r="AA29" s="21">
        <f>Materials!AA12</f>
        <v>3328</v>
      </c>
      <c r="AB29" s="21">
        <f>Materials!AB12</f>
        <v>3328</v>
      </c>
      <c r="AC29" s="21">
        <f>Materials!AC12</f>
        <v>3328</v>
      </c>
      <c r="AD29" s="3">
        <f t="shared" si="4"/>
        <v>39936</v>
      </c>
      <c r="AF29" s="57"/>
      <c r="AG29" s="21">
        <f>Materials!AG12</f>
        <v>3527.6800000000003</v>
      </c>
      <c r="AH29" s="21">
        <f>Materials!AH12</f>
        <v>3527.6800000000003</v>
      </c>
      <c r="AI29" s="21">
        <f>Materials!AI12</f>
        <v>3527.6800000000003</v>
      </c>
      <c r="AJ29" s="21">
        <f>Materials!AJ12</f>
        <v>3527.6800000000003</v>
      </c>
      <c r="AK29" s="21">
        <f>Materials!AK12</f>
        <v>3527.6800000000003</v>
      </c>
      <c r="AL29" s="21">
        <f>Materials!AL12</f>
        <v>3527.6800000000003</v>
      </c>
      <c r="AM29" s="21">
        <f>Materials!AM12</f>
        <v>3527.6800000000003</v>
      </c>
      <c r="AN29" s="21">
        <f>Materials!AN12</f>
        <v>3527.6800000000003</v>
      </c>
      <c r="AO29" s="21">
        <f>Materials!AO12</f>
        <v>3527.6800000000003</v>
      </c>
      <c r="AP29" s="21">
        <f>Materials!AP12</f>
        <v>3527.6800000000003</v>
      </c>
      <c r="AQ29" s="21">
        <f>Materials!AQ12</f>
        <v>3527.6800000000003</v>
      </c>
      <c r="AR29" s="21">
        <f>Materials!AR12</f>
        <v>3527.6800000000003</v>
      </c>
      <c r="AS29" s="3">
        <f t="shared" si="5"/>
        <v>42332.160000000003</v>
      </c>
    </row>
    <row r="30" spans="1:45">
      <c r="A30" s="54" t="s">
        <v>248</v>
      </c>
      <c r="B30" s="57" t="str">
        <f>'P&amp;L$'!B31</f>
        <v>Transport costs</v>
      </c>
      <c r="C30" s="21">
        <f>Materials!C17</f>
        <v>6800</v>
      </c>
      <c r="D30" s="21">
        <f>Materials!D17</f>
        <v>6800</v>
      </c>
      <c r="E30" s="21">
        <f>Materials!E17</f>
        <v>6800</v>
      </c>
      <c r="F30" s="21">
        <f>Materials!F17</f>
        <v>6800</v>
      </c>
      <c r="G30" s="21">
        <f>Materials!G17</f>
        <v>6800</v>
      </c>
      <c r="H30" s="21">
        <f>Materials!H17</f>
        <v>6800</v>
      </c>
      <c r="I30" s="21">
        <f>Materials!I17</f>
        <v>6800</v>
      </c>
      <c r="J30" s="21">
        <f>Materials!J17</f>
        <v>6800</v>
      </c>
      <c r="K30" s="21">
        <f>Materials!K17</f>
        <v>6800</v>
      </c>
      <c r="L30" s="21">
        <f>Materials!L17</f>
        <v>6800</v>
      </c>
      <c r="M30" s="21">
        <f>Materials!M17</f>
        <v>6800</v>
      </c>
      <c r="N30" s="21">
        <f>Materials!N17</f>
        <v>6800</v>
      </c>
      <c r="O30" s="3">
        <f t="shared" si="3"/>
        <v>81600</v>
      </c>
      <c r="Q30" s="55"/>
      <c r="R30" s="21">
        <f>Materials!R17</f>
        <v>7072</v>
      </c>
      <c r="S30" s="21">
        <f>Materials!S17</f>
        <v>7072</v>
      </c>
      <c r="T30" s="21">
        <f>Materials!T17</f>
        <v>7072</v>
      </c>
      <c r="U30" s="21">
        <f>Materials!U17</f>
        <v>7072</v>
      </c>
      <c r="V30" s="21">
        <f>Materials!V17</f>
        <v>7072</v>
      </c>
      <c r="W30" s="21">
        <f>Materials!W17</f>
        <v>7072</v>
      </c>
      <c r="X30" s="21">
        <f>Materials!X17</f>
        <v>7072</v>
      </c>
      <c r="Y30" s="21">
        <f>Materials!Y17</f>
        <v>7072</v>
      </c>
      <c r="Z30" s="21">
        <f>Materials!Z17</f>
        <v>7072</v>
      </c>
      <c r="AA30" s="21">
        <f>Materials!AA17</f>
        <v>7072</v>
      </c>
      <c r="AB30" s="21">
        <f>Materials!AB17</f>
        <v>7072</v>
      </c>
      <c r="AC30" s="21">
        <f>Materials!AC17</f>
        <v>7072</v>
      </c>
      <c r="AD30" s="3">
        <f t="shared" si="4"/>
        <v>84864</v>
      </c>
      <c r="AF30" s="55"/>
      <c r="AG30" s="21">
        <f>Materials!AG17</f>
        <v>7496.3200000000006</v>
      </c>
      <c r="AH30" s="21">
        <f>Materials!AH17</f>
        <v>7496.3200000000006</v>
      </c>
      <c r="AI30" s="21">
        <f>Materials!AI17</f>
        <v>7496.3200000000006</v>
      </c>
      <c r="AJ30" s="21">
        <f>Materials!AJ17</f>
        <v>7496.3200000000006</v>
      </c>
      <c r="AK30" s="21">
        <f>Materials!AK17</f>
        <v>7496.3200000000006</v>
      </c>
      <c r="AL30" s="21">
        <f>Materials!AL17</f>
        <v>7496.3200000000006</v>
      </c>
      <c r="AM30" s="21">
        <f>Materials!AM17</f>
        <v>7496.3200000000006</v>
      </c>
      <c r="AN30" s="21">
        <f>Materials!AN17</f>
        <v>7496.3200000000006</v>
      </c>
      <c r="AO30" s="21">
        <f>Materials!AO17</f>
        <v>7496.3200000000006</v>
      </c>
      <c r="AP30" s="21">
        <f>Materials!AP17</f>
        <v>7496.3200000000006</v>
      </c>
      <c r="AQ30" s="21">
        <f>Materials!AQ17</f>
        <v>7496.3200000000006</v>
      </c>
      <c r="AR30" s="21">
        <f>Materials!AR17</f>
        <v>7496.3200000000006</v>
      </c>
      <c r="AS30" s="3">
        <f t="shared" si="5"/>
        <v>89955.840000000026</v>
      </c>
    </row>
    <row r="31" spans="1:45" ht="13.5" thickBot="1">
      <c r="A31" s="20"/>
      <c r="B31" s="136" t="s">
        <v>97</v>
      </c>
      <c r="C31" s="19">
        <f>SUM(C19:C30)</f>
        <v>11051945.299669486</v>
      </c>
      <c r="D31" s="19">
        <f t="shared" ref="D31:O31" si="6">SUM(D19:D30)</f>
        <v>10039285.166365232</v>
      </c>
      <c r="E31" s="19">
        <f t="shared" si="6"/>
        <v>10885962.018786708</v>
      </c>
      <c r="F31" s="19">
        <f t="shared" si="6"/>
        <v>9977204.5218808763</v>
      </c>
      <c r="G31" s="19">
        <f t="shared" si="6"/>
        <v>10039129.132187121</v>
      </c>
      <c r="H31" s="19">
        <f t="shared" si="6"/>
        <v>9859565.8443509061</v>
      </c>
      <c r="I31" s="19">
        <f t="shared" si="6"/>
        <v>10855400.253661036</v>
      </c>
      <c r="J31" s="19">
        <f t="shared" si="6"/>
        <v>10544091.471407751</v>
      </c>
      <c r="K31" s="19">
        <f t="shared" si="6"/>
        <v>10337387.699462626</v>
      </c>
      <c r="L31" s="19">
        <f t="shared" si="6"/>
        <v>11708515.052427832</v>
      </c>
      <c r="M31" s="19">
        <f t="shared" si="6"/>
        <v>10703514.711329894</v>
      </c>
      <c r="N31" s="19">
        <f t="shared" si="6"/>
        <v>10927103.459821438</v>
      </c>
      <c r="O31" s="19">
        <f t="shared" si="6"/>
        <v>126929104.6313509</v>
      </c>
      <c r="Q31" s="20"/>
      <c r="R31" s="19">
        <f t="shared" ref="R31:AD31" si="7">SUM(R19:R30)</f>
        <v>11589766.342350559</v>
      </c>
      <c r="S31" s="19">
        <f t="shared" si="7"/>
        <v>10557514.537568126</v>
      </c>
      <c r="T31" s="19">
        <f t="shared" si="7"/>
        <v>11471668.48175177</v>
      </c>
      <c r="U31" s="19">
        <f t="shared" si="7"/>
        <v>10640645.008718317</v>
      </c>
      <c r="V31" s="19">
        <f t="shared" si="7"/>
        <v>10738069.475415386</v>
      </c>
      <c r="W31" s="19">
        <f t="shared" si="7"/>
        <v>10575504.24600048</v>
      </c>
      <c r="X31" s="19">
        <f t="shared" si="7"/>
        <v>11345704.240971364</v>
      </c>
      <c r="Y31" s="19">
        <f t="shared" si="7"/>
        <v>11047955.523124957</v>
      </c>
      <c r="Z31" s="19">
        <f t="shared" si="7"/>
        <v>10855011.851866826</v>
      </c>
      <c r="AA31" s="19">
        <f t="shared" si="7"/>
        <v>12414957.427273979</v>
      </c>
      <c r="AB31" s="19">
        <f t="shared" si="7"/>
        <v>11583796.47305795</v>
      </c>
      <c r="AC31" s="19">
        <f t="shared" si="7"/>
        <v>11855008.63628271</v>
      </c>
      <c r="AD31" s="19">
        <f t="shared" si="7"/>
        <v>134675602.24438247</v>
      </c>
      <c r="AF31" s="20"/>
      <c r="AG31" s="19">
        <f t="shared" ref="AG31:AS31" si="8">SUM(AG19:AG30)</f>
        <v>12167698.216241779</v>
      </c>
      <c r="AH31" s="19">
        <f t="shared" si="8"/>
        <v>11083729.821220227</v>
      </c>
      <c r="AI31" s="19">
        <f t="shared" si="8"/>
        <v>12043609.470811883</v>
      </c>
      <c r="AJ31" s="19">
        <f t="shared" si="8"/>
        <v>11171104.832325594</v>
      </c>
      <c r="AK31" s="19">
        <f t="shared" si="8"/>
        <v>11273400.522357518</v>
      </c>
      <c r="AL31" s="19">
        <f t="shared" si="8"/>
        <v>11102847.047869535</v>
      </c>
      <c r="AM31" s="19">
        <f t="shared" si="8"/>
        <v>11911566.105144704</v>
      </c>
      <c r="AN31" s="19">
        <f t="shared" si="8"/>
        <v>11598948.370619969</v>
      </c>
      <c r="AO31" s="19">
        <f t="shared" si="8"/>
        <v>11396339.096584938</v>
      </c>
      <c r="AP31" s="19">
        <f t="shared" si="8"/>
        <v>13034229.950762449</v>
      </c>
      <c r="AQ31" s="19">
        <f t="shared" si="8"/>
        <v>12161474.110407645</v>
      </c>
      <c r="AR31" s="19">
        <f t="shared" si="8"/>
        <v>12446158.043365669</v>
      </c>
      <c r="AS31" s="19">
        <f t="shared" si="8"/>
        <v>141391105.5877119</v>
      </c>
    </row>
    <row r="32" spans="1:45" ht="13.5" thickTop="1">
      <c r="A32" s="20"/>
      <c r="B32" s="19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0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F32" s="20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</row>
    <row r="33" spans="1:45">
      <c r="A33" s="20"/>
      <c r="B33" s="19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0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F33" s="20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>
      <c r="A34" s="20"/>
      <c r="B34" s="316"/>
      <c r="C34" s="3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58"/>
      <c r="R34" s="22" t="s">
        <v>117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F34" s="58"/>
      <c r="AG34" s="22" t="s">
        <v>117</v>
      </c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>
      <c r="A35" s="54" t="s">
        <v>228</v>
      </c>
      <c r="B35" s="55" t="str">
        <f>'P&amp;L$'!B36</f>
        <v>DEPRECIATION</v>
      </c>
      <c r="C35" s="21">
        <f>Depreciation!B31</f>
        <v>2939640.9700000007</v>
      </c>
      <c r="D35" s="21">
        <f>Depreciation!C31</f>
        <v>2940344.0774916671</v>
      </c>
      <c r="E35" s="21">
        <f>Depreciation!D31</f>
        <v>2940344.0774916671</v>
      </c>
      <c r="F35" s="21">
        <f>Depreciation!E31</f>
        <v>2940523.852194048</v>
      </c>
      <c r="G35" s="21">
        <f>Depreciation!F31</f>
        <v>2940523.852194048</v>
      </c>
      <c r="H35" s="21">
        <f>Depreciation!G31</f>
        <v>2940523.852194048</v>
      </c>
      <c r="I35" s="21">
        <f>Depreciation!H31</f>
        <v>2940835.6575511904</v>
      </c>
      <c r="J35" s="21">
        <f>Depreciation!I31</f>
        <v>2940835.6575511904</v>
      </c>
      <c r="K35" s="21">
        <f>Depreciation!J31</f>
        <v>2940835.6575511904</v>
      </c>
      <c r="L35" s="21">
        <f>Depreciation!K31</f>
        <v>2940835.6575511904</v>
      </c>
      <c r="M35" s="21">
        <f>Depreciation!L31</f>
        <v>2940835.6575511904</v>
      </c>
      <c r="N35" s="21">
        <f>Depreciation!M31</f>
        <v>2940835.6575511904</v>
      </c>
      <c r="O35" s="3">
        <f>SUM(C35:N35)</f>
        <v>35286914.626872629</v>
      </c>
      <c r="Q35" s="55"/>
      <c r="R35" s="21">
        <f>Depreciation!Q31</f>
        <v>0</v>
      </c>
      <c r="S35" s="21">
        <f>Depreciation!R31</f>
        <v>0</v>
      </c>
      <c r="T35" s="21">
        <f>Depreciation!S31</f>
        <v>0</v>
      </c>
      <c r="U35" s="21">
        <f>Depreciation!T31</f>
        <v>0</v>
      </c>
      <c r="V35" s="21">
        <f>Depreciation!U31</f>
        <v>0</v>
      </c>
      <c r="W35" s="21">
        <f>Depreciation!V31</f>
        <v>0</v>
      </c>
      <c r="X35" s="21">
        <f>Depreciation!W31</f>
        <v>0</v>
      </c>
      <c r="Y35" s="21">
        <f>Depreciation!X31</f>
        <v>0</v>
      </c>
      <c r="Z35" s="21">
        <f>Depreciation!Y31</f>
        <v>0</v>
      </c>
      <c r="AA35" s="21">
        <f>Depreciation!Z31</f>
        <v>0</v>
      </c>
      <c r="AB35" s="21">
        <f>Depreciation!AA31</f>
        <v>0</v>
      </c>
      <c r="AC35" s="21">
        <f>Depreciation!AB31</f>
        <v>0</v>
      </c>
      <c r="AD35" s="3">
        <f>SUM(R35:AC35)</f>
        <v>0</v>
      </c>
      <c r="AF35" s="55"/>
      <c r="AG35" s="21">
        <f>Depreciation!AF31</f>
        <v>0</v>
      </c>
      <c r="AH35" s="21">
        <f>Depreciation!AG31</f>
        <v>0</v>
      </c>
      <c r="AI35" s="21">
        <f>Depreciation!AH31</f>
        <v>0</v>
      </c>
      <c r="AJ35" s="21">
        <f>Depreciation!AI31</f>
        <v>0</v>
      </c>
      <c r="AK35" s="21">
        <f>Depreciation!AJ31</f>
        <v>0</v>
      </c>
      <c r="AL35" s="21">
        <f>Depreciation!AK31</f>
        <v>0</v>
      </c>
      <c r="AM35" s="21">
        <f>Depreciation!AL31</f>
        <v>0</v>
      </c>
      <c r="AN35" s="21">
        <f>Depreciation!AM31</f>
        <v>0</v>
      </c>
      <c r="AO35" s="21">
        <f>Depreciation!AN31</f>
        <v>0</v>
      </c>
      <c r="AP35" s="21">
        <f>Depreciation!AO31</f>
        <v>0</v>
      </c>
      <c r="AQ35" s="21">
        <f>Depreciation!AP31</f>
        <v>0</v>
      </c>
      <c r="AR35" s="21">
        <f>Depreciation!AQ31</f>
        <v>0</v>
      </c>
      <c r="AS35" s="3">
        <f>SUM(AG35:AR35)</f>
        <v>0</v>
      </c>
    </row>
    <row r="36" spans="1:45" ht="13.5" thickBot="1">
      <c r="A36" s="20"/>
      <c r="B36" s="137" t="str">
        <f>'P&amp;L$'!B37</f>
        <v>Total</v>
      </c>
      <c r="C36" s="19">
        <f>C35</f>
        <v>2939640.9700000007</v>
      </c>
      <c r="D36" s="19">
        <f t="shared" ref="D36:O36" si="9">D35</f>
        <v>2940344.0774916671</v>
      </c>
      <c r="E36" s="19">
        <f t="shared" si="9"/>
        <v>2940344.0774916671</v>
      </c>
      <c r="F36" s="19">
        <f t="shared" si="9"/>
        <v>2940523.852194048</v>
      </c>
      <c r="G36" s="19">
        <f t="shared" si="9"/>
        <v>2940523.852194048</v>
      </c>
      <c r="H36" s="19">
        <f t="shared" si="9"/>
        <v>2940523.852194048</v>
      </c>
      <c r="I36" s="19">
        <f t="shared" si="9"/>
        <v>2940835.6575511904</v>
      </c>
      <c r="J36" s="19">
        <f t="shared" si="9"/>
        <v>2940835.6575511904</v>
      </c>
      <c r="K36" s="19">
        <f t="shared" si="9"/>
        <v>2940835.6575511904</v>
      </c>
      <c r="L36" s="19">
        <f t="shared" si="9"/>
        <v>2940835.6575511904</v>
      </c>
      <c r="M36" s="19">
        <f t="shared" si="9"/>
        <v>2940835.6575511904</v>
      </c>
      <c r="N36" s="19">
        <f t="shared" si="9"/>
        <v>2940835.6575511904</v>
      </c>
      <c r="O36" s="19">
        <f t="shared" si="9"/>
        <v>35286914.626872629</v>
      </c>
      <c r="Q36" s="49"/>
      <c r="R36" s="19">
        <f t="shared" ref="R36:AD36" si="10">R35</f>
        <v>0</v>
      </c>
      <c r="S36" s="19">
        <f t="shared" si="10"/>
        <v>0</v>
      </c>
      <c r="T36" s="19">
        <f t="shared" si="10"/>
        <v>0</v>
      </c>
      <c r="U36" s="19">
        <f t="shared" si="10"/>
        <v>0</v>
      </c>
      <c r="V36" s="19">
        <f t="shared" si="10"/>
        <v>0</v>
      </c>
      <c r="W36" s="19">
        <f t="shared" si="10"/>
        <v>0</v>
      </c>
      <c r="X36" s="19">
        <f t="shared" si="10"/>
        <v>0</v>
      </c>
      <c r="Y36" s="19">
        <f t="shared" si="10"/>
        <v>0</v>
      </c>
      <c r="Z36" s="19">
        <f t="shared" si="10"/>
        <v>0</v>
      </c>
      <c r="AA36" s="19">
        <f t="shared" si="10"/>
        <v>0</v>
      </c>
      <c r="AB36" s="19">
        <f t="shared" si="10"/>
        <v>0</v>
      </c>
      <c r="AC36" s="19">
        <f t="shared" si="10"/>
        <v>0</v>
      </c>
      <c r="AD36" s="19">
        <f t="shared" si="10"/>
        <v>0</v>
      </c>
      <c r="AF36" s="49"/>
      <c r="AG36" s="19">
        <f t="shared" ref="AG36:AS36" si="11">AG35</f>
        <v>0</v>
      </c>
      <c r="AH36" s="19">
        <f t="shared" si="11"/>
        <v>0</v>
      </c>
      <c r="AI36" s="19">
        <f t="shared" si="11"/>
        <v>0</v>
      </c>
      <c r="AJ36" s="19">
        <f t="shared" si="11"/>
        <v>0</v>
      </c>
      <c r="AK36" s="19">
        <f t="shared" si="11"/>
        <v>0</v>
      </c>
      <c r="AL36" s="19">
        <f t="shared" si="11"/>
        <v>0</v>
      </c>
      <c r="AM36" s="19">
        <f t="shared" si="11"/>
        <v>0</v>
      </c>
      <c r="AN36" s="19">
        <f t="shared" si="11"/>
        <v>0</v>
      </c>
      <c r="AO36" s="19">
        <f t="shared" si="11"/>
        <v>0</v>
      </c>
      <c r="AP36" s="19">
        <f t="shared" si="11"/>
        <v>0</v>
      </c>
      <c r="AQ36" s="19">
        <f t="shared" si="11"/>
        <v>0</v>
      </c>
      <c r="AR36" s="19">
        <f t="shared" si="11"/>
        <v>0</v>
      </c>
      <c r="AS36" s="19">
        <f t="shared" si="11"/>
        <v>0</v>
      </c>
    </row>
    <row r="37" spans="1:45" ht="13.5" thickTop="1">
      <c r="A37" s="20"/>
      <c r="B37" s="19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0"/>
      <c r="Q37" s="20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0"/>
      <c r="AF37" s="20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0"/>
    </row>
    <row r="38" spans="1:45">
      <c r="A38" s="56" t="s">
        <v>250</v>
      </c>
      <c r="B38" s="60" t="str">
        <f>'P&amp;L$'!B39</f>
        <v>TRANSMISSION FEE</v>
      </c>
      <c r="C38" s="21">
        <f>SiteServices!C44</f>
        <v>14000</v>
      </c>
      <c r="D38" s="21">
        <f>SiteServices!D44</f>
        <v>14000</v>
      </c>
      <c r="E38" s="21">
        <f>SiteServices!E44</f>
        <v>14000</v>
      </c>
      <c r="F38" s="21">
        <f>SiteServices!F44</f>
        <v>14000</v>
      </c>
      <c r="G38" s="21">
        <f>SiteServices!G44</f>
        <v>14000</v>
      </c>
      <c r="H38" s="21">
        <f>SiteServices!H44</f>
        <v>14000</v>
      </c>
      <c r="I38" s="21">
        <f>SiteServices!I44</f>
        <v>14000</v>
      </c>
      <c r="J38" s="21">
        <f>SiteServices!J44</f>
        <v>14000</v>
      </c>
      <c r="K38" s="21">
        <f>SiteServices!K44</f>
        <v>14000</v>
      </c>
      <c r="L38" s="21">
        <f>SiteServices!L44</f>
        <v>14000</v>
      </c>
      <c r="M38" s="21">
        <f>SiteServices!M44</f>
        <v>14000</v>
      </c>
      <c r="N38" s="21">
        <f>SiteServices!N44</f>
        <v>14000</v>
      </c>
      <c r="O38" s="3">
        <f>SUM(C38:N38)</f>
        <v>168000</v>
      </c>
      <c r="Q38" s="59"/>
      <c r="R38" s="21">
        <f>SiteServices!R44</f>
        <v>12521</v>
      </c>
      <c r="S38" s="21">
        <f>SiteServices!S44</f>
        <v>12521</v>
      </c>
      <c r="T38" s="21">
        <f>SiteServices!T44</f>
        <v>12521</v>
      </c>
      <c r="U38" s="21">
        <f>SiteServices!U44</f>
        <v>12521</v>
      </c>
      <c r="V38" s="21">
        <f>SiteServices!V44</f>
        <v>12521</v>
      </c>
      <c r="W38" s="21">
        <f>SiteServices!W44</f>
        <v>12521</v>
      </c>
      <c r="X38" s="21">
        <f>SiteServices!X44</f>
        <v>12521</v>
      </c>
      <c r="Y38" s="21">
        <f>SiteServices!Y44</f>
        <v>12521</v>
      </c>
      <c r="Z38" s="21">
        <f>SiteServices!Z44</f>
        <v>12521</v>
      </c>
      <c r="AA38" s="21">
        <f>SiteServices!AA44</f>
        <v>12521</v>
      </c>
      <c r="AB38" s="21">
        <f>SiteServices!AB44</f>
        <v>12521</v>
      </c>
      <c r="AC38" s="21">
        <f>SiteServices!AC44</f>
        <v>150252</v>
      </c>
      <c r="AD38" s="3">
        <f>SUM(R38:AC38)</f>
        <v>287983</v>
      </c>
      <c r="AF38" s="59"/>
      <c r="AG38" s="21">
        <f>SiteServices!AG44</f>
        <v>12521</v>
      </c>
      <c r="AH38" s="21">
        <f>SiteServices!AH44</f>
        <v>12521</v>
      </c>
      <c r="AI38" s="21">
        <f>SiteServices!AI44</f>
        <v>12521</v>
      </c>
      <c r="AJ38" s="21">
        <f>SiteServices!AJ44</f>
        <v>12521</v>
      </c>
      <c r="AK38" s="21">
        <f>SiteServices!AK44</f>
        <v>12521</v>
      </c>
      <c r="AL38" s="21">
        <f>SiteServices!AL44</f>
        <v>12521</v>
      </c>
      <c r="AM38" s="21">
        <f>SiteServices!AM44</f>
        <v>12521</v>
      </c>
      <c r="AN38" s="21">
        <f>SiteServices!AN44</f>
        <v>12521</v>
      </c>
      <c r="AO38" s="21">
        <f>SiteServices!AO44</f>
        <v>12521</v>
      </c>
      <c r="AP38" s="21">
        <f>SiteServices!AP44</f>
        <v>12521</v>
      </c>
      <c r="AQ38" s="21">
        <f>SiteServices!AQ44</f>
        <v>150252</v>
      </c>
      <c r="AR38" s="21">
        <f>SiteServices!AR44</f>
        <v>0</v>
      </c>
      <c r="AS38" s="3">
        <f>SUM(AG38:AR38)</f>
        <v>275462</v>
      </c>
    </row>
    <row r="39" spans="1:45" ht="13.5" thickBot="1">
      <c r="A39" s="20"/>
      <c r="B39" s="137" t="str">
        <f>'P&amp;L$'!B40</f>
        <v>Total</v>
      </c>
      <c r="C39" s="19">
        <f>C38</f>
        <v>14000</v>
      </c>
      <c r="D39" s="19">
        <f t="shared" ref="D39:O39" si="12">D38</f>
        <v>14000</v>
      </c>
      <c r="E39" s="19">
        <f t="shared" si="12"/>
        <v>14000</v>
      </c>
      <c r="F39" s="19">
        <f t="shared" si="12"/>
        <v>14000</v>
      </c>
      <c r="G39" s="19">
        <f t="shared" si="12"/>
        <v>14000</v>
      </c>
      <c r="H39" s="19">
        <f t="shared" si="12"/>
        <v>14000</v>
      </c>
      <c r="I39" s="19">
        <f t="shared" si="12"/>
        <v>14000</v>
      </c>
      <c r="J39" s="19">
        <f t="shared" si="12"/>
        <v>14000</v>
      </c>
      <c r="K39" s="19">
        <f t="shared" si="12"/>
        <v>14000</v>
      </c>
      <c r="L39" s="19">
        <f t="shared" si="12"/>
        <v>14000</v>
      </c>
      <c r="M39" s="19">
        <f t="shared" si="12"/>
        <v>14000</v>
      </c>
      <c r="N39" s="19">
        <f t="shared" si="12"/>
        <v>14000</v>
      </c>
      <c r="O39" s="19">
        <f t="shared" si="12"/>
        <v>168000</v>
      </c>
      <c r="Q39" s="20"/>
      <c r="R39" s="19">
        <f t="shared" ref="R39:AD39" si="13">R38</f>
        <v>12521</v>
      </c>
      <c r="S39" s="19">
        <f t="shared" si="13"/>
        <v>12521</v>
      </c>
      <c r="T39" s="19">
        <f t="shared" si="13"/>
        <v>12521</v>
      </c>
      <c r="U39" s="19">
        <f t="shared" si="13"/>
        <v>12521</v>
      </c>
      <c r="V39" s="19">
        <f t="shared" si="13"/>
        <v>12521</v>
      </c>
      <c r="W39" s="19">
        <f t="shared" si="13"/>
        <v>12521</v>
      </c>
      <c r="X39" s="19">
        <f t="shared" si="13"/>
        <v>12521</v>
      </c>
      <c r="Y39" s="19">
        <f t="shared" si="13"/>
        <v>12521</v>
      </c>
      <c r="Z39" s="19">
        <f t="shared" si="13"/>
        <v>12521</v>
      </c>
      <c r="AA39" s="19">
        <f t="shared" si="13"/>
        <v>12521</v>
      </c>
      <c r="AB39" s="19">
        <f t="shared" si="13"/>
        <v>12521</v>
      </c>
      <c r="AC39" s="19">
        <f t="shared" si="13"/>
        <v>150252</v>
      </c>
      <c r="AD39" s="19">
        <f t="shared" si="13"/>
        <v>287983</v>
      </c>
      <c r="AF39" s="20"/>
      <c r="AG39" s="19">
        <f t="shared" ref="AG39:AS39" si="14">AG38</f>
        <v>12521</v>
      </c>
      <c r="AH39" s="19">
        <f t="shared" si="14"/>
        <v>12521</v>
      </c>
      <c r="AI39" s="19">
        <f t="shared" si="14"/>
        <v>12521</v>
      </c>
      <c r="AJ39" s="19">
        <f t="shared" si="14"/>
        <v>12521</v>
      </c>
      <c r="AK39" s="19">
        <f t="shared" si="14"/>
        <v>12521</v>
      </c>
      <c r="AL39" s="19">
        <f t="shared" si="14"/>
        <v>12521</v>
      </c>
      <c r="AM39" s="19">
        <f t="shared" si="14"/>
        <v>12521</v>
      </c>
      <c r="AN39" s="19">
        <f t="shared" si="14"/>
        <v>12521</v>
      </c>
      <c r="AO39" s="19">
        <f t="shared" si="14"/>
        <v>12521</v>
      </c>
      <c r="AP39" s="19">
        <f t="shared" si="14"/>
        <v>12521</v>
      </c>
      <c r="AQ39" s="19">
        <f t="shared" si="14"/>
        <v>150252</v>
      </c>
      <c r="AR39" s="19">
        <f t="shared" si="14"/>
        <v>0</v>
      </c>
      <c r="AS39" s="19">
        <f t="shared" si="14"/>
        <v>275462</v>
      </c>
    </row>
    <row r="40" spans="1:45" ht="13.5" thickTop="1">
      <c r="A40" s="20"/>
      <c r="B40" s="19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0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F40" s="20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</row>
    <row r="41" spans="1:45">
      <c r="A41" s="20"/>
      <c r="B41" s="190" t="str">
        <f>'P&amp;L$'!B42</f>
        <v>MAINTENANCE/OVERHAUL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0"/>
      <c r="Q41" s="20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0"/>
      <c r="AF41" s="20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0"/>
    </row>
    <row r="42" spans="1:45">
      <c r="A42" s="20"/>
      <c r="B42" s="139" t="s">
        <v>102</v>
      </c>
      <c r="C42" s="21">
        <f>'R&amp;M'!B22</f>
        <v>0</v>
      </c>
      <c r="D42" s="21">
        <f>'R&amp;M'!C22</f>
        <v>0</v>
      </c>
      <c r="E42" s="21">
        <f>'R&amp;M'!D22</f>
        <v>18786.444479964004</v>
      </c>
      <c r="F42" s="21">
        <f>'R&amp;M'!E22</f>
        <v>0</v>
      </c>
      <c r="G42" s="21">
        <f>'R&amp;M'!F22</f>
        <v>0</v>
      </c>
      <c r="H42" s="21">
        <f>'R&amp;M'!G22</f>
        <v>18865.017539928005</v>
      </c>
      <c r="I42" s="21">
        <f>'R&amp;M'!H22</f>
        <v>0</v>
      </c>
      <c r="J42" s="21">
        <f>'R&amp;M'!I22</f>
        <v>0</v>
      </c>
      <c r="K42" s="21">
        <f>'R&amp;M'!J22</f>
        <v>103044.20348847605</v>
      </c>
      <c r="L42" s="21">
        <f>'R&amp;M'!K22</f>
        <v>0</v>
      </c>
      <c r="M42" s="21">
        <f>'R&amp;M'!L22</f>
        <v>0</v>
      </c>
      <c r="N42" s="21">
        <f>'R&amp;M'!M22</f>
        <v>19022.163659856014</v>
      </c>
      <c r="O42" s="3">
        <f>SUM(C42:N42)</f>
        <v>159717.82916822407</v>
      </c>
      <c r="Q42" s="20"/>
      <c r="R42" s="21">
        <f>'R&amp;M'!P22</f>
        <v>34307</v>
      </c>
      <c r="S42" s="21">
        <f>'R&amp;M'!Q22</f>
        <v>34307</v>
      </c>
      <c r="T42" s="21">
        <f>'R&amp;M'!R22</f>
        <v>34307</v>
      </c>
      <c r="U42" s="21">
        <f>'R&amp;M'!S22</f>
        <v>6304</v>
      </c>
      <c r="V42" s="21">
        <f>'R&amp;M'!T22</f>
        <v>6304</v>
      </c>
      <c r="W42" s="21">
        <f>'R&amp;M'!U22</f>
        <v>6304</v>
      </c>
      <c r="X42" s="21">
        <f>'R&amp;M'!V22</f>
        <v>6304</v>
      </c>
      <c r="Y42" s="21">
        <f>'R&amp;M'!W22</f>
        <v>6304</v>
      </c>
      <c r="Z42" s="21">
        <f>'R&amp;M'!X22</f>
        <v>6304</v>
      </c>
      <c r="AA42" s="21">
        <f>'R&amp;M'!Y22</f>
        <v>6304</v>
      </c>
      <c r="AB42" s="21">
        <f>'R&amp;M'!Z22</f>
        <v>6304</v>
      </c>
      <c r="AC42" s="21">
        <f>'R&amp;M'!AA22</f>
        <v>6304</v>
      </c>
      <c r="AD42" s="3">
        <f>SUM(R42:AC42)</f>
        <v>159657</v>
      </c>
      <c r="AF42" s="20"/>
      <c r="AG42" s="21">
        <f>'R&amp;M'!AD22</f>
        <v>34307</v>
      </c>
      <c r="AH42" s="21">
        <f>'R&amp;M'!AE22</f>
        <v>34307</v>
      </c>
      <c r="AI42" s="21">
        <f>'R&amp;M'!AF22</f>
        <v>34307</v>
      </c>
      <c r="AJ42" s="21">
        <f>'R&amp;M'!AG22</f>
        <v>6304</v>
      </c>
      <c r="AK42" s="21">
        <f>'R&amp;M'!AH22</f>
        <v>6304</v>
      </c>
      <c r="AL42" s="21">
        <f>'R&amp;M'!AI22</f>
        <v>6304</v>
      </c>
      <c r="AM42" s="21">
        <f>'R&amp;M'!AJ22</f>
        <v>6304</v>
      </c>
      <c r="AN42" s="21">
        <f>'R&amp;M'!AK22</f>
        <v>6304</v>
      </c>
      <c r="AO42" s="21">
        <f>'R&amp;M'!AL22</f>
        <v>6304</v>
      </c>
      <c r="AP42" s="21">
        <f>'R&amp;M'!AM22</f>
        <v>6304</v>
      </c>
      <c r="AQ42" s="21">
        <f>'R&amp;M'!AN22</f>
        <v>6304</v>
      </c>
      <c r="AR42" s="21">
        <f>'R&amp;M'!AO22</f>
        <v>6304</v>
      </c>
      <c r="AS42" s="3">
        <f>SUM(AG42:AR42)</f>
        <v>159657</v>
      </c>
    </row>
    <row r="43" spans="1:45" ht="5.45" customHeight="1">
      <c r="A43" s="20"/>
      <c r="B43" s="139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0"/>
      <c r="Q43" s="20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0"/>
      <c r="AF43" s="20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0"/>
    </row>
    <row r="44" spans="1:45">
      <c r="A44" s="20"/>
      <c r="B44" s="139" t="s">
        <v>103</v>
      </c>
      <c r="C44" s="21">
        <f>'R&amp;M'!B24</f>
        <v>5658.9925133999996</v>
      </c>
      <c r="D44" s="21">
        <f>'R&amp;M'!C24</f>
        <v>5666.9040267999999</v>
      </c>
      <c r="E44" s="21">
        <f>'R&amp;M'!D24</f>
        <v>5674.8155402000002</v>
      </c>
      <c r="F44" s="21">
        <f>'R&amp;M'!E24</f>
        <v>5682.7270536000015</v>
      </c>
      <c r="G44" s="21">
        <f>'R&amp;M'!F24</f>
        <v>222064.72856700004</v>
      </c>
      <c r="H44" s="21">
        <f>'R&amp;M'!G24</f>
        <v>5698.5500804000021</v>
      </c>
      <c r="I44" s="21">
        <f>'R&amp;M'!H24</f>
        <v>5706.4615938000024</v>
      </c>
      <c r="J44" s="21">
        <f>'R&amp;M'!I24</f>
        <v>5714.3731072000028</v>
      </c>
      <c r="K44" s="21">
        <f>'R&amp;M'!J24</f>
        <v>5722.2846206000031</v>
      </c>
      <c r="L44" s="21">
        <f>'R&amp;M'!K24</f>
        <v>5730.1961340000034</v>
      </c>
      <c r="M44" s="21">
        <f>'R&amp;M'!L24</f>
        <v>5738.1076474000038</v>
      </c>
      <c r="N44" s="21">
        <f>'R&amp;M'!M24</f>
        <v>5746.0191608000041</v>
      </c>
      <c r="O44" s="3">
        <f>SUM(C44:N44)</f>
        <v>284804.16004520009</v>
      </c>
      <c r="Q44" s="20"/>
      <c r="R44" s="21">
        <f>'R&amp;M'!P24</f>
        <v>667223.21453035623</v>
      </c>
      <c r="S44" s="21">
        <f>'R&amp;M'!Q24</f>
        <v>669991.77558649878</v>
      </c>
      <c r="T44" s="21">
        <f>'R&amp;M'!R24</f>
        <v>672760.33664264134</v>
      </c>
      <c r="U44" s="21">
        <f>'R&amp;M'!S24</f>
        <v>675528.8976987839</v>
      </c>
      <c r="V44" s="21">
        <f>'R&amp;M'!T24</f>
        <v>678297.45875492645</v>
      </c>
      <c r="W44" s="21">
        <f>'R&amp;M'!U24</f>
        <v>681066.01981106901</v>
      </c>
      <c r="X44" s="21">
        <f>'R&amp;M'!V24</f>
        <v>683834.58086721145</v>
      </c>
      <c r="Y44" s="21">
        <f>'R&amp;M'!W24</f>
        <v>686603.14192335401</v>
      </c>
      <c r="Z44" s="21">
        <f>'R&amp;M'!X24</f>
        <v>689371.70297949656</v>
      </c>
      <c r="AA44" s="21">
        <f>'R&amp;M'!Y24</f>
        <v>692140.26403563912</v>
      </c>
      <c r="AB44" s="21">
        <f>'R&amp;M'!Z24</f>
        <v>694908.82509178168</v>
      </c>
      <c r="AC44" s="21">
        <f>'R&amp;M'!AA24</f>
        <v>697677.38614792423</v>
      </c>
      <c r="AD44" s="3">
        <f>SUM(R44:AC44)</f>
        <v>8189403.6040696837</v>
      </c>
      <c r="AF44" s="20"/>
      <c r="AG44" s="21">
        <f>'R&amp;M'!AD24</f>
        <v>770189.63543933618</v>
      </c>
      <c r="AH44" s="21">
        <f>'R&amp;M'!AE24</f>
        <v>773398.75892033346</v>
      </c>
      <c r="AI44" s="21">
        <f>'R&amp;M'!AF24</f>
        <v>776607.88240133075</v>
      </c>
      <c r="AJ44" s="21">
        <f>'R&amp;M'!AG24</f>
        <v>779817.00588232791</v>
      </c>
      <c r="AK44" s="21">
        <f>'R&amp;M'!AH24</f>
        <v>783026.12936332519</v>
      </c>
      <c r="AL44" s="21">
        <f>'R&amp;M'!AI24</f>
        <v>786235.25284432247</v>
      </c>
      <c r="AM44" s="21">
        <f>'R&amp;M'!AJ24</f>
        <v>789444.37632531964</v>
      </c>
      <c r="AN44" s="21">
        <f>'R&amp;M'!AK24</f>
        <v>792653.49980631692</v>
      </c>
      <c r="AO44" s="21">
        <f>'R&amp;M'!AL24</f>
        <v>795862.6232873142</v>
      </c>
      <c r="AP44" s="21">
        <f>'R&amp;M'!AM24</f>
        <v>799071.74676831136</v>
      </c>
      <c r="AQ44" s="21">
        <f>'R&amp;M'!AN24</f>
        <v>802280.87024930865</v>
      </c>
      <c r="AR44" s="21">
        <f>'R&amp;M'!AO24</f>
        <v>805489.99373030593</v>
      </c>
      <c r="AS44" s="3">
        <f>SUM(AG44:AR44)</f>
        <v>9454077.7750178538</v>
      </c>
    </row>
    <row r="45" spans="1:45" ht="5.45" customHeight="1">
      <c r="A45" s="20"/>
      <c r="B45" s="13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0"/>
      <c r="Q45" s="20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0"/>
      <c r="AF45" s="20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0"/>
    </row>
    <row r="46" spans="1:45">
      <c r="A46" s="20"/>
      <c r="B46" s="139" t="s">
        <v>104</v>
      </c>
      <c r="C46" s="21">
        <f>'R&amp;M'!B26</f>
        <v>84682.627132080001</v>
      </c>
      <c r="D46" s="21">
        <f>'R&amp;M'!C26</f>
        <v>84801.017064159998</v>
      </c>
      <c r="E46" s="21">
        <f>'R&amp;M'!D26</f>
        <v>84919.40699624001</v>
      </c>
      <c r="F46" s="21">
        <f>'R&amp;M'!E26</f>
        <v>85037.796928320022</v>
      </c>
      <c r="G46" s="21">
        <f>'R&amp;M'!F26</f>
        <v>85156.186860400019</v>
      </c>
      <c r="H46" s="21">
        <f>'R&amp;M'!G26</f>
        <v>85274.576792480031</v>
      </c>
      <c r="I46" s="21">
        <f>'R&amp;M'!H26</f>
        <v>85392.966724560029</v>
      </c>
      <c r="J46" s="21">
        <f>'R&amp;M'!I26</f>
        <v>85511.35665664004</v>
      </c>
      <c r="K46" s="21">
        <f>'R&amp;M'!J26</f>
        <v>85629.746588720038</v>
      </c>
      <c r="L46" s="21">
        <f>'R&amp;M'!K26</f>
        <v>85748.13652080005</v>
      </c>
      <c r="M46" s="21">
        <f>'R&amp;M'!L26</f>
        <v>85866.526452880047</v>
      </c>
      <c r="N46" s="21">
        <f>'R&amp;M'!M26</f>
        <v>85984.916384960059</v>
      </c>
      <c r="O46" s="3">
        <f>SUM(C46:N46)</f>
        <v>1024005.2611022403</v>
      </c>
      <c r="Q46" s="20"/>
      <c r="R46" s="21">
        <f>'R&amp;M'!P26</f>
        <v>92113.14777720072</v>
      </c>
      <c r="S46" s="21">
        <f>'R&amp;M'!Q26</f>
        <v>92495.360008641394</v>
      </c>
      <c r="T46" s="21">
        <f>'R&amp;M'!R26</f>
        <v>92877.572240082052</v>
      </c>
      <c r="U46" s="21">
        <f>'R&amp;M'!S26</f>
        <v>93259.784471522726</v>
      </c>
      <c r="V46" s="21">
        <f>'R&amp;M'!T26</f>
        <v>93641.996702963384</v>
      </c>
      <c r="W46" s="21">
        <f>'R&amp;M'!U26</f>
        <v>94024.208934404043</v>
      </c>
      <c r="X46" s="21">
        <f>'R&amp;M'!V26</f>
        <v>94406.421165844717</v>
      </c>
      <c r="Y46" s="21">
        <f>'R&amp;M'!W26</f>
        <v>94788.633397285375</v>
      </c>
      <c r="Z46" s="21">
        <f>'R&amp;M'!X26</f>
        <v>95170.845628726034</v>
      </c>
      <c r="AA46" s="21">
        <f>'R&amp;M'!Y26</f>
        <v>95553.057860166708</v>
      </c>
      <c r="AB46" s="21">
        <f>'R&amp;M'!Z26</f>
        <v>95935.270091607366</v>
      </c>
      <c r="AC46" s="21">
        <f>'R&amp;M'!AA26</f>
        <v>96317.482323048025</v>
      </c>
      <c r="AD46" s="21">
        <f>'R&amp;M'!AB26</f>
        <v>1130583.7806014926</v>
      </c>
      <c r="AE46" s="21" t="str">
        <f>'R&amp;M'!AC26</f>
        <v>BOP Maintenance</v>
      </c>
      <c r="AF46" s="21"/>
      <c r="AG46" s="21">
        <f>'R&amp;M'!AD26</f>
        <v>96718.805166060731</v>
      </c>
      <c r="AH46" s="21">
        <f>'R&amp;M'!AE26</f>
        <v>97120.128009073436</v>
      </c>
      <c r="AI46" s="21">
        <f>'R&amp;M'!AF26</f>
        <v>97521.450852086142</v>
      </c>
      <c r="AJ46" s="21">
        <f>'R&amp;M'!AG26</f>
        <v>97922.773695098833</v>
      </c>
      <c r="AK46" s="21">
        <f>'R&amp;M'!AH26</f>
        <v>98324.096538111538</v>
      </c>
      <c r="AL46" s="21">
        <f>'R&amp;M'!AI26</f>
        <v>98725.419381124244</v>
      </c>
      <c r="AM46" s="21">
        <f>'R&amp;M'!AJ26</f>
        <v>99126.742224136935</v>
      </c>
      <c r="AN46" s="21">
        <f>'R&amp;M'!AK26</f>
        <v>99528.065067149641</v>
      </c>
      <c r="AO46" s="21">
        <f>'R&amp;M'!AL26</f>
        <v>99929.387910162346</v>
      </c>
      <c r="AP46" s="21">
        <f>'R&amp;M'!AM26</f>
        <v>100330.71075317504</v>
      </c>
      <c r="AQ46" s="21">
        <f>'R&amp;M'!AN26</f>
        <v>100732.03359618774</v>
      </c>
      <c r="AR46" s="21">
        <f>'R&amp;M'!AO26</f>
        <v>101133.35643920045</v>
      </c>
      <c r="AS46" s="3">
        <f>SUM(AG46:AR46)</f>
        <v>1187112.9696315671</v>
      </c>
    </row>
    <row r="47" spans="1:45">
      <c r="A47" s="20"/>
      <c r="B47" s="139" t="s">
        <v>105</v>
      </c>
      <c r="C47" s="21">
        <f>'R&amp;M'!B27</f>
        <v>73467.924097919997</v>
      </c>
      <c r="D47" s="21">
        <f>'R&amp;M'!C27</f>
        <v>73570.63539584</v>
      </c>
      <c r="E47" s="21">
        <f>'R&amp;M'!D27</f>
        <v>73673.346693760002</v>
      </c>
      <c r="F47" s="21">
        <f>'R&amp;M'!E27</f>
        <v>73776.05799168002</v>
      </c>
      <c r="G47" s="21">
        <f>'R&amp;M'!F27</f>
        <v>73878.769289600023</v>
      </c>
      <c r="H47" s="21">
        <f>'R&amp;M'!G27</f>
        <v>73981.480587520025</v>
      </c>
      <c r="I47" s="21">
        <f>'R&amp;M'!H27</f>
        <v>74084.191885440028</v>
      </c>
      <c r="J47" s="21">
        <f>'R&amp;M'!I27</f>
        <v>74186.903183360031</v>
      </c>
      <c r="K47" s="21">
        <f>'R&amp;M'!J27</f>
        <v>74289.614481280034</v>
      </c>
      <c r="L47" s="21">
        <f>'R&amp;M'!K27</f>
        <v>74392.325779200037</v>
      </c>
      <c r="M47" s="21">
        <f>'R&amp;M'!L27</f>
        <v>74495.03707712004</v>
      </c>
      <c r="N47" s="21">
        <f>'R&amp;M'!M27</f>
        <v>74597.748375040057</v>
      </c>
      <c r="O47" s="3">
        <f>SUM(C47:N47)</f>
        <v>888394.03483776026</v>
      </c>
      <c r="Q47" s="20"/>
      <c r="R47" s="21">
        <f>'R&amp;M'!P27</f>
        <v>74908.57232660272</v>
      </c>
      <c r="S47" s="21">
        <f>'R&amp;M'!Q27</f>
        <v>75219.396278165383</v>
      </c>
      <c r="T47" s="21">
        <f>'R&amp;M'!R27</f>
        <v>75530.220229728046</v>
      </c>
      <c r="U47" s="21">
        <f>'R&amp;M'!S27</f>
        <v>75841.044181290708</v>
      </c>
      <c r="V47" s="21">
        <f>'R&amp;M'!T27</f>
        <v>76151.868132853371</v>
      </c>
      <c r="W47" s="21">
        <f>'R&amp;M'!U27</f>
        <v>76462.692084416034</v>
      </c>
      <c r="X47" s="21">
        <f>'R&amp;M'!V27</f>
        <v>76773.516035978697</v>
      </c>
      <c r="Y47" s="21">
        <f>'R&amp;M'!W27</f>
        <v>77084.339987541374</v>
      </c>
      <c r="Z47" s="21">
        <f>'R&amp;M'!X27</f>
        <v>77395.163939104037</v>
      </c>
      <c r="AA47" s="21">
        <f>'R&amp;M'!Y27</f>
        <v>77705.9878906667</v>
      </c>
      <c r="AB47" s="21">
        <f>'R&amp;M'!Z27</f>
        <v>78016.811842229363</v>
      </c>
      <c r="AC47" s="21">
        <f>'R&amp;M'!AA27</f>
        <v>78327.635793792026</v>
      </c>
      <c r="AD47" s="21">
        <f>'R&amp;M'!AB27</f>
        <v>919417.24872236839</v>
      </c>
      <c r="AE47" s="21" t="str">
        <f>'R&amp;M'!AC27</f>
        <v>Unplanned Maintenance</v>
      </c>
      <c r="AF47" s="21"/>
      <c r="AG47" s="21">
        <f>'R&amp;M'!AD27</f>
        <v>78654.00094293282</v>
      </c>
      <c r="AH47" s="21">
        <f>'R&amp;M'!AE27</f>
        <v>78980.366092073629</v>
      </c>
      <c r="AI47" s="21">
        <f>'R&amp;M'!AF27</f>
        <v>79306.731241214424</v>
      </c>
      <c r="AJ47" s="21">
        <f>'R&amp;M'!AG27</f>
        <v>79633.096390355233</v>
      </c>
      <c r="AK47" s="21">
        <f>'R&amp;M'!AH27</f>
        <v>79959.461539496027</v>
      </c>
      <c r="AL47" s="21">
        <f>'R&amp;M'!AI27</f>
        <v>80285.826688636836</v>
      </c>
      <c r="AM47" s="21">
        <f>'R&amp;M'!AJ27</f>
        <v>80612.191837777631</v>
      </c>
      <c r="AN47" s="21">
        <f>'R&amp;M'!AK27</f>
        <v>80938.55698691844</v>
      </c>
      <c r="AO47" s="21">
        <f>'R&amp;M'!AL27</f>
        <v>81264.922136059235</v>
      </c>
      <c r="AP47" s="21">
        <f>'R&amp;M'!AM27</f>
        <v>81591.287285200029</v>
      </c>
      <c r="AQ47" s="21">
        <f>'R&amp;M'!AN27</f>
        <v>81917.652434340838</v>
      </c>
      <c r="AR47" s="21">
        <f>'R&amp;M'!AO27</f>
        <v>82244.017583481633</v>
      </c>
      <c r="AS47" s="3">
        <f>SUM(AG47:AR47)</f>
        <v>965388.11115848669</v>
      </c>
    </row>
    <row r="48" spans="1:45">
      <c r="A48" s="20"/>
      <c r="B48" s="139" t="s">
        <v>106</v>
      </c>
      <c r="C48" s="21">
        <f>'R&amp;M'!B28</f>
        <v>30317.5682562</v>
      </c>
      <c r="D48" s="21">
        <f>'R&amp;M'!C28</f>
        <v>30359.953512400003</v>
      </c>
      <c r="E48" s="21">
        <f>'R&amp;M'!D28</f>
        <v>30402.338768600002</v>
      </c>
      <c r="F48" s="21">
        <f>'R&amp;M'!E28</f>
        <v>30444.724024800005</v>
      </c>
      <c r="G48" s="21">
        <f>'R&amp;M'!F28</f>
        <v>30487.109281000008</v>
      </c>
      <c r="H48" s="21">
        <f>'R&amp;M'!G28</f>
        <v>30529.494537200011</v>
      </c>
      <c r="I48" s="21">
        <f>'R&amp;M'!H28</f>
        <v>30571.87979340001</v>
      </c>
      <c r="J48" s="21">
        <f>'R&amp;M'!I28</f>
        <v>30614.265049600013</v>
      </c>
      <c r="K48" s="21">
        <f>'R&amp;M'!J28</f>
        <v>30656.650305800016</v>
      </c>
      <c r="L48" s="21">
        <f>'R&amp;M'!K28</f>
        <v>30699.035562000015</v>
      </c>
      <c r="M48" s="21">
        <f>'R&amp;M'!L28</f>
        <v>30741.420818200018</v>
      </c>
      <c r="N48" s="21">
        <f>'R&amp;M'!M28</f>
        <v>30783.806074400021</v>
      </c>
      <c r="O48" s="3">
        <f>SUM(C48:N48)</f>
        <v>366608.24598360015</v>
      </c>
      <c r="Q48" s="20"/>
      <c r="R48" s="21">
        <f>'R&amp;M'!P28</f>
        <v>30912.071933043353</v>
      </c>
      <c r="S48" s="21">
        <f>'R&amp;M'!Q28</f>
        <v>31040.337791686685</v>
      </c>
      <c r="T48" s="21">
        <f>'R&amp;M'!R28</f>
        <v>31168.60365033002</v>
      </c>
      <c r="U48" s="21">
        <f>'R&amp;M'!S28</f>
        <v>31296.869508973352</v>
      </c>
      <c r="V48" s="21">
        <f>'R&amp;M'!T28</f>
        <v>31425.135367616684</v>
      </c>
      <c r="W48" s="21">
        <f>'R&amp;M'!U28</f>
        <v>31553.401226260015</v>
      </c>
      <c r="X48" s="21">
        <f>'R&amp;M'!V28</f>
        <v>31681.667084903347</v>
      </c>
      <c r="Y48" s="21">
        <f>'R&amp;M'!W28</f>
        <v>31809.932943546683</v>
      </c>
      <c r="Z48" s="21">
        <f>'R&amp;M'!X28</f>
        <v>31938.198802190014</v>
      </c>
      <c r="AA48" s="21">
        <f>'R&amp;M'!Y28</f>
        <v>32066.464660833346</v>
      </c>
      <c r="AB48" s="21">
        <f>'R&amp;M'!Z28</f>
        <v>32194.730519476678</v>
      </c>
      <c r="AC48" s="21">
        <f>'R&amp;M'!AA28</f>
        <v>32322.996378120009</v>
      </c>
      <c r="AD48" s="21">
        <f>'R&amp;M'!AB28</f>
        <v>379410.40986698022</v>
      </c>
      <c r="AE48" s="21" t="str">
        <f>'R&amp;M'!AC28</f>
        <v>Operational Parts</v>
      </c>
      <c r="AF48" s="21"/>
      <c r="AG48" s="21">
        <f>'R&amp;M'!AD28</f>
        <v>32457.675529695513</v>
      </c>
      <c r="AH48" s="21">
        <f>'R&amp;M'!AE28</f>
        <v>32592.354681271012</v>
      </c>
      <c r="AI48" s="21">
        <f>'R&amp;M'!AF28</f>
        <v>32727.033832846511</v>
      </c>
      <c r="AJ48" s="21">
        <f>'R&amp;M'!AG28</f>
        <v>32861.712984422011</v>
      </c>
      <c r="AK48" s="21">
        <f>'R&amp;M'!AH28</f>
        <v>32996.392135997514</v>
      </c>
      <c r="AL48" s="21">
        <f>'R&amp;M'!AI28</f>
        <v>33131.07128757301</v>
      </c>
      <c r="AM48" s="21">
        <f>'R&amp;M'!AJ28</f>
        <v>33265.750439148513</v>
      </c>
      <c r="AN48" s="21">
        <f>'R&amp;M'!AK28</f>
        <v>33400.429590724016</v>
      </c>
      <c r="AO48" s="21">
        <f>'R&amp;M'!AL28</f>
        <v>33535.108742299512</v>
      </c>
      <c r="AP48" s="21">
        <f>'R&amp;M'!AM28</f>
        <v>33669.787893875015</v>
      </c>
      <c r="AQ48" s="21">
        <f>'R&amp;M'!AN28</f>
        <v>33804.467045450518</v>
      </c>
      <c r="AR48" s="21">
        <f>'R&amp;M'!AO28</f>
        <v>33939.146197026013</v>
      </c>
      <c r="AS48" s="3">
        <f>SUM(AG48:AR48)</f>
        <v>398380.93036032916</v>
      </c>
    </row>
    <row r="49" spans="1:45" ht="13.5" thickBot="1">
      <c r="A49" s="20"/>
      <c r="B49" s="136" t="s">
        <v>97</v>
      </c>
      <c r="C49" s="19">
        <f>SUM(C42:C48)</f>
        <v>194127.11199959999</v>
      </c>
      <c r="D49" s="19">
        <f t="shared" ref="D49:O49" si="15">SUM(D42:D48)</f>
        <v>194398.5099992</v>
      </c>
      <c r="E49" s="19">
        <f t="shared" si="15"/>
        <v>213456.35247876399</v>
      </c>
      <c r="F49" s="19">
        <f t="shared" si="15"/>
        <v>194941.30599840003</v>
      </c>
      <c r="G49" s="19">
        <f t="shared" si="15"/>
        <v>411586.79399800004</v>
      </c>
      <c r="H49" s="19">
        <f t="shared" si="15"/>
        <v>214349.11953752808</v>
      </c>
      <c r="I49" s="19">
        <f t="shared" si="15"/>
        <v>195755.49999720007</v>
      </c>
      <c r="J49" s="19">
        <f t="shared" si="15"/>
        <v>196026.89799680011</v>
      </c>
      <c r="K49" s="19">
        <f t="shared" si="15"/>
        <v>299342.49948487617</v>
      </c>
      <c r="L49" s="19">
        <f t="shared" si="15"/>
        <v>196569.6939960001</v>
      </c>
      <c r="M49" s="19">
        <f t="shared" si="15"/>
        <v>196841.09199560012</v>
      </c>
      <c r="N49" s="19">
        <f t="shared" si="15"/>
        <v>216134.65365505614</v>
      </c>
      <c r="O49" s="19">
        <f t="shared" si="15"/>
        <v>2723529.5311370245</v>
      </c>
      <c r="Q49" s="20"/>
      <c r="R49" s="19">
        <f t="shared" ref="R49:AD49" si="16">SUM(R42:R48)</f>
        <v>899464.00656720297</v>
      </c>
      <c r="S49" s="19">
        <f t="shared" si="16"/>
        <v>903053.86966499221</v>
      </c>
      <c r="T49" s="19">
        <f t="shared" si="16"/>
        <v>906643.73276278144</v>
      </c>
      <c r="U49" s="19">
        <f t="shared" si="16"/>
        <v>882230.59586057055</v>
      </c>
      <c r="V49" s="19">
        <f t="shared" si="16"/>
        <v>885820.4589583599</v>
      </c>
      <c r="W49" s="19">
        <f t="shared" si="16"/>
        <v>889410.32205614913</v>
      </c>
      <c r="X49" s="19">
        <f t="shared" si="16"/>
        <v>893000.18515393825</v>
      </c>
      <c r="Y49" s="19">
        <f t="shared" si="16"/>
        <v>896590.04825172736</v>
      </c>
      <c r="Z49" s="19">
        <f t="shared" si="16"/>
        <v>900179.91134951671</v>
      </c>
      <c r="AA49" s="19">
        <f t="shared" si="16"/>
        <v>903769.77444730594</v>
      </c>
      <c r="AB49" s="19">
        <f t="shared" si="16"/>
        <v>907359.63754509506</v>
      </c>
      <c r="AC49" s="19">
        <f t="shared" si="16"/>
        <v>910949.50064288429</v>
      </c>
      <c r="AD49" s="19">
        <f t="shared" si="16"/>
        <v>10778472.043260524</v>
      </c>
      <c r="AF49" s="20"/>
      <c r="AG49" s="19">
        <f t="shared" ref="AG49:AS49" si="17">SUM(AG42:AG48)</f>
        <v>1012327.1170780251</v>
      </c>
      <c r="AH49" s="19">
        <f t="shared" si="17"/>
        <v>1016398.6077027515</v>
      </c>
      <c r="AI49" s="19">
        <f t="shared" si="17"/>
        <v>1020470.0983274779</v>
      </c>
      <c r="AJ49" s="19">
        <f t="shared" si="17"/>
        <v>996538.58895220398</v>
      </c>
      <c r="AK49" s="19">
        <f t="shared" si="17"/>
        <v>1000610.0795769303</v>
      </c>
      <c r="AL49" s="19">
        <f t="shared" si="17"/>
        <v>1004681.5702016564</v>
      </c>
      <c r="AM49" s="19">
        <f t="shared" si="17"/>
        <v>1008753.0608263827</v>
      </c>
      <c r="AN49" s="19">
        <f t="shared" si="17"/>
        <v>1012824.551451109</v>
      </c>
      <c r="AO49" s="19">
        <f t="shared" si="17"/>
        <v>1016896.0420758353</v>
      </c>
      <c r="AP49" s="19">
        <f t="shared" si="17"/>
        <v>1020967.5327005615</v>
      </c>
      <c r="AQ49" s="19">
        <f t="shared" si="17"/>
        <v>1025039.0233252876</v>
      </c>
      <c r="AR49" s="19">
        <f t="shared" si="17"/>
        <v>1029110.513950014</v>
      </c>
      <c r="AS49" s="19">
        <f t="shared" si="17"/>
        <v>12164616.786168236</v>
      </c>
    </row>
    <row r="50" spans="1:45" ht="13.5" thickTop="1">
      <c r="A50" s="20"/>
      <c r="B50" s="31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Q50" s="58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F50" s="58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1:45">
      <c r="A51" s="54" t="s">
        <v>299</v>
      </c>
      <c r="B51" s="60" t="str">
        <f>'P&amp;L$'!B52</f>
        <v>OUTSIDE SERVICESS - ORGANIKA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0"/>
      <c r="Q51" s="60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0"/>
      <c r="AF51" s="60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0"/>
    </row>
    <row r="52" spans="1:45">
      <c r="A52" s="56" t="s">
        <v>300</v>
      </c>
      <c r="B52" s="59" t="str">
        <f>'P&amp;L$'!B53</f>
        <v>Effluent disposal</v>
      </c>
      <c r="C52" s="21">
        <f>SiteServices!C25</f>
        <v>47368.779728609996</v>
      </c>
      <c r="D52" s="21">
        <f>SiteServices!D25</f>
        <v>47435.003307220002</v>
      </c>
      <c r="E52" s="21">
        <f>SiteServices!E25</f>
        <v>47501.226885830009</v>
      </c>
      <c r="F52" s="21">
        <f>SiteServices!F25</f>
        <v>47567.450464440008</v>
      </c>
      <c r="G52" s="21">
        <f>SiteServices!G25</f>
        <v>57160.40885166001</v>
      </c>
      <c r="H52" s="21">
        <f>SiteServices!H25</f>
        <v>57239.87714599201</v>
      </c>
      <c r="I52" s="21">
        <f>SiteServices!I25</f>
        <v>56674.710558378021</v>
      </c>
      <c r="J52" s="21">
        <f>SiteServices!J25</f>
        <v>56753.285122432026</v>
      </c>
      <c r="K52" s="21">
        <f>SiteServices!K25</f>
        <v>56831.859686486023</v>
      </c>
      <c r="L52" s="21">
        <f>SiteServices!L25</f>
        <v>56910.434250540027</v>
      </c>
      <c r="M52" s="21">
        <f>SiteServices!M25</f>
        <v>49128.455874650033</v>
      </c>
      <c r="N52" s="21">
        <f>SiteServices!N25</f>
        <v>49196.192567800033</v>
      </c>
      <c r="O52" s="3">
        <f>SUM(C52:N52)</f>
        <v>629767.6844440382</v>
      </c>
      <c r="Q52" s="59"/>
      <c r="R52" s="21">
        <f>SiteServices!Q25</f>
        <v>48297.644256208863</v>
      </c>
      <c r="S52" s="21">
        <f>SiteServices!R25</f>
        <v>48498.049419097697</v>
      </c>
      <c r="T52" s="21">
        <f>SiteServices!S25</f>
        <v>48698.454581986531</v>
      </c>
      <c r="U52" s="21">
        <f>SiteServices!T25</f>
        <v>48898.859744875357</v>
      </c>
      <c r="V52" s="21">
        <f>SiteServices!U25</f>
        <v>58919.117889317029</v>
      </c>
      <c r="W52" s="21">
        <f>SiteServices!V25</f>
        <v>59159.604084783627</v>
      </c>
      <c r="X52" s="21">
        <f>SiteServices!W25</f>
        <v>58732.054560525263</v>
      </c>
      <c r="Y52" s="21">
        <f>SiteServices!X25</f>
        <v>58969.83615793629</v>
      </c>
      <c r="Z52" s="21">
        <f>SiteServices!Y25</f>
        <v>59207.617755347324</v>
      </c>
      <c r="AA52" s="21">
        <f>SiteServices!Z25</f>
        <v>59445.399352758352</v>
      </c>
      <c r="AB52" s="21">
        <f>SiteServices!AA25</f>
        <v>51451.018060490853</v>
      </c>
      <c r="AC52" s="21">
        <f>SiteServices!AB25</f>
        <v>51656.00219619002</v>
      </c>
      <c r="AD52" s="3">
        <f>SUM(R52:AC52)</f>
        <v>651933.65805951727</v>
      </c>
      <c r="AF52" s="59"/>
      <c r="AG52" s="21">
        <f>SiteServices!AG25</f>
        <v>51133.377311085846</v>
      </c>
      <c r="AH52" s="21">
        <f>SiteServices!AH25</f>
        <v>51343.802732119118</v>
      </c>
      <c r="AI52" s="21">
        <f>SiteServices!AI25</f>
        <v>61865.073783782871</v>
      </c>
      <c r="AJ52" s="21">
        <f>SiteServices!AJ25</f>
        <v>62117.584289022801</v>
      </c>
      <c r="AK52" s="21">
        <f>SiteServices!AK25</f>
        <v>61668.65728855152</v>
      </c>
      <c r="AL52" s="21">
        <f>SiteServices!AL25</f>
        <v>61918.327965833101</v>
      </c>
      <c r="AM52" s="21">
        <f>SiteServices!AM25</f>
        <v>62167.99864311469</v>
      </c>
      <c r="AN52" s="21">
        <f>SiteServices!AN25</f>
        <v>62417.669320396271</v>
      </c>
      <c r="AO52" s="21">
        <f>SiteServices!AO25</f>
        <v>54023.568963515398</v>
      </c>
      <c r="AP52" s="21">
        <f>SiteServices!AP25</f>
        <v>54238.802305999525</v>
      </c>
      <c r="AQ52" s="21">
        <f>SiteServices!AQ25</f>
        <v>684530.34096249298</v>
      </c>
      <c r="AR52" s="21">
        <f>SiteServices!AR25</f>
        <v>0</v>
      </c>
      <c r="AS52" s="3">
        <f>SUM(AG52:AR52)</f>
        <v>1267425.2035659142</v>
      </c>
    </row>
    <row r="53" spans="1:45">
      <c r="A53" s="56" t="s">
        <v>301</v>
      </c>
      <c r="B53" s="59" t="str">
        <f>'P&amp;L$'!B54</f>
        <v>Usufruct payments</v>
      </c>
      <c r="C53" s="21">
        <f>SiteServices!C29</f>
        <v>1075.85409</v>
      </c>
      <c r="D53" s="21">
        <f>SiteServices!D29</f>
        <v>1077.3581799999999</v>
      </c>
      <c r="E53" s="21">
        <f>SiteServices!E29</f>
        <v>1078.8622700000001</v>
      </c>
      <c r="F53" s="21">
        <f>SiteServices!F29</f>
        <v>1080.3663600000002</v>
      </c>
      <c r="G53" s="21">
        <f>SiteServices!G29</f>
        <v>1081.8704500000003</v>
      </c>
      <c r="H53" s="21">
        <f>SiteServices!H29</f>
        <v>1083.3745400000003</v>
      </c>
      <c r="I53" s="21">
        <f>SiteServices!I29</f>
        <v>1084.8786300000004</v>
      </c>
      <c r="J53" s="21">
        <f>SiteServices!J29</f>
        <v>1086.3827200000005</v>
      </c>
      <c r="K53" s="21">
        <f>SiteServices!K29</f>
        <v>1087.8868100000004</v>
      </c>
      <c r="L53" s="21">
        <f>SiteServices!L29</f>
        <v>1089.3909000000006</v>
      </c>
      <c r="M53" s="21">
        <f>SiteServices!M29</f>
        <v>1090.8949900000007</v>
      </c>
      <c r="N53" s="21">
        <f>SiteServices!N29</f>
        <v>1092.3990800000008</v>
      </c>
      <c r="O53" s="3">
        <f>SUM(C53:N53)</f>
        <v>13009.519020000003</v>
      </c>
      <c r="Q53" s="59"/>
      <c r="R53" s="21">
        <f>SiteServices!Q29</f>
        <v>1096.9507428333341</v>
      </c>
      <c r="S53" s="21">
        <f>SiteServices!R29</f>
        <v>1101.5024056666673</v>
      </c>
      <c r="T53" s="21">
        <f>SiteServices!S29</f>
        <v>1106.0540685000005</v>
      </c>
      <c r="U53" s="21">
        <f>SiteServices!T29</f>
        <v>1110.605731333334</v>
      </c>
      <c r="V53" s="21">
        <f>SiteServices!U29</f>
        <v>1115.1573941666672</v>
      </c>
      <c r="W53" s="21">
        <f>SiteServices!V29</f>
        <v>1119.7090570000005</v>
      </c>
      <c r="X53" s="21">
        <f>SiteServices!W29</f>
        <v>1124.260719833334</v>
      </c>
      <c r="Y53" s="21">
        <f>SiteServices!X29</f>
        <v>1128.8123826666672</v>
      </c>
      <c r="Z53" s="21">
        <f>SiteServices!Y29</f>
        <v>1133.3640455000004</v>
      </c>
      <c r="AA53" s="21">
        <f>SiteServices!Z29</f>
        <v>1137.9157083333337</v>
      </c>
      <c r="AB53" s="21">
        <f>SiteServices!AA29</f>
        <v>1142.4673711666671</v>
      </c>
      <c r="AC53" s="21">
        <f>SiteServices!AB29</f>
        <v>1147.0190340000004</v>
      </c>
      <c r="AD53" s="3">
        <f>SUM(R53:AC53)</f>
        <v>13463.818661000007</v>
      </c>
      <c r="AF53" s="59"/>
      <c r="AG53" s="21">
        <f>SiteServices!AG29</f>
        <v>1161.3567719250004</v>
      </c>
      <c r="AH53" s="21">
        <f>SiteServices!AH29</f>
        <v>1166.1360179000005</v>
      </c>
      <c r="AI53" s="21">
        <f>SiteServices!AI29</f>
        <v>1170.9152638750004</v>
      </c>
      <c r="AJ53" s="21">
        <f>SiteServices!AJ29</f>
        <v>1175.6945098500005</v>
      </c>
      <c r="AK53" s="21">
        <f>SiteServices!AK29</f>
        <v>1180.4737558250006</v>
      </c>
      <c r="AL53" s="21">
        <f>SiteServices!AL29</f>
        <v>1185.2530018000004</v>
      </c>
      <c r="AM53" s="21">
        <f>SiteServices!AM29</f>
        <v>1190.0322477750005</v>
      </c>
      <c r="AN53" s="21">
        <f>SiteServices!AN29</f>
        <v>1194.8114937500004</v>
      </c>
      <c r="AO53" s="21">
        <f>SiteServices!AO29</f>
        <v>1199.5907397250005</v>
      </c>
      <c r="AP53" s="21">
        <f>SiteServices!AP29</f>
        <v>1204.3699857000006</v>
      </c>
      <c r="AQ53" s="21">
        <f>SiteServices!AQ29</f>
        <v>14137.009594050005</v>
      </c>
      <c r="AR53" s="21">
        <f>SiteServices!AR29</f>
        <v>0</v>
      </c>
      <c r="AS53" s="3">
        <f>SUM(AG53:AR53)</f>
        <v>25965.643382175011</v>
      </c>
    </row>
    <row r="54" spans="1:45" hidden="1">
      <c r="A54" s="56" t="s">
        <v>302</v>
      </c>
      <c r="B54" s="59" t="s">
        <v>303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3">
        <f>SUM(C54:N54)</f>
        <v>0</v>
      </c>
      <c r="Q54" s="59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3">
        <f>SUM(R54:AC54)</f>
        <v>0</v>
      </c>
      <c r="AF54" s="59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3">
        <f>SUM(AG54:AR54)</f>
        <v>0</v>
      </c>
    </row>
    <row r="55" spans="1:45" hidden="1">
      <c r="A55" s="56" t="s">
        <v>304</v>
      </c>
      <c r="B55" s="59" t="s">
        <v>305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3">
        <f>SUM(C55:N55)</f>
        <v>0</v>
      </c>
      <c r="Q55" s="59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3">
        <f>SUM(R55:AC55)</f>
        <v>0</v>
      </c>
      <c r="AF55" s="59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3">
        <f>SUM(AG55:AR55)</f>
        <v>0</v>
      </c>
    </row>
    <row r="56" spans="1:45" hidden="1">
      <c r="A56" s="56" t="s">
        <v>306</v>
      </c>
      <c r="B56" s="59" t="s">
        <v>307</v>
      </c>
      <c r="C56" s="21">
        <f>SiteServices!C40</f>
        <v>0</v>
      </c>
      <c r="D56" s="21">
        <f>SiteServices!D40</f>
        <v>0</v>
      </c>
      <c r="E56" s="21">
        <f>SiteServices!E40</f>
        <v>0</v>
      </c>
      <c r="F56" s="21">
        <f>SiteServices!F40</f>
        <v>0</v>
      </c>
      <c r="G56" s="21">
        <f>SiteServices!G40</f>
        <v>0</v>
      </c>
      <c r="H56" s="21">
        <f>SiteServices!H40</f>
        <v>0</v>
      </c>
      <c r="I56" s="21">
        <f>SiteServices!I40</f>
        <v>0</v>
      </c>
      <c r="J56" s="21">
        <f>SiteServices!J40</f>
        <v>0</v>
      </c>
      <c r="K56" s="21">
        <f>SiteServices!K40</f>
        <v>0</v>
      </c>
      <c r="L56" s="21">
        <f>SiteServices!L40</f>
        <v>0</v>
      </c>
      <c r="M56" s="21">
        <f>SiteServices!M40</f>
        <v>0</v>
      </c>
      <c r="N56" s="21">
        <f>SiteServices!N40</f>
        <v>0</v>
      </c>
      <c r="O56" s="3">
        <f>SUM(C56:N56)</f>
        <v>0</v>
      </c>
      <c r="Q56" s="59"/>
      <c r="R56" s="21">
        <f>SiteServices!R40</f>
        <v>0</v>
      </c>
      <c r="S56" s="21">
        <f>SiteServices!S40</f>
        <v>0</v>
      </c>
      <c r="T56" s="21">
        <f>SiteServices!T40</f>
        <v>0</v>
      </c>
      <c r="U56" s="21">
        <f>SiteServices!U40</f>
        <v>0</v>
      </c>
      <c r="V56" s="21">
        <f>SiteServices!V40</f>
        <v>0</v>
      </c>
      <c r="W56" s="21">
        <f>SiteServices!W40</f>
        <v>0</v>
      </c>
      <c r="X56" s="21">
        <f>SiteServices!X40</f>
        <v>0</v>
      </c>
      <c r="Y56" s="21">
        <f>SiteServices!Y40</f>
        <v>0</v>
      </c>
      <c r="Z56" s="21">
        <f>SiteServices!Z40</f>
        <v>0</v>
      </c>
      <c r="AA56" s="21">
        <f>SiteServices!AA40</f>
        <v>0</v>
      </c>
      <c r="AB56" s="21">
        <f>SiteServices!AB40</f>
        <v>0</v>
      </c>
      <c r="AC56" s="21">
        <f>SiteServices!AC40</f>
        <v>0</v>
      </c>
      <c r="AD56" s="3">
        <f>SUM(R56:AC56)</f>
        <v>0</v>
      </c>
      <c r="AF56" s="59"/>
      <c r="AG56" s="21">
        <f>SiteServices!AG40</f>
        <v>0</v>
      </c>
      <c r="AH56" s="21">
        <f>SiteServices!AH40</f>
        <v>0</v>
      </c>
      <c r="AI56" s="21">
        <f>SiteServices!AI40</f>
        <v>0</v>
      </c>
      <c r="AJ56" s="21">
        <f>SiteServices!AJ40</f>
        <v>0</v>
      </c>
      <c r="AK56" s="21">
        <f>SiteServices!AK40</f>
        <v>0</v>
      </c>
      <c r="AL56" s="21">
        <f>SiteServices!AL40</f>
        <v>0</v>
      </c>
      <c r="AM56" s="21">
        <f>SiteServices!AM40</f>
        <v>0</v>
      </c>
      <c r="AN56" s="21">
        <f>SiteServices!AN40</f>
        <v>0</v>
      </c>
      <c r="AO56" s="21">
        <f>SiteServices!AO40</f>
        <v>0</v>
      </c>
      <c r="AP56" s="21">
        <f>SiteServices!AP40</f>
        <v>0</v>
      </c>
      <c r="AQ56" s="21">
        <f>SiteServices!AQ40</f>
        <v>0</v>
      </c>
      <c r="AR56" s="21">
        <f>SiteServices!AR40</f>
        <v>0</v>
      </c>
      <c r="AS56" s="3">
        <f>SUM(AG56:AR56)</f>
        <v>0</v>
      </c>
    </row>
    <row r="57" spans="1:45" s="20" customFormat="1" ht="13.5" thickBot="1">
      <c r="A57" s="56"/>
      <c r="B57" s="136" t="s">
        <v>97</v>
      </c>
      <c r="C57" s="19">
        <f>SUM(C52:C56)</f>
        <v>48444.633818609997</v>
      </c>
      <c r="D57" s="19">
        <f t="shared" ref="D57:O57" si="18">SUM(D52:D56)</f>
        <v>48512.361487220005</v>
      </c>
      <c r="E57" s="19">
        <f t="shared" si="18"/>
        <v>48580.089155830006</v>
      </c>
      <c r="F57" s="19">
        <f t="shared" si="18"/>
        <v>48647.816824440008</v>
      </c>
      <c r="G57" s="19">
        <f t="shared" si="18"/>
        <v>58242.279301660012</v>
      </c>
      <c r="H57" s="19">
        <f t="shared" si="18"/>
        <v>58323.251685992007</v>
      </c>
      <c r="I57" s="19">
        <f t="shared" si="18"/>
        <v>57759.58918837802</v>
      </c>
      <c r="J57" s="19">
        <f t="shared" si="18"/>
        <v>57839.667842432027</v>
      </c>
      <c r="K57" s="19">
        <f t="shared" si="18"/>
        <v>57919.746496486026</v>
      </c>
      <c r="L57" s="19">
        <f t="shared" si="18"/>
        <v>57999.825150540026</v>
      </c>
      <c r="M57" s="19">
        <f t="shared" si="18"/>
        <v>50219.350864650034</v>
      </c>
      <c r="N57" s="19">
        <f t="shared" si="18"/>
        <v>50288.591647800036</v>
      </c>
      <c r="O57" s="19">
        <f t="shared" si="18"/>
        <v>642777.2034640382</v>
      </c>
      <c r="Q57" s="59"/>
      <c r="R57" s="21">
        <f t="shared" ref="R57:AD57" si="19">SUM(R52:R56)</f>
        <v>49394.594999042194</v>
      </c>
      <c r="S57" s="21">
        <f t="shared" si="19"/>
        <v>49599.551824764363</v>
      </c>
      <c r="T57" s="21">
        <f t="shared" si="19"/>
        <v>49804.508650486532</v>
      </c>
      <c r="U57" s="21">
        <f t="shared" si="19"/>
        <v>50009.465476208694</v>
      </c>
      <c r="V57" s="21">
        <f t="shared" si="19"/>
        <v>60034.275283483694</v>
      </c>
      <c r="W57" s="21">
        <f t="shared" si="19"/>
        <v>60279.313141783627</v>
      </c>
      <c r="X57" s="21">
        <f t="shared" si="19"/>
        <v>59856.315280358598</v>
      </c>
      <c r="Y57" s="21">
        <f t="shared" si="19"/>
        <v>60098.648540602961</v>
      </c>
      <c r="Z57" s="21">
        <f t="shared" si="19"/>
        <v>60340.981800847323</v>
      </c>
      <c r="AA57" s="21">
        <f t="shared" si="19"/>
        <v>60583.315061091685</v>
      </c>
      <c r="AB57" s="21">
        <f t="shared" si="19"/>
        <v>52593.485431657522</v>
      </c>
      <c r="AC57" s="21">
        <f t="shared" si="19"/>
        <v>52803.021230190017</v>
      </c>
      <c r="AD57" s="21">
        <f t="shared" si="19"/>
        <v>665397.47672051727</v>
      </c>
      <c r="AF57" s="59"/>
      <c r="AG57" s="21">
        <f t="shared" ref="AG57:AS57" si="20">SUM(AG52:AG56)</f>
        <v>52294.734083010844</v>
      </c>
      <c r="AH57" s="21">
        <f t="shared" si="20"/>
        <v>52509.938750019122</v>
      </c>
      <c r="AI57" s="21">
        <f t="shared" si="20"/>
        <v>63035.989047657873</v>
      </c>
      <c r="AJ57" s="21">
        <f t="shared" si="20"/>
        <v>63293.278798872801</v>
      </c>
      <c r="AK57" s="21">
        <f t="shared" si="20"/>
        <v>62849.131044376518</v>
      </c>
      <c r="AL57" s="21">
        <f t="shared" si="20"/>
        <v>63103.580967633105</v>
      </c>
      <c r="AM57" s="21">
        <f t="shared" si="20"/>
        <v>63358.030890889691</v>
      </c>
      <c r="AN57" s="21">
        <f t="shared" si="20"/>
        <v>63612.480814146271</v>
      </c>
      <c r="AO57" s="21">
        <f t="shared" si="20"/>
        <v>55223.159703240395</v>
      </c>
      <c r="AP57" s="21">
        <f t="shared" si="20"/>
        <v>55443.172291699528</v>
      </c>
      <c r="AQ57" s="21">
        <f t="shared" si="20"/>
        <v>698667.35055654298</v>
      </c>
      <c r="AR57" s="21">
        <f t="shared" si="20"/>
        <v>0</v>
      </c>
      <c r="AS57" s="21">
        <f t="shared" si="20"/>
        <v>1293390.8469480891</v>
      </c>
    </row>
    <row r="58" spans="1:45" ht="13.5" thickTop="1">
      <c r="A58" s="56"/>
      <c r="B58" s="59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Q58" s="59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F58" s="59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</row>
    <row r="59" spans="1:45" s="108" customFormat="1">
      <c r="A59" s="54" t="s">
        <v>308</v>
      </c>
      <c r="B59" s="60" t="str">
        <f>'P&amp;L$'!B60</f>
        <v>OUTSIDE SERVICES - ENRON</v>
      </c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Q59" s="60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F59" s="60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</row>
    <row r="60" spans="1:45" s="108" customFormat="1">
      <c r="A60" s="56" t="s">
        <v>309</v>
      </c>
      <c r="B60" s="59" t="str">
        <f>'P&amp;L$'!B61</f>
        <v>Enron Technical Services</v>
      </c>
      <c r="C60" s="125">
        <f>'P&amp;L$'!C61*Factors!C$11</f>
        <v>28168.290043281839</v>
      </c>
      <c r="D60" s="125">
        <f>'P&amp;L$'!D61*Factors!D$11</f>
        <v>28207.670516679678</v>
      </c>
      <c r="E60" s="125">
        <f>'P&amp;L$'!E61*Factors!E$11</f>
        <v>28247.050990077518</v>
      </c>
      <c r="F60" s="125">
        <f>'P&amp;L$'!F61*Factors!F$11</f>
        <v>28286.431463475354</v>
      </c>
      <c r="G60" s="125">
        <f>'P&amp;L$'!G61*Factors!G$11</f>
        <v>28325.811936873193</v>
      </c>
      <c r="H60" s="125">
        <f>'P&amp;L$'!H61*Factors!H$11</f>
        <v>28365.192410271033</v>
      </c>
      <c r="I60" s="125">
        <f>'P&amp;L$'!I61*Factors!I$11</f>
        <v>28404.572883668872</v>
      </c>
      <c r="J60" s="125">
        <f>'P&amp;L$'!J61*Factors!J$11</f>
        <v>28443.953357066712</v>
      </c>
      <c r="K60" s="125">
        <f>'P&amp;L$'!K61*Factors!K$11</f>
        <v>28483.333830464551</v>
      </c>
      <c r="L60" s="125">
        <f>'P&amp;L$'!L61*Factors!L$11</f>
        <v>28522.714303862391</v>
      </c>
      <c r="M60" s="125">
        <f>'P&amp;L$'!M61*Factors!M$11</f>
        <v>28562.09477726023</v>
      </c>
      <c r="N60" s="125">
        <f>'P&amp;L$'!N61*Factors!N$11</f>
        <v>28601.47525065807</v>
      </c>
      <c r="O60" s="187">
        <f>SUM(C60:N60)</f>
        <v>340618.59176363942</v>
      </c>
      <c r="Q60" s="59"/>
      <c r="R60" s="125">
        <f>'P&amp;L$'!R61*Factors!R$11</f>
        <v>29871.460580361942</v>
      </c>
      <c r="S60" s="125">
        <f>'P&amp;L$'!S61*Factors!S$11</f>
        <v>29995.408549575059</v>
      </c>
      <c r="T60" s="125">
        <f>'P&amp;L$'!T61*Factors!T$11</f>
        <v>30119.35651878818</v>
      </c>
      <c r="U60" s="125">
        <f>'P&amp;L$'!U61*Factors!U$11</f>
        <v>30243.304488001297</v>
      </c>
      <c r="V60" s="125">
        <f>'P&amp;L$'!V61*Factors!V$11</f>
        <v>30367.252457214418</v>
      </c>
      <c r="W60" s="125">
        <f>'P&amp;L$'!W61*Factors!W$11</f>
        <v>30491.200426427535</v>
      </c>
      <c r="X60" s="125">
        <f>'P&amp;L$'!X61*Factors!X$11</f>
        <v>30615.148395640656</v>
      </c>
      <c r="Y60" s="125">
        <f>'P&amp;L$'!Y61*Factors!Y$11</f>
        <v>30739.096364853773</v>
      </c>
      <c r="Z60" s="125">
        <f>'P&amp;L$'!Z61*Factors!Z$11</f>
        <v>30863.044334066893</v>
      </c>
      <c r="AA60" s="125">
        <f>'P&amp;L$'!AA61*Factors!AA$11</f>
        <v>30986.992303280014</v>
      </c>
      <c r="AB60" s="125">
        <f>'P&amp;L$'!AB61*Factors!AB$11</f>
        <v>31110.940272493131</v>
      </c>
      <c r="AC60" s="125">
        <f>'P&amp;L$'!AC61*Factors!AC$11</f>
        <v>31234.888241706252</v>
      </c>
      <c r="AD60" s="187">
        <f>SUM(R60:AC60)</f>
        <v>366638.09293240914</v>
      </c>
      <c r="AF60" s="59"/>
      <c r="AG60" s="125">
        <f>'P&amp;L$'!AG61*Factors!AG$11</f>
        <v>32623.803542090114</v>
      </c>
      <c r="AH60" s="125">
        <f>'P&amp;L$'!AH61*Factors!AH$11</f>
        <v>32759.172021517872</v>
      </c>
      <c r="AI60" s="125">
        <f>'P&amp;L$'!AI61*Factors!AI$11</f>
        <v>32894.54050094563</v>
      </c>
      <c r="AJ60" s="125">
        <f>'P&amp;L$'!AJ61*Factors!AJ$11</f>
        <v>33029.908980373395</v>
      </c>
      <c r="AK60" s="125">
        <f>'P&amp;L$'!AK61*Factors!AK$11</f>
        <v>33165.277459801153</v>
      </c>
      <c r="AL60" s="125">
        <f>'P&amp;L$'!AL61*Factors!AL$11</f>
        <v>33300.645939228911</v>
      </c>
      <c r="AM60" s="125">
        <f>'P&amp;L$'!AM61*Factors!AM$11</f>
        <v>33436.014418656676</v>
      </c>
      <c r="AN60" s="125">
        <f>'P&amp;L$'!AN61*Factors!AN$11</f>
        <v>33571.382898084434</v>
      </c>
      <c r="AO60" s="125">
        <f>'P&amp;L$'!AO61*Factors!AO$11</f>
        <v>33706.751377512192</v>
      </c>
      <c r="AP60" s="125">
        <f>'P&amp;L$'!AP61*Factors!AP$11</f>
        <v>33842.119856939957</v>
      </c>
      <c r="AQ60" s="125">
        <f>'P&amp;L$'!AQ61*Factors!AQ$11</f>
        <v>33977.488336367715</v>
      </c>
      <c r="AR60" s="125">
        <f>'P&amp;L$'!AR61*Factors!AR$11</f>
        <v>34112.856815795472</v>
      </c>
      <c r="AS60" s="187">
        <f>SUM(AG60:AR60)</f>
        <v>400419.96214731346</v>
      </c>
    </row>
    <row r="61" spans="1:45" s="108" customFormat="1">
      <c r="A61" s="56" t="s">
        <v>310</v>
      </c>
      <c r="B61" s="59" t="str">
        <f>'P&amp;L$'!B62</f>
        <v>Enron O &amp; M Supervision</v>
      </c>
      <c r="C61" s="125">
        <f>'P&amp;L$'!C62*Factors!C$11</f>
        <v>253514.47534833118</v>
      </c>
      <c r="D61" s="125">
        <f>'P&amp;L$'!D62*Factors!D$11</f>
        <v>253868.89942011834</v>
      </c>
      <c r="E61" s="125">
        <f>'P&amp;L$'!E62*Factors!E$11</f>
        <v>254223.32349190552</v>
      </c>
      <c r="F61" s="125">
        <f>'P&amp;L$'!F62*Factors!F$11</f>
        <v>254577.74756369271</v>
      </c>
      <c r="G61" s="125">
        <f>'P&amp;L$'!G62*Factors!G$11</f>
        <v>254932.17163547987</v>
      </c>
      <c r="H61" s="125">
        <f>'P&amp;L$'!H62*Factors!H$11</f>
        <v>255286.59570726706</v>
      </c>
      <c r="I61" s="125">
        <f>'P&amp;L$'!I62*Factors!I$11</f>
        <v>255641.01977905424</v>
      </c>
      <c r="J61" s="125">
        <f>'P&amp;L$'!J62*Factors!J$11</f>
        <v>255995.44385084143</v>
      </c>
      <c r="K61" s="125">
        <f>'P&amp;L$'!K62*Factors!K$11</f>
        <v>256349.86792262859</v>
      </c>
      <c r="L61" s="125">
        <f>'P&amp;L$'!L62*Factors!L$11</f>
        <v>256704.29199441578</v>
      </c>
      <c r="M61" s="125">
        <f>'P&amp;L$'!M62*Factors!M$11</f>
        <v>257058.71606620296</v>
      </c>
      <c r="N61" s="125">
        <f>'P&amp;L$'!N62*Factors!N$11</f>
        <v>257413.14013799012</v>
      </c>
      <c r="O61" s="187">
        <f>SUM(C61:N61)</f>
        <v>3065565.6929179276</v>
      </c>
      <c r="Q61" s="59"/>
      <c r="R61" s="125">
        <f>'P&amp;L$'!R62*Factors!R$11</f>
        <v>268824.89196289674</v>
      </c>
      <c r="S61" s="125">
        <f>'P&amp;L$'!S62*Factors!S$11</f>
        <v>269940.34794614522</v>
      </c>
      <c r="T61" s="125">
        <f>'P&amp;L$'!T62*Factors!T$11</f>
        <v>271055.80392939376</v>
      </c>
      <c r="U61" s="125">
        <f>'P&amp;L$'!U62*Factors!U$11</f>
        <v>272171.2599126423</v>
      </c>
      <c r="V61" s="125">
        <f>'P&amp;L$'!V62*Factors!V$11</f>
        <v>273286.71589589084</v>
      </c>
      <c r="W61" s="125">
        <f>'P&amp;L$'!W62*Factors!W$11</f>
        <v>274402.17187913932</v>
      </c>
      <c r="X61" s="125">
        <f>'P&amp;L$'!X62*Factors!X$11</f>
        <v>275517.62786238786</v>
      </c>
      <c r="Y61" s="125">
        <f>'P&amp;L$'!Y62*Factors!Y$11</f>
        <v>276633.0838456364</v>
      </c>
      <c r="Z61" s="125">
        <f>'P&amp;L$'!Z62*Factors!Z$11</f>
        <v>277748.53982888494</v>
      </c>
      <c r="AA61" s="125">
        <f>'P&amp;L$'!AA62*Factors!AA$11</f>
        <v>278863.99581213342</v>
      </c>
      <c r="AB61" s="125">
        <f>'P&amp;L$'!AB62*Factors!AB$11</f>
        <v>279979.45179538196</v>
      </c>
      <c r="AC61" s="125">
        <f>'P&amp;L$'!AC62*Factors!AC$11</f>
        <v>281094.9077786305</v>
      </c>
      <c r="AD61" s="187">
        <f>SUM(R61:AC61)</f>
        <v>3299518.7984491629</v>
      </c>
      <c r="AF61" s="59"/>
      <c r="AG61" s="125">
        <f>'P&amp;L$'!AG62*Factors!AG$11</f>
        <v>293554.86543114524</v>
      </c>
      <c r="AH61" s="125">
        <f>'P&amp;L$'!AH62*Factors!AH$11</f>
        <v>294772.93541218736</v>
      </c>
      <c r="AI61" s="125">
        <f>'P&amp;L$'!AI62*Factors!AI$11</f>
        <v>295991.00539322942</v>
      </c>
      <c r="AJ61" s="125">
        <f>'P&amp;L$'!AJ62*Factors!AJ$11</f>
        <v>297209.07537427155</v>
      </c>
      <c r="AK61" s="125">
        <f>'P&amp;L$'!AK62*Factors!AK$11</f>
        <v>298427.14535531361</v>
      </c>
      <c r="AL61" s="125">
        <f>'P&amp;L$'!AL62*Factors!AL$11</f>
        <v>299645.21533635573</v>
      </c>
      <c r="AM61" s="125">
        <f>'P&amp;L$'!AM62*Factors!AM$11</f>
        <v>300863.28531739785</v>
      </c>
      <c r="AN61" s="125">
        <f>'P&amp;L$'!AN62*Factors!AN$11</f>
        <v>302081.35529843991</v>
      </c>
      <c r="AO61" s="125">
        <f>'P&amp;L$'!AO62*Factors!AO$11</f>
        <v>303299.42527948203</v>
      </c>
      <c r="AP61" s="125">
        <f>'P&amp;L$'!AP62*Factors!AP$11</f>
        <v>304517.4952605241</v>
      </c>
      <c r="AQ61" s="125">
        <f>'P&amp;L$'!AQ62*Factors!AQ$11</f>
        <v>305735.56524156622</v>
      </c>
      <c r="AR61" s="125">
        <f>'P&amp;L$'!AR62*Factors!AR$11</f>
        <v>306953.63522260834</v>
      </c>
      <c r="AS61" s="187">
        <f>SUM(AG61:AR61)</f>
        <v>3603051.0039225211</v>
      </c>
    </row>
    <row r="62" spans="1:45" s="108" customFormat="1" hidden="1">
      <c r="A62" s="56" t="s">
        <v>311</v>
      </c>
      <c r="B62" s="59" t="s">
        <v>312</v>
      </c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Q62" s="59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F62" s="59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</row>
    <row r="63" spans="1:45" ht="13.5" thickBot="1">
      <c r="A63" s="20"/>
      <c r="B63" s="136" t="s">
        <v>97</v>
      </c>
      <c r="C63" s="19">
        <f>SUM(C60:C62)</f>
        <v>281682.76539161301</v>
      </c>
      <c r="D63" s="19">
        <f t="shared" ref="D63:O63" si="21">SUM(D60:D62)</f>
        <v>282076.56993679801</v>
      </c>
      <c r="E63" s="19">
        <f t="shared" si="21"/>
        <v>282470.37448198302</v>
      </c>
      <c r="F63" s="19">
        <f t="shared" si="21"/>
        <v>282864.17902716808</v>
      </c>
      <c r="G63" s="19">
        <f t="shared" si="21"/>
        <v>283257.98357235309</v>
      </c>
      <c r="H63" s="19">
        <f t="shared" si="21"/>
        <v>283651.78811753809</v>
      </c>
      <c r="I63" s="19">
        <f t="shared" si="21"/>
        <v>284045.59266272309</v>
      </c>
      <c r="J63" s="19">
        <f t="shared" si="21"/>
        <v>284439.39720790816</v>
      </c>
      <c r="K63" s="19">
        <f t="shared" si="21"/>
        <v>284833.20175309316</v>
      </c>
      <c r="L63" s="19">
        <f t="shared" si="21"/>
        <v>285227.00629827817</v>
      </c>
      <c r="M63" s="19">
        <f t="shared" si="21"/>
        <v>285620.81084346317</v>
      </c>
      <c r="N63" s="19">
        <f t="shared" si="21"/>
        <v>286014.61538864818</v>
      </c>
      <c r="O63" s="19">
        <f t="shared" si="21"/>
        <v>3406184.284681567</v>
      </c>
      <c r="Q63" s="61"/>
      <c r="R63" s="19">
        <f t="shared" ref="R63:AD63" si="22">SUM(R60:R62)</f>
        <v>298696.35254325869</v>
      </c>
      <c r="S63" s="19">
        <f t="shared" si="22"/>
        <v>299935.7564957203</v>
      </c>
      <c r="T63" s="19">
        <f t="shared" si="22"/>
        <v>301175.16044818197</v>
      </c>
      <c r="U63" s="19">
        <f t="shared" si="22"/>
        <v>302414.56440064358</v>
      </c>
      <c r="V63" s="19">
        <f t="shared" si="22"/>
        <v>303653.96835310524</v>
      </c>
      <c r="W63" s="19">
        <f t="shared" si="22"/>
        <v>304893.37230556685</v>
      </c>
      <c r="X63" s="19">
        <f t="shared" si="22"/>
        <v>306132.77625802852</v>
      </c>
      <c r="Y63" s="19">
        <f t="shared" si="22"/>
        <v>307372.18021049019</v>
      </c>
      <c r="Z63" s="19">
        <f t="shared" si="22"/>
        <v>308611.58416295185</v>
      </c>
      <c r="AA63" s="19">
        <f t="shared" si="22"/>
        <v>309850.98811541346</v>
      </c>
      <c r="AB63" s="19">
        <f t="shared" si="22"/>
        <v>311090.39206787507</v>
      </c>
      <c r="AC63" s="19">
        <f t="shared" si="22"/>
        <v>312329.79602033674</v>
      </c>
      <c r="AD63" s="19">
        <f t="shared" si="22"/>
        <v>3666156.891381572</v>
      </c>
      <c r="AF63" s="61"/>
      <c r="AG63" s="19">
        <f t="shared" ref="AG63:AS63" si="23">SUM(AG60:AG62)</f>
        <v>326178.66897323536</v>
      </c>
      <c r="AH63" s="19">
        <f t="shared" si="23"/>
        <v>327532.10743370524</v>
      </c>
      <c r="AI63" s="19">
        <f t="shared" si="23"/>
        <v>328885.54589417507</v>
      </c>
      <c r="AJ63" s="19">
        <f t="shared" si="23"/>
        <v>330238.98435464496</v>
      </c>
      <c r="AK63" s="19">
        <f t="shared" si="23"/>
        <v>331592.42281511478</v>
      </c>
      <c r="AL63" s="19">
        <f t="shared" si="23"/>
        <v>332945.86127558467</v>
      </c>
      <c r="AM63" s="19">
        <f t="shared" si="23"/>
        <v>334299.2997360545</v>
      </c>
      <c r="AN63" s="19">
        <f t="shared" si="23"/>
        <v>335652.73819652433</v>
      </c>
      <c r="AO63" s="19">
        <f t="shared" si="23"/>
        <v>337006.17665699421</v>
      </c>
      <c r="AP63" s="19">
        <f t="shared" si="23"/>
        <v>338359.61511746404</v>
      </c>
      <c r="AQ63" s="19">
        <f t="shared" si="23"/>
        <v>339713.05357793393</v>
      </c>
      <c r="AR63" s="19">
        <f t="shared" si="23"/>
        <v>341066.49203840381</v>
      </c>
      <c r="AS63" s="19">
        <f t="shared" si="23"/>
        <v>4003470.9660698348</v>
      </c>
    </row>
    <row r="64" spans="1:45" ht="13.5" thickTop="1">
      <c r="A64" s="20"/>
      <c r="B64" s="6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0"/>
      <c r="Q64" s="62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0"/>
      <c r="AF64" s="62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0"/>
    </row>
    <row r="65" spans="1:45">
      <c r="A65" s="54" t="s">
        <v>313</v>
      </c>
      <c r="B65" s="60" t="str">
        <f>'P&amp;L$'!B66</f>
        <v>OUTSIDE SERVICES - LEGAL/FINANCIAL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0"/>
      <c r="Q65" s="60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0"/>
      <c r="AF65" s="60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0"/>
    </row>
    <row r="66" spans="1:45">
      <c r="A66" s="56" t="s">
        <v>315</v>
      </c>
      <c r="B66" s="59" t="str">
        <f>'P&amp;L$'!B67</f>
        <v>Legal - Cameron McKenna</v>
      </c>
      <c r="C66" s="3">
        <f>'P&amp;L$'!C67*Factors!C$11</f>
        <v>64551.2454</v>
      </c>
      <c r="D66" s="3">
        <f>'P&amp;L$'!D67*Factors!D$11</f>
        <v>64641.490800000007</v>
      </c>
      <c r="E66" s="3">
        <f>'P&amp;L$'!E67*Factors!E$11</f>
        <v>64731.736200000007</v>
      </c>
      <c r="F66" s="3">
        <f>'P&amp;L$'!F67*Factors!F$11</f>
        <v>64821.981600000014</v>
      </c>
      <c r="G66" s="3">
        <f>'P&amp;L$'!G67*Factors!G$11</f>
        <v>64912.227000000014</v>
      </c>
      <c r="H66" s="3">
        <f>'P&amp;L$'!H67*Factors!H$11</f>
        <v>65002.472400000021</v>
      </c>
      <c r="I66" s="3">
        <f>'P&amp;L$'!I67*Factors!I$11</f>
        <v>65092.71780000002</v>
      </c>
      <c r="J66" s="3">
        <f>'P&amp;L$'!J67*Factors!J$11</f>
        <v>65182.963200000027</v>
      </c>
      <c r="K66" s="3">
        <f>'P&amp;L$'!K67*Factors!K$11</f>
        <v>65273.208600000034</v>
      </c>
      <c r="L66" s="3">
        <f>'P&amp;L$'!L67*Factors!L$11</f>
        <v>65363.454000000034</v>
      </c>
      <c r="M66" s="3">
        <f>'P&amp;L$'!M67*Factors!M$11</f>
        <v>65453.699400000041</v>
      </c>
      <c r="N66" s="3">
        <f>'P&amp;L$'!N67*Factors!N$11</f>
        <v>65543.944800000041</v>
      </c>
      <c r="O66" s="21">
        <f t="shared" ref="O66:O73" si="24">SUM(C66:N66)</f>
        <v>780571.1412000003</v>
      </c>
      <c r="Q66" s="59"/>
      <c r="R66" s="3">
        <f>'P&amp;L$'!R67*Factors!R$11</f>
        <v>4387.8029713333362</v>
      </c>
      <c r="S66" s="3">
        <f>'P&amp;L$'!S67*Factors!S$11</f>
        <v>4406.0096226666692</v>
      </c>
      <c r="T66" s="3">
        <f>'P&amp;L$'!T67*Factors!T$11</f>
        <v>4424.2162740000022</v>
      </c>
      <c r="U66" s="3">
        <f>'P&amp;L$'!U67*Factors!U$11</f>
        <v>4442.422925333336</v>
      </c>
      <c r="V66" s="3">
        <f>'P&amp;L$'!V67*Factors!V$11</f>
        <v>4460.629576666669</v>
      </c>
      <c r="W66" s="3">
        <f>'P&amp;L$'!W67*Factors!W$11</f>
        <v>4478.8362280000019</v>
      </c>
      <c r="X66" s="3">
        <f>'P&amp;L$'!X67*Factors!X$11</f>
        <v>4497.0428793333358</v>
      </c>
      <c r="Y66" s="3">
        <f>'P&amp;L$'!Y67*Factors!Y$11</f>
        <v>4515.2495306666688</v>
      </c>
      <c r="Z66" s="3">
        <f>'P&amp;L$'!Z67*Factors!Z$11</f>
        <v>4533.4561820000017</v>
      </c>
      <c r="AA66" s="3">
        <f>'P&amp;L$'!AA67*Factors!AA$11</f>
        <v>4551.6628333333347</v>
      </c>
      <c r="AB66" s="3">
        <f>'P&amp;L$'!AB67*Factors!AB$11</f>
        <v>4569.8694846666685</v>
      </c>
      <c r="AC66" s="3">
        <f>'P&amp;L$'!AC67*Factors!AC$11</f>
        <v>4588.0761360000015</v>
      </c>
      <c r="AD66" s="21">
        <f t="shared" ref="AD66:AD73" si="25">SUM(R66:AC66)</f>
        <v>53855.274644000026</v>
      </c>
      <c r="AF66" s="59"/>
      <c r="AG66" s="3">
        <f>'P&amp;L$'!AG67*Factors!AG$11</f>
        <v>4607.1931199000019</v>
      </c>
      <c r="AH66" s="3">
        <f>'P&amp;L$'!AH67*Factors!AH$11</f>
        <v>4626.3101038000013</v>
      </c>
      <c r="AI66" s="3">
        <f>'P&amp;L$'!AI67*Factors!AI$11</f>
        <v>4645.4270877000017</v>
      </c>
      <c r="AJ66" s="3">
        <f>'P&amp;L$'!AJ67*Factors!AJ$11</f>
        <v>4664.5440716000021</v>
      </c>
      <c r="AK66" s="3">
        <f>'P&amp;L$'!AK67*Factors!AK$11</f>
        <v>4683.6610555000016</v>
      </c>
      <c r="AL66" s="3">
        <f>'P&amp;L$'!AL67*Factors!AL$11</f>
        <v>4702.7780394000019</v>
      </c>
      <c r="AM66" s="3">
        <f>'P&amp;L$'!AM67*Factors!AM$11</f>
        <v>4721.8950233000023</v>
      </c>
      <c r="AN66" s="3">
        <f>'P&amp;L$'!AN67*Factors!AN$11</f>
        <v>4741.0120072000018</v>
      </c>
      <c r="AO66" s="3">
        <f>'P&amp;L$'!AO67*Factors!AO$11</f>
        <v>4760.1289911000022</v>
      </c>
      <c r="AP66" s="3">
        <f>'P&amp;L$'!AP67*Factors!AP$11</f>
        <v>4779.2459750000016</v>
      </c>
      <c r="AQ66" s="3">
        <f>'P&amp;L$'!AQ67*Factors!AQ$11</f>
        <v>4798.362958900002</v>
      </c>
      <c r="AR66" s="3">
        <f>'P&amp;L$'!AR67*Factors!AR$11</f>
        <v>4817.4799428000024</v>
      </c>
      <c r="AS66" s="21">
        <f t="shared" ref="AS66:AS73" si="26">SUM(AG66:AR66)</f>
        <v>56548.03837620002</v>
      </c>
    </row>
    <row r="67" spans="1:45">
      <c r="A67" s="56" t="s">
        <v>316</v>
      </c>
      <c r="B67" s="59" t="str">
        <f>'P&amp;L$'!B68</f>
        <v>Legal - White &amp; Case</v>
      </c>
      <c r="C67" s="3">
        <f>'P&amp;L$'!C68*Factors!C$11</f>
        <v>21517.0818</v>
      </c>
      <c r="D67" s="3">
        <f>'P&amp;L$'!D68*Factors!D$11</f>
        <v>21547.1636</v>
      </c>
      <c r="E67" s="3">
        <f>'P&amp;L$'!E68*Factors!E$11</f>
        <v>21577.245400000003</v>
      </c>
      <c r="F67" s="3">
        <f>'P&amp;L$'!F68*Factors!F$11</f>
        <v>21607.327200000003</v>
      </c>
      <c r="G67" s="3">
        <f>'P&amp;L$'!G68*Factors!G$11</f>
        <v>21637.409000000007</v>
      </c>
      <c r="H67" s="3">
        <f>'P&amp;L$'!H68*Factors!H$11</f>
        <v>21667.490800000007</v>
      </c>
      <c r="I67" s="3">
        <f>'P&amp;L$'!I68*Factors!I$11</f>
        <v>21697.572600000007</v>
      </c>
      <c r="J67" s="3">
        <f>'P&amp;L$'!J68*Factors!J$11</f>
        <v>21727.65440000001</v>
      </c>
      <c r="K67" s="3">
        <f>'P&amp;L$'!K68*Factors!K$11</f>
        <v>21757.73620000001</v>
      </c>
      <c r="L67" s="3">
        <f>'P&amp;L$'!L68*Factors!L$11</f>
        <v>21787.818000000014</v>
      </c>
      <c r="M67" s="3">
        <f>'P&amp;L$'!M68*Factors!M$11</f>
        <v>21817.899800000014</v>
      </c>
      <c r="N67" s="3">
        <f>'P&amp;L$'!N68*Factors!N$11</f>
        <v>21847.981600000014</v>
      </c>
      <c r="O67" s="21">
        <f t="shared" si="24"/>
        <v>260190.38040000008</v>
      </c>
      <c r="Q67" s="59"/>
      <c r="R67" s="3">
        <f>'P&amp;L$'!R68*Factors!R$11</f>
        <v>4387.8029713333362</v>
      </c>
      <c r="S67" s="3">
        <f>'P&amp;L$'!S68*Factors!S$11</f>
        <v>4406.0096226666692</v>
      </c>
      <c r="T67" s="3">
        <f>'P&amp;L$'!T68*Factors!T$11</f>
        <v>4424.2162740000022</v>
      </c>
      <c r="U67" s="3">
        <f>'P&amp;L$'!U68*Factors!U$11</f>
        <v>4442.422925333336</v>
      </c>
      <c r="V67" s="3">
        <f>'P&amp;L$'!V68*Factors!V$11</f>
        <v>4460.629576666669</v>
      </c>
      <c r="W67" s="3">
        <f>'P&amp;L$'!W68*Factors!W$11</f>
        <v>4478.8362280000019</v>
      </c>
      <c r="X67" s="3">
        <f>'P&amp;L$'!X68*Factors!X$11</f>
        <v>4497.0428793333358</v>
      </c>
      <c r="Y67" s="3">
        <f>'P&amp;L$'!Y68*Factors!Y$11</f>
        <v>4515.2495306666688</v>
      </c>
      <c r="Z67" s="3">
        <f>'P&amp;L$'!Z68*Factors!Z$11</f>
        <v>4533.4561820000017</v>
      </c>
      <c r="AA67" s="3">
        <f>'P&amp;L$'!AA68*Factors!AA$11</f>
        <v>4551.6628333333347</v>
      </c>
      <c r="AB67" s="3">
        <f>'P&amp;L$'!AB68*Factors!AB$11</f>
        <v>4569.8694846666685</v>
      </c>
      <c r="AC67" s="3">
        <f>'P&amp;L$'!AC68*Factors!AC$11</f>
        <v>4588.0761360000015</v>
      </c>
      <c r="AD67" s="21">
        <f t="shared" si="25"/>
        <v>53855.274644000026</v>
      </c>
      <c r="AF67" s="59"/>
      <c r="AG67" s="3">
        <f>'P&amp;L$'!AG68*Factors!AG$11</f>
        <v>4607.1931199000019</v>
      </c>
      <c r="AH67" s="3">
        <f>'P&amp;L$'!AH68*Factors!AH$11</f>
        <v>4626.3101038000013</v>
      </c>
      <c r="AI67" s="3">
        <f>'P&amp;L$'!AI68*Factors!AI$11</f>
        <v>4645.4270877000017</v>
      </c>
      <c r="AJ67" s="3">
        <f>'P&amp;L$'!AJ68*Factors!AJ$11</f>
        <v>4664.5440716000021</v>
      </c>
      <c r="AK67" s="3">
        <f>'P&amp;L$'!AK68*Factors!AK$11</f>
        <v>4683.6610555000016</v>
      </c>
      <c r="AL67" s="3">
        <f>'P&amp;L$'!AL68*Factors!AL$11</f>
        <v>4702.7780394000019</v>
      </c>
      <c r="AM67" s="3">
        <f>'P&amp;L$'!AM68*Factors!AM$11</f>
        <v>4721.8950233000023</v>
      </c>
      <c r="AN67" s="3">
        <f>'P&amp;L$'!AN68*Factors!AN$11</f>
        <v>4741.0120072000018</v>
      </c>
      <c r="AO67" s="3">
        <f>'P&amp;L$'!AO68*Factors!AO$11</f>
        <v>4760.1289911000022</v>
      </c>
      <c r="AP67" s="3">
        <f>'P&amp;L$'!AP68*Factors!AP$11</f>
        <v>4779.2459750000016</v>
      </c>
      <c r="AQ67" s="3">
        <f>'P&amp;L$'!AQ68*Factors!AQ$11</f>
        <v>4798.362958900002</v>
      </c>
      <c r="AR67" s="3">
        <f>'P&amp;L$'!AR68*Factors!AR$11</f>
        <v>4817.4799428000024</v>
      </c>
      <c r="AS67" s="21">
        <f t="shared" si="26"/>
        <v>56548.03837620002</v>
      </c>
    </row>
    <row r="68" spans="1:45" hidden="1">
      <c r="A68" s="56" t="s">
        <v>317</v>
      </c>
      <c r="B68" s="59" t="str">
        <f>'P&amp;L$'!B69</f>
        <v>Legal - Other</v>
      </c>
      <c r="C68" s="3">
        <f>'P&amp;L$'!C69*Factors!C$11</f>
        <v>0</v>
      </c>
      <c r="D68" s="3">
        <f>'P&amp;L$'!D69*Factors!D$11</f>
        <v>0</v>
      </c>
      <c r="E68" s="3">
        <f>'P&amp;L$'!E69*Factors!E$11</f>
        <v>0</v>
      </c>
      <c r="F68" s="3">
        <f>'P&amp;L$'!F69*Factors!F$11</f>
        <v>0</v>
      </c>
      <c r="G68" s="3">
        <f>'P&amp;L$'!G69*Factors!G$11</f>
        <v>0</v>
      </c>
      <c r="H68" s="3">
        <f>'P&amp;L$'!H69*Factors!H$11</f>
        <v>0</v>
      </c>
      <c r="I68" s="3">
        <f>'P&amp;L$'!I69*Factors!I$11</f>
        <v>0</v>
      </c>
      <c r="J68" s="3">
        <f>'P&amp;L$'!J69*Factors!J$11</f>
        <v>0</v>
      </c>
      <c r="K68" s="3">
        <f>'P&amp;L$'!K69*Factors!K$11</f>
        <v>0</v>
      </c>
      <c r="L68" s="3">
        <f>'P&amp;L$'!L69*Factors!L$11</f>
        <v>0</v>
      </c>
      <c r="M68" s="3">
        <f>'P&amp;L$'!M69*Factors!M$11</f>
        <v>0</v>
      </c>
      <c r="N68" s="3">
        <f>'P&amp;L$'!N69*Factors!N$11</f>
        <v>0</v>
      </c>
      <c r="O68" s="21">
        <f t="shared" si="24"/>
        <v>0</v>
      </c>
      <c r="Q68" s="59"/>
      <c r="R68" s="3">
        <f>'P&amp;L$'!R69*Factors!R$11</f>
        <v>0</v>
      </c>
      <c r="S68" s="3">
        <f>'P&amp;L$'!S69*Factors!S$11</f>
        <v>0</v>
      </c>
      <c r="T68" s="3">
        <f>'P&amp;L$'!T69*Factors!T$11</f>
        <v>0</v>
      </c>
      <c r="U68" s="3">
        <f>'P&amp;L$'!U69*Factors!U$11</f>
        <v>0</v>
      </c>
      <c r="V68" s="3">
        <f>'P&amp;L$'!V69*Factors!V$11</f>
        <v>0</v>
      </c>
      <c r="W68" s="3">
        <f>'P&amp;L$'!W69*Factors!W$11</f>
        <v>0</v>
      </c>
      <c r="X68" s="3">
        <f>'P&amp;L$'!X69*Factors!X$11</f>
        <v>0</v>
      </c>
      <c r="Y68" s="3">
        <f>'P&amp;L$'!Y69*Factors!Y$11</f>
        <v>0</v>
      </c>
      <c r="Z68" s="3">
        <f>'P&amp;L$'!Z69*Factors!Z$11</f>
        <v>0</v>
      </c>
      <c r="AA68" s="3">
        <f>'P&amp;L$'!AA69*Factors!AA$11</f>
        <v>0</v>
      </c>
      <c r="AB68" s="3">
        <f>'P&amp;L$'!AB69*Factors!AB$11</f>
        <v>0</v>
      </c>
      <c r="AC68" s="3">
        <f>'P&amp;L$'!AC69*Factors!AC$11</f>
        <v>0</v>
      </c>
      <c r="AD68" s="21">
        <f t="shared" si="25"/>
        <v>0</v>
      </c>
      <c r="AF68" s="59"/>
      <c r="AG68" s="3">
        <f>'P&amp;L$'!AG69*Factors!AG$11</f>
        <v>0</v>
      </c>
      <c r="AH68" s="3">
        <f>'P&amp;L$'!AH69*Factors!AH$11</f>
        <v>0</v>
      </c>
      <c r="AI68" s="3">
        <f>'P&amp;L$'!AI69*Factors!AI$11</f>
        <v>0</v>
      </c>
      <c r="AJ68" s="3">
        <f>'P&amp;L$'!AJ69*Factors!AJ$11</f>
        <v>0</v>
      </c>
      <c r="AK68" s="3">
        <f>'P&amp;L$'!AK69*Factors!AK$11</f>
        <v>0</v>
      </c>
      <c r="AL68" s="3">
        <f>'P&amp;L$'!AL69*Factors!AL$11</f>
        <v>0</v>
      </c>
      <c r="AM68" s="3">
        <f>'P&amp;L$'!AM69*Factors!AM$11</f>
        <v>0</v>
      </c>
      <c r="AN68" s="3">
        <f>'P&amp;L$'!AN69*Factors!AN$11</f>
        <v>0</v>
      </c>
      <c r="AO68" s="3">
        <f>'P&amp;L$'!AO69*Factors!AO$11</f>
        <v>0</v>
      </c>
      <c r="AP68" s="3">
        <f>'P&amp;L$'!AP69*Factors!AP$11</f>
        <v>0</v>
      </c>
      <c r="AQ68" s="3">
        <f>'P&amp;L$'!AQ69*Factors!AQ$11</f>
        <v>0</v>
      </c>
      <c r="AR68" s="3">
        <f>'P&amp;L$'!AR69*Factors!AR$11</f>
        <v>0</v>
      </c>
      <c r="AS68" s="21">
        <f t="shared" si="26"/>
        <v>0</v>
      </c>
    </row>
    <row r="69" spans="1:45">
      <c r="A69" s="56" t="s">
        <v>318</v>
      </c>
      <c r="B69" s="59" t="str">
        <f>'P&amp;L$'!B70</f>
        <v>Financial-Arthur Andersen</v>
      </c>
      <c r="C69" s="3">
        <f>'P&amp;L$'!C70*Factors!C$11</f>
        <v>4303.4163600000002</v>
      </c>
      <c r="D69" s="3">
        <f>'P&amp;L$'!D70*Factors!D$11</f>
        <v>4309.4327199999998</v>
      </c>
      <c r="E69" s="3">
        <f>'P&amp;L$'!E70*Factors!E$11</f>
        <v>4315.4490800000003</v>
      </c>
      <c r="F69" s="3">
        <f>'P&amp;L$'!F70*Factors!F$11</f>
        <v>4321.4654400000009</v>
      </c>
      <c r="G69" s="3">
        <f>'P&amp;L$'!G70*Factors!G$11</f>
        <v>4327.4818000000014</v>
      </c>
      <c r="H69" s="3">
        <f>'P&amp;L$'!H70*Factors!H$11</f>
        <v>4333.498160000001</v>
      </c>
      <c r="I69" s="3">
        <f>'P&amp;L$'!I70*Factors!I$11</f>
        <v>4339.5145200000015</v>
      </c>
      <c r="J69" s="3">
        <f>'P&amp;L$'!J70*Factors!J$11</f>
        <v>4345.5308800000021</v>
      </c>
      <c r="K69" s="3">
        <f>'P&amp;L$'!K70*Factors!K$11</f>
        <v>4351.5472400000017</v>
      </c>
      <c r="L69" s="3">
        <f>'P&amp;L$'!L70*Factors!L$11</f>
        <v>4357.5636000000022</v>
      </c>
      <c r="M69" s="3">
        <f>'P&amp;L$'!M70*Factors!M$11</f>
        <v>4363.5799600000028</v>
      </c>
      <c r="N69" s="3">
        <f>'P&amp;L$'!N70*Factors!N$11</f>
        <v>4369.5963200000033</v>
      </c>
      <c r="O69" s="21">
        <f t="shared" si="24"/>
        <v>52038.076080000013</v>
      </c>
      <c r="Q69" s="59"/>
      <c r="R69" s="3">
        <f>'P&amp;L$'!R70*Factors!R$11</f>
        <v>2193.9014856666681</v>
      </c>
      <c r="S69" s="3">
        <f>'P&amp;L$'!S70*Factors!S$11</f>
        <v>2203.0048113333346</v>
      </c>
      <c r="T69" s="3">
        <f>'P&amp;L$'!T70*Factors!T$11</f>
        <v>2212.1081370000011</v>
      </c>
      <c r="U69" s="3">
        <f>'P&amp;L$'!U70*Factors!U$11</f>
        <v>2221.211462666668</v>
      </c>
      <c r="V69" s="3">
        <f>'P&amp;L$'!V70*Factors!V$11</f>
        <v>2230.3147883333345</v>
      </c>
      <c r="W69" s="3">
        <f>'P&amp;L$'!W70*Factors!W$11</f>
        <v>2239.418114000001</v>
      </c>
      <c r="X69" s="3">
        <f>'P&amp;L$'!X70*Factors!X$11</f>
        <v>2248.5214396666679</v>
      </c>
      <c r="Y69" s="3">
        <f>'P&amp;L$'!Y70*Factors!Y$11</f>
        <v>2257.6247653333344</v>
      </c>
      <c r="Z69" s="3">
        <f>'P&amp;L$'!Z70*Factors!Z$11</f>
        <v>2266.7280910000009</v>
      </c>
      <c r="AA69" s="3">
        <f>'P&amp;L$'!AA70*Factors!AA$11</f>
        <v>2275.8314166666673</v>
      </c>
      <c r="AB69" s="3">
        <f>'P&amp;L$'!AB70*Factors!AB$11</f>
        <v>2284.9347423333343</v>
      </c>
      <c r="AC69" s="3">
        <f>'P&amp;L$'!AC70*Factors!AC$11</f>
        <v>2294.0380680000007</v>
      </c>
      <c r="AD69" s="21">
        <f t="shared" si="25"/>
        <v>26927.637322000013</v>
      </c>
      <c r="AF69" s="59"/>
      <c r="AG69" s="3">
        <f>'P&amp;L$'!AG70*Factors!AG$11</f>
        <v>2303.5965599500009</v>
      </c>
      <c r="AH69" s="3">
        <f>'P&amp;L$'!AH70*Factors!AH$11</f>
        <v>2313.1550519000007</v>
      </c>
      <c r="AI69" s="3">
        <f>'P&amp;L$'!AI70*Factors!AI$11</f>
        <v>2322.7135438500009</v>
      </c>
      <c r="AJ69" s="3">
        <f>'P&amp;L$'!AJ70*Factors!AJ$11</f>
        <v>2332.272035800001</v>
      </c>
      <c r="AK69" s="3">
        <f>'P&amp;L$'!AK70*Factors!AK$11</f>
        <v>2341.8305277500008</v>
      </c>
      <c r="AL69" s="3">
        <f>'P&amp;L$'!AL70*Factors!AL$11</f>
        <v>2351.389019700001</v>
      </c>
      <c r="AM69" s="3">
        <f>'P&amp;L$'!AM70*Factors!AM$11</f>
        <v>2360.9475116500012</v>
      </c>
      <c r="AN69" s="3">
        <f>'P&amp;L$'!AN70*Factors!AN$11</f>
        <v>2370.5060036000009</v>
      </c>
      <c r="AO69" s="3">
        <f>'P&amp;L$'!AO70*Factors!AO$11</f>
        <v>2380.0644955500011</v>
      </c>
      <c r="AP69" s="3">
        <f>'P&amp;L$'!AP70*Factors!AP$11</f>
        <v>2389.6229875000008</v>
      </c>
      <c r="AQ69" s="3">
        <f>'P&amp;L$'!AQ70*Factors!AQ$11</f>
        <v>2399.181479450001</v>
      </c>
      <c r="AR69" s="3">
        <f>'P&amp;L$'!AR70*Factors!AR$11</f>
        <v>2408.7399714000012</v>
      </c>
      <c r="AS69" s="21">
        <f t="shared" si="26"/>
        <v>28274.01918810001</v>
      </c>
    </row>
    <row r="70" spans="1:45">
      <c r="A70" s="56" t="s">
        <v>319</v>
      </c>
      <c r="B70" s="59" t="str">
        <f>'P&amp;L$'!B71</f>
        <v>Audit</v>
      </c>
      <c r="C70" s="3">
        <f>'P&amp;L$'!C71*Factors!C$11</f>
        <v>17213.665440000001</v>
      </c>
      <c r="D70" s="3">
        <f>'P&amp;L$'!D71*Factors!D$11</f>
        <v>17237.730879999999</v>
      </c>
      <c r="E70" s="3">
        <f>'P&amp;L$'!E71*Factors!E$11</f>
        <v>17261.796320000001</v>
      </c>
      <c r="F70" s="3">
        <f>'P&amp;L$'!F71*Factors!F$11</f>
        <v>17285.861760000003</v>
      </c>
      <c r="G70" s="3">
        <f>'P&amp;L$'!G71*Factors!G$11</f>
        <v>17309.927200000006</v>
      </c>
      <c r="H70" s="3">
        <f>'P&amp;L$'!H71*Factors!H$11</f>
        <v>17333.992640000004</v>
      </c>
      <c r="I70" s="3">
        <f>'P&amp;L$'!I71*Factors!I$11</f>
        <v>17358.058080000006</v>
      </c>
      <c r="J70" s="3">
        <f>'P&amp;L$'!J71*Factors!J$11</f>
        <v>17382.123520000008</v>
      </c>
      <c r="K70" s="3">
        <f>'P&amp;L$'!K71*Factors!K$11</f>
        <v>17406.188960000007</v>
      </c>
      <c r="L70" s="3">
        <f>'P&amp;L$'!L71*Factors!L$11</f>
        <v>17430.254400000009</v>
      </c>
      <c r="M70" s="3">
        <f>'P&amp;L$'!M71*Factors!M$11</f>
        <v>17454.319840000011</v>
      </c>
      <c r="N70" s="3">
        <f>'P&amp;L$'!N71*Factors!N$11</f>
        <v>17478.385280000013</v>
      </c>
      <c r="O70" s="21">
        <f t="shared" si="24"/>
        <v>208152.30432000005</v>
      </c>
      <c r="Q70" s="59"/>
      <c r="R70" s="3">
        <f>'P&amp;L$'!R71*Factors!R$11</f>
        <v>17551.211885333345</v>
      </c>
      <c r="S70" s="3">
        <f>'P&amp;L$'!S71*Factors!S$11</f>
        <v>17624.038490666677</v>
      </c>
      <c r="T70" s="3">
        <f>'P&amp;L$'!T71*Factors!T$11</f>
        <v>17696.865096000009</v>
      </c>
      <c r="U70" s="3">
        <f>'P&amp;L$'!U71*Factors!U$11</f>
        <v>17769.691701333344</v>
      </c>
      <c r="V70" s="3">
        <f>'P&amp;L$'!V71*Factors!V$11</f>
        <v>17842.518306666676</v>
      </c>
      <c r="W70" s="3">
        <f>'P&amp;L$'!W71*Factors!W$11</f>
        <v>17915.344912000008</v>
      </c>
      <c r="X70" s="3">
        <f>'P&amp;L$'!X71*Factors!X$11</f>
        <v>17988.171517333343</v>
      </c>
      <c r="Y70" s="3">
        <f>'P&amp;L$'!Y71*Factors!Y$11</f>
        <v>18060.998122666675</v>
      </c>
      <c r="Z70" s="3">
        <f>'P&amp;L$'!Z71*Factors!Z$11</f>
        <v>18133.824728000007</v>
      </c>
      <c r="AA70" s="3">
        <f>'P&amp;L$'!AA71*Factors!AA$11</f>
        <v>18206.651333333339</v>
      </c>
      <c r="AB70" s="3">
        <f>'P&amp;L$'!AB71*Factors!AB$11</f>
        <v>18279.477938666674</v>
      </c>
      <c r="AC70" s="3">
        <f>'P&amp;L$'!AC71*Factors!AC$11</f>
        <v>18352.304544000006</v>
      </c>
      <c r="AD70" s="21">
        <f t="shared" si="25"/>
        <v>215421.09857600011</v>
      </c>
      <c r="AF70" s="59"/>
      <c r="AG70" s="3">
        <f>'P&amp;L$'!AG71*Factors!AG$11</f>
        <v>18428.772479600008</v>
      </c>
      <c r="AH70" s="3">
        <f>'P&amp;L$'!AH71*Factors!AH$11</f>
        <v>18505.240415200005</v>
      </c>
      <c r="AI70" s="3">
        <f>'P&amp;L$'!AI71*Factors!AI$11</f>
        <v>18581.708350800007</v>
      </c>
      <c r="AJ70" s="3">
        <f>'P&amp;L$'!AJ71*Factors!AJ$11</f>
        <v>18658.176286400008</v>
      </c>
      <c r="AK70" s="3">
        <f>'P&amp;L$'!AK71*Factors!AK$11</f>
        <v>18734.644222000006</v>
      </c>
      <c r="AL70" s="3">
        <f>'P&amp;L$'!AL71*Factors!AL$11</f>
        <v>18811.112157600008</v>
      </c>
      <c r="AM70" s="3">
        <f>'P&amp;L$'!AM71*Factors!AM$11</f>
        <v>18887.580093200009</v>
      </c>
      <c r="AN70" s="3">
        <f>'P&amp;L$'!AN71*Factors!AN$11</f>
        <v>18964.048028800007</v>
      </c>
      <c r="AO70" s="3">
        <f>'P&amp;L$'!AO71*Factors!AO$11</f>
        <v>19040.515964400009</v>
      </c>
      <c r="AP70" s="3">
        <f>'P&amp;L$'!AP71*Factors!AP$11</f>
        <v>19116.983900000007</v>
      </c>
      <c r="AQ70" s="3">
        <f>'P&amp;L$'!AQ71*Factors!AQ$11</f>
        <v>19193.451835600008</v>
      </c>
      <c r="AR70" s="3">
        <f>'P&amp;L$'!AR71*Factors!AR$11</f>
        <v>19269.91977120001</v>
      </c>
      <c r="AS70" s="21">
        <f t="shared" si="26"/>
        <v>226192.15350480008</v>
      </c>
    </row>
    <row r="71" spans="1:45" hidden="1">
      <c r="A71" s="56" t="s">
        <v>320</v>
      </c>
      <c r="B71" s="59" t="str">
        <f>'P&amp;L$'!B72</f>
        <v>Financial -Other</v>
      </c>
      <c r="C71" s="21">
        <f>Oheads!C15/Factors!C11</f>
        <v>0</v>
      </c>
      <c r="D71" s="21">
        <f>Oheads!D15/Factors!D11</f>
        <v>0</v>
      </c>
      <c r="E71" s="21">
        <f>Oheads!E15/Factors!E11</f>
        <v>0</v>
      </c>
      <c r="F71" s="21">
        <f>Oheads!F15/Factors!F11</f>
        <v>0</v>
      </c>
      <c r="G71" s="21">
        <f>Oheads!G15/Factors!G11</f>
        <v>0</v>
      </c>
      <c r="H71" s="21">
        <f>Oheads!H15/Factors!H11</f>
        <v>0</v>
      </c>
      <c r="I71" s="21">
        <f>Oheads!I15/Factors!I11</f>
        <v>0</v>
      </c>
      <c r="J71" s="21">
        <f>Oheads!J15/Factors!J11</f>
        <v>0</v>
      </c>
      <c r="K71" s="21">
        <f>Oheads!K15/Factors!K11</f>
        <v>0</v>
      </c>
      <c r="L71" s="21">
        <f>Oheads!L15/Factors!L11</f>
        <v>0</v>
      </c>
      <c r="M71" s="21">
        <f>Oheads!M15/Factors!M11</f>
        <v>0</v>
      </c>
      <c r="N71" s="21">
        <f>Oheads!N15/Factors!N11</f>
        <v>0</v>
      </c>
      <c r="O71" s="21">
        <f t="shared" si="24"/>
        <v>0</v>
      </c>
      <c r="Q71" s="59"/>
      <c r="R71" s="21">
        <f>Oheads!Q15/Factors!R11</f>
        <v>0</v>
      </c>
      <c r="S71" s="21">
        <f>Oheads!R15/Factors!S11</f>
        <v>0</v>
      </c>
      <c r="T71" s="21">
        <f>Oheads!S15/Factors!T11</f>
        <v>0</v>
      </c>
      <c r="U71" s="21">
        <f>Oheads!T15/Factors!U11</f>
        <v>0</v>
      </c>
      <c r="V71" s="21">
        <f>Oheads!U15/Factors!V11</f>
        <v>0</v>
      </c>
      <c r="W71" s="21">
        <f>Oheads!V15/Factors!W11</f>
        <v>0</v>
      </c>
      <c r="X71" s="21">
        <f>Oheads!W15/Factors!X11</f>
        <v>0</v>
      </c>
      <c r="Y71" s="21">
        <f>Oheads!X15/Factors!Y11</f>
        <v>0</v>
      </c>
      <c r="Z71" s="21">
        <f>Oheads!Y15/Factors!Z11</f>
        <v>0</v>
      </c>
      <c r="AA71" s="21">
        <f>Oheads!Z15/Factors!AA11</f>
        <v>0</v>
      </c>
      <c r="AB71" s="21">
        <f>Oheads!AA15/Factors!AB11</f>
        <v>0</v>
      </c>
      <c r="AC71" s="21">
        <f>Oheads!AB15/Factors!AC11</f>
        <v>0</v>
      </c>
      <c r="AD71" s="21">
        <f t="shared" si="25"/>
        <v>0</v>
      </c>
      <c r="AF71" s="59"/>
      <c r="AG71" s="21">
        <f>Oheads!AF15/Factors!AG11</f>
        <v>0</v>
      </c>
      <c r="AH71" s="21">
        <f>Oheads!AG15/Factors!AH11</f>
        <v>0</v>
      </c>
      <c r="AI71" s="21">
        <f>Oheads!AH15/Factors!AI11</f>
        <v>0</v>
      </c>
      <c r="AJ71" s="21">
        <f>Oheads!AI15/Factors!AJ11</f>
        <v>0</v>
      </c>
      <c r="AK71" s="21">
        <f>Oheads!AJ15/Factors!AK11</f>
        <v>0</v>
      </c>
      <c r="AL71" s="21">
        <f>Oheads!AK15/Factors!AL11</f>
        <v>0</v>
      </c>
      <c r="AM71" s="21">
        <f>Oheads!AL15/Factors!AM11</f>
        <v>0</v>
      </c>
      <c r="AN71" s="21">
        <f>Oheads!AM15/Factors!AN11</f>
        <v>0</v>
      </c>
      <c r="AO71" s="21">
        <f>Oheads!AN15/Factors!AO11</f>
        <v>0</v>
      </c>
      <c r="AP71" s="21">
        <f>Oheads!AO15/Factors!AP11</f>
        <v>0</v>
      </c>
      <c r="AQ71" s="21">
        <f>Oheads!AP15/Factors!AQ11</f>
        <v>0</v>
      </c>
      <c r="AR71" s="21">
        <f>Oheads!AQ15/Factors!AR11</f>
        <v>0</v>
      </c>
      <c r="AS71" s="21">
        <f t="shared" si="26"/>
        <v>0</v>
      </c>
    </row>
    <row r="72" spans="1:45">
      <c r="A72" s="56" t="s">
        <v>322</v>
      </c>
      <c r="B72" s="59" t="str">
        <f>'P&amp;L$'!B73</f>
        <v>Sun system</v>
      </c>
      <c r="C72" s="21">
        <f>Oheads!C18</f>
        <v>2850</v>
      </c>
      <c r="D72" s="21">
        <f>Oheads!D18</f>
        <v>2850</v>
      </c>
      <c r="E72" s="21">
        <f>Oheads!E18</f>
        <v>2850</v>
      </c>
      <c r="F72" s="21">
        <f>Oheads!F18</f>
        <v>2850</v>
      </c>
      <c r="G72" s="21">
        <f>Oheads!G18</f>
        <v>2850</v>
      </c>
      <c r="H72" s="21">
        <f>Oheads!H18</f>
        <v>2850</v>
      </c>
      <c r="I72" s="21">
        <f>Oheads!I18</f>
        <v>2850</v>
      </c>
      <c r="J72" s="21">
        <f>Oheads!J18</f>
        <v>2850</v>
      </c>
      <c r="K72" s="21">
        <f>Oheads!K18</f>
        <v>2850</v>
      </c>
      <c r="L72" s="21">
        <f>Oheads!L18</f>
        <v>2850</v>
      </c>
      <c r="M72" s="21">
        <f>Oheads!M18</f>
        <v>2850</v>
      </c>
      <c r="N72" s="21">
        <f>Oheads!N18</f>
        <v>2850</v>
      </c>
      <c r="O72" s="21">
        <f t="shared" si="24"/>
        <v>34200</v>
      </c>
      <c r="Q72" s="65"/>
      <c r="R72" s="21">
        <f>Oheads!Q18</f>
        <v>2850</v>
      </c>
      <c r="S72" s="21">
        <f>Oheads!R18</f>
        <v>2850</v>
      </c>
      <c r="T72" s="21">
        <f>Oheads!S18</f>
        <v>2850</v>
      </c>
      <c r="U72" s="21">
        <f>Oheads!T18</f>
        <v>2850</v>
      </c>
      <c r="V72" s="21">
        <f>Oheads!U18</f>
        <v>2850</v>
      </c>
      <c r="W72" s="21">
        <f>Oheads!V18</f>
        <v>2850</v>
      </c>
      <c r="X72" s="21">
        <f>Oheads!W18</f>
        <v>2850</v>
      </c>
      <c r="Y72" s="21">
        <f>Oheads!X18</f>
        <v>2850</v>
      </c>
      <c r="Z72" s="21">
        <f>Oheads!Y18</f>
        <v>2850</v>
      </c>
      <c r="AA72" s="21">
        <f>Oheads!Z18</f>
        <v>2850</v>
      </c>
      <c r="AB72" s="21">
        <f>Oheads!AA18</f>
        <v>2850</v>
      </c>
      <c r="AC72" s="21">
        <f>Oheads!AB18</f>
        <v>2850</v>
      </c>
      <c r="AD72" s="21">
        <f t="shared" si="25"/>
        <v>34200</v>
      </c>
      <c r="AF72" s="65"/>
      <c r="AG72" s="21">
        <f>Oheads!AE18</f>
        <v>2850</v>
      </c>
      <c r="AH72" s="21">
        <f>Oheads!AF18</f>
        <v>2850</v>
      </c>
      <c r="AI72" s="21">
        <f>Oheads!AG18</f>
        <v>2850</v>
      </c>
      <c r="AJ72" s="21">
        <f>Oheads!AH18</f>
        <v>2850</v>
      </c>
      <c r="AK72" s="21">
        <f>Oheads!AI18</f>
        <v>2850</v>
      </c>
      <c r="AL72" s="21">
        <f>Oheads!AJ18</f>
        <v>2850</v>
      </c>
      <c r="AM72" s="21">
        <f>Oheads!AK18</f>
        <v>2850</v>
      </c>
      <c r="AN72" s="21">
        <f>Oheads!AL18</f>
        <v>2850</v>
      </c>
      <c r="AO72" s="21">
        <f>Oheads!AM18</f>
        <v>2850</v>
      </c>
      <c r="AP72" s="21">
        <f>Oheads!AN18</f>
        <v>2850</v>
      </c>
      <c r="AQ72" s="21">
        <f>Oheads!AO18</f>
        <v>2850</v>
      </c>
      <c r="AR72" s="21">
        <f>Oheads!AP18</f>
        <v>2850</v>
      </c>
      <c r="AS72" s="21">
        <f t="shared" si="26"/>
        <v>34200</v>
      </c>
    </row>
    <row r="73" spans="1:45">
      <c r="A73" s="56" t="s">
        <v>324</v>
      </c>
      <c r="B73" s="59" t="str">
        <f>'P&amp;L$'!B74</f>
        <v>IFS system</v>
      </c>
      <c r="C73" s="21">
        <f>Oheads!C19</f>
        <v>2800</v>
      </c>
      <c r="D73" s="21">
        <f>Oheads!D19</f>
        <v>2800</v>
      </c>
      <c r="E73" s="21">
        <f>Oheads!E19</f>
        <v>2800</v>
      </c>
      <c r="F73" s="21">
        <f>Oheads!F19</f>
        <v>2800</v>
      </c>
      <c r="G73" s="21">
        <f>Oheads!G19</f>
        <v>2800</v>
      </c>
      <c r="H73" s="21">
        <f>Oheads!H19</f>
        <v>2800</v>
      </c>
      <c r="I73" s="21">
        <f>Oheads!I19</f>
        <v>2800</v>
      </c>
      <c r="J73" s="21">
        <f>Oheads!J19</f>
        <v>2800</v>
      </c>
      <c r="K73" s="21">
        <f>Oheads!K19</f>
        <v>2800</v>
      </c>
      <c r="L73" s="21">
        <f>Oheads!L19</f>
        <v>2800</v>
      </c>
      <c r="M73" s="21">
        <f>Oheads!M19</f>
        <v>2800</v>
      </c>
      <c r="N73" s="21">
        <f>Oheads!N19</f>
        <v>2800</v>
      </c>
      <c r="O73" s="21">
        <f t="shared" si="24"/>
        <v>33600</v>
      </c>
      <c r="Q73" s="65"/>
      <c r="R73" s="21">
        <f>Oheads!Q19</f>
        <v>2800</v>
      </c>
      <c r="S73" s="21">
        <f>Oheads!R19</f>
        <v>2800</v>
      </c>
      <c r="T73" s="21">
        <f>Oheads!S19</f>
        <v>2800</v>
      </c>
      <c r="U73" s="21">
        <f>Oheads!T19</f>
        <v>2800</v>
      </c>
      <c r="V73" s="21">
        <f>Oheads!U19</f>
        <v>2800</v>
      </c>
      <c r="W73" s="21">
        <f>Oheads!V19</f>
        <v>2800</v>
      </c>
      <c r="X73" s="21">
        <f>Oheads!W19</f>
        <v>2800</v>
      </c>
      <c r="Y73" s="21">
        <f>Oheads!X19</f>
        <v>2800</v>
      </c>
      <c r="Z73" s="21">
        <f>Oheads!Y19</f>
        <v>2800</v>
      </c>
      <c r="AA73" s="21">
        <f>Oheads!Z19</f>
        <v>2800</v>
      </c>
      <c r="AB73" s="21">
        <f>Oheads!AA19</f>
        <v>2800</v>
      </c>
      <c r="AC73" s="21">
        <f>Oheads!AB19</f>
        <v>2800</v>
      </c>
      <c r="AD73" s="21">
        <f t="shared" si="25"/>
        <v>33600</v>
      </c>
      <c r="AF73" s="65"/>
      <c r="AG73" s="21">
        <f>Oheads!AE19</f>
        <v>2800</v>
      </c>
      <c r="AH73" s="21">
        <f>Oheads!AF19</f>
        <v>2800</v>
      </c>
      <c r="AI73" s="21">
        <f>Oheads!AG19</f>
        <v>2800</v>
      </c>
      <c r="AJ73" s="21">
        <f>Oheads!AH19</f>
        <v>2800</v>
      </c>
      <c r="AK73" s="21">
        <f>Oheads!AI19</f>
        <v>2800</v>
      </c>
      <c r="AL73" s="21">
        <f>Oheads!AJ19</f>
        <v>2800</v>
      </c>
      <c r="AM73" s="21">
        <f>Oheads!AK19</f>
        <v>2800</v>
      </c>
      <c r="AN73" s="21">
        <f>Oheads!AL19</f>
        <v>2800</v>
      </c>
      <c r="AO73" s="21">
        <f>Oheads!AM19</f>
        <v>2800</v>
      </c>
      <c r="AP73" s="21">
        <f>Oheads!AN19</f>
        <v>2800</v>
      </c>
      <c r="AQ73" s="21">
        <f>Oheads!AO19</f>
        <v>2800</v>
      </c>
      <c r="AR73" s="21">
        <f>Oheads!AP19</f>
        <v>2800</v>
      </c>
      <c r="AS73" s="21">
        <f t="shared" si="26"/>
        <v>33600</v>
      </c>
    </row>
    <row r="74" spans="1:45" s="20" customFormat="1" ht="13.5" thickBot="1">
      <c r="A74" s="56"/>
      <c r="B74" s="136" t="s">
        <v>97</v>
      </c>
      <c r="C74" s="19">
        <f t="shared" ref="C74:O74" si="27">SUM(C66:C73)</f>
        <v>113235.409</v>
      </c>
      <c r="D74" s="19">
        <f t="shared" si="27"/>
        <v>113385.818</v>
      </c>
      <c r="E74" s="19">
        <f t="shared" si="27"/>
        <v>113536.22700000001</v>
      </c>
      <c r="F74" s="19">
        <f t="shared" si="27"/>
        <v>113686.63600000001</v>
      </c>
      <c r="G74" s="19">
        <f t="shared" si="27"/>
        <v>113837.04500000004</v>
      </c>
      <c r="H74" s="19">
        <f t="shared" si="27"/>
        <v>113987.45400000003</v>
      </c>
      <c r="I74" s="19">
        <f t="shared" si="27"/>
        <v>114137.86300000003</v>
      </c>
      <c r="J74" s="19">
        <f t="shared" si="27"/>
        <v>114288.27200000006</v>
      </c>
      <c r="K74" s="19">
        <f t="shared" si="27"/>
        <v>114438.68100000004</v>
      </c>
      <c r="L74" s="19">
        <f t="shared" si="27"/>
        <v>114589.09000000007</v>
      </c>
      <c r="M74" s="19">
        <f t="shared" si="27"/>
        <v>114739.49900000007</v>
      </c>
      <c r="N74" s="19">
        <f t="shared" si="27"/>
        <v>114889.90800000007</v>
      </c>
      <c r="O74" s="19">
        <f t="shared" si="27"/>
        <v>1368751.9020000005</v>
      </c>
      <c r="Q74" s="59"/>
      <c r="R74" s="21">
        <f t="shared" ref="R74:AD74" si="28">SUM(R66:R73)</f>
        <v>34170.71931366669</v>
      </c>
      <c r="S74" s="21">
        <f t="shared" si="28"/>
        <v>34289.062547333349</v>
      </c>
      <c r="T74" s="21">
        <f t="shared" si="28"/>
        <v>34407.405781000016</v>
      </c>
      <c r="U74" s="21">
        <f t="shared" si="28"/>
        <v>34525.749014666682</v>
      </c>
      <c r="V74" s="21">
        <f t="shared" si="28"/>
        <v>34644.092248333349</v>
      </c>
      <c r="W74" s="21">
        <f t="shared" si="28"/>
        <v>34762.435482000015</v>
      </c>
      <c r="X74" s="21">
        <f t="shared" si="28"/>
        <v>34880.778715666682</v>
      </c>
      <c r="Y74" s="21">
        <f t="shared" si="28"/>
        <v>34999.121949333348</v>
      </c>
      <c r="Z74" s="21">
        <f t="shared" si="28"/>
        <v>35117.465183000008</v>
      </c>
      <c r="AA74" s="21">
        <f t="shared" si="28"/>
        <v>35235.808416666674</v>
      </c>
      <c r="AB74" s="21">
        <f t="shared" si="28"/>
        <v>35354.151650333348</v>
      </c>
      <c r="AC74" s="21">
        <f t="shared" si="28"/>
        <v>35472.494884000014</v>
      </c>
      <c r="AD74" s="21">
        <f t="shared" si="28"/>
        <v>417859.28518600017</v>
      </c>
      <c r="AF74" s="59"/>
      <c r="AG74" s="21">
        <f t="shared" ref="AG74:AS74" si="29">SUM(AG66:AG73)</f>
        <v>35596.755279350014</v>
      </c>
      <c r="AH74" s="21">
        <f t="shared" si="29"/>
        <v>35721.015674700007</v>
      </c>
      <c r="AI74" s="21">
        <f t="shared" si="29"/>
        <v>35845.276070050008</v>
      </c>
      <c r="AJ74" s="21">
        <f t="shared" si="29"/>
        <v>35969.536465400015</v>
      </c>
      <c r="AK74" s="21">
        <f t="shared" si="29"/>
        <v>36093.796860750008</v>
      </c>
      <c r="AL74" s="21">
        <f t="shared" si="29"/>
        <v>36218.057256100015</v>
      </c>
      <c r="AM74" s="21">
        <f t="shared" si="29"/>
        <v>36342.317651450016</v>
      </c>
      <c r="AN74" s="21">
        <f t="shared" si="29"/>
        <v>36466.578046800016</v>
      </c>
      <c r="AO74" s="21">
        <f t="shared" si="29"/>
        <v>36590.838442150016</v>
      </c>
      <c r="AP74" s="21">
        <f t="shared" si="29"/>
        <v>36715.098837500009</v>
      </c>
      <c r="AQ74" s="21">
        <f t="shared" si="29"/>
        <v>36839.359232850009</v>
      </c>
      <c r="AR74" s="21">
        <f t="shared" si="29"/>
        <v>36963.619628200016</v>
      </c>
      <c r="AS74" s="21">
        <f t="shared" si="29"/>
        <v>435362.24944530014</v>
      </c>
    </row>
    <row r="75" spans="1:45" ht="13.5" thickTop="1">
      <c r="A75" s="56"/>
      <c r="B75" s="6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0"/>
      <c r="Q75" s="59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0"/>
      <c r="AF75" s="59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0"/>
    </row>
    <row r="76" spans="1:45">
      <c r="A76" s="54" t="s">
        <v>326</v>
      </c>
      <c r="B76" s="60" t="str">
        <f>'P&amp;L$'!B77</f>
        <v>OUTSIDE SERVICES - OTHER</v>
      </c>
      <c r="C76" s="3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Q76" s="60"/>
      <c r="R76" s="22" t="s">
        <v>504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F76" s="60"/>
      <c r="AG76" s="22" t="s">
        <v>504</v>
      </c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</row>
    <row r="77" spans="1:45">
      <c r="A77" s="56" t="s">
        <v>327</v>
      </c>
      <c r="B77" s="59" t="str">
        <f>'P&amp;L$'!B78</f>
        <v>Payroll</v>
      </c>
      <c r="C77" s="21">
        <f>Oheads!C26</f>
        <v>2756</v>
      </c>
      <c r="D77" s="21">
        <f>Oheads!D26</f>
        <v>2756</v>
      </c>
      <c r="E77" s="21">
        <f>Oheads!E26</f>
        <v>2756</v>
      </c>
      <c r="F77" s="21">
        <f>Oheads!F26</f>
        <v>2756</v>
      </c>
      <c r="G77" s="21">
        <f>Oheads!G26</f>
        <v>2756</v>
      </c>
      <c r="H77" s="21">
        <f>Oheads!H26</f>
        <v>2756</v>
      </c>
      <c r="I77" s="21">
        <f>Oheads!I26</f>
        <v>2756</v>
      </c>
      <c r="J77" s="21">
        <f>Oheads!J26</f>
        <v>2756</v>
      </c>
      <c r="K77" s="21">
        <f>Oheads!K26</f>
        <v>2756</v>
      </c>
      <c r="L77" s="21">
        <f>Oheads!L26</f>
        <v>2756</v>
      </c>
      <c r="M77" s="21">
        <f>Oheads!M26</f>
        <v>2756</v>
      </c>
      <c r="N77" s="21">
        <f>Oheads!N26</f>
        <v>2756</v>
      </c>
      <c r="O77" s="21">
        <f t="shared" ref="O77:O93" si="30">SUM(C77:N77)</f>
        <v>33072</v>
      </c>
      <c r="Q77" s="59"/>
      <c r="R77" s="21">
        <f>Oheads!Q26</f>
        <v>2866.2400000000002</v>
      </c>
      <c r="S77" s="21">
        <f>Oheads!R26</f>
        <v>2866.2400000000002</v>
      </c>
      <c r="T77" s="21">
        <f>Oheads!S26</f>
        <v>2866.2400000000002</v>
      </c>
      <c r="U77" s="21">
        <f>Oheads!T26</f>
        <v>2866.2400000000002</v>
      </c>
      <c r="V77" s="21">
        <f>Oheads!U26</f>
        <v>2866.2400000000002</v>
      </c>
      <c r="W77" s="21">
        <f>Oheads!V26</f>
        <v>2866.2400000000002</v>
      </c>
      <c r="X77" s="21">
        <f>Oheads!W26</f>
        <v>2866.2400000000002</v>
      </c>
      <c r="Y77" s="21">
        <f>Oheads!X26</f>
        <v>2866.2400000000002</v>
      </c>
      <c r="Z77" s="21">
        <f>Oheads!Y26</f>
        <v>2866.2400000000002</v>
      </c>
      <c r="AA77" s="21">
        <f>Oheads!Z26</f>
        <v>2866.2400000000002</v>
      </c>
      <c r="AB77" s="21">
        <f>Oheads!AA26</f>
        <v>2866.2400000000002</v>
      </c>
      <c r="AC77" s="21">
        <f>Oheads!AB26</f>
        <v>2866.2400000000002</v>
      </c>
      <c r="AD77" s="21">
        <f t="shared" ref="AD77:AD93" si="31">SUM(R77:AC77)</f>
        <v>34394.880000000012</v>
      </c>
      <c r="AF77" s="59"/>
      <c r="AG77" s="21">
        <f>Oheads!AE26</f>
        <v>3038.2144000000003</v>
      </c>
      <c r="AH77" s="21">
        <f>Oheads!AF26</f>
        <v>3038.2144000000003</v>
      </c>
      <c r="AI77" s="21">
        <f>Oheads!AG26</f>
        <v>3038.2144000000003</v>
      </c>
      <c r="AJ77" s="21">
        <f>Oheads!AH26</f>
        <v>3038.2144000000003</v>
      </c>
      <c r="AK77" s="21">
        <f>Oheads!AI26</f>
        <v>3038.2144000000003</v>
      </c>
      <c r="AL77" s="21">
        <f>Oheads!AJ26</f>
        <v>3038.2144000000003</v>
      </c>
      <c r="AM77" s="21">
        <f>Oheads!AK26</f>
        <v>3038.2144000000003</v>
      </c>
      <c r="AN77" s="21">
        <f>Oheads!AL26</f>
        <v>3038.2144000000003</v>
      </c>
      <c r="AO77" s="21">
        <f>Oheads!AM26</f>
        <v>3038.2144000000003</v>
      </c>
      <c r="AP77" s="21">
        <f>Oheads!AN26</f>
        <v>3038.2144000000003</v>
      </c>
      <c r="AQ77" s="21">
        <f>Oheads!AO26</f>
        <v>3038.2144000000003</v>
      </c>
      <c r="AR77" s="21">
        <f>Oheads!AP26</f>
        <v>3038.2144000000003</v>
      </c>
      <c r="AS77" s="21">
        <f t="shared" ref="AS77:AS93" si="32">SUM(AG77:AR77)</f>
        <v>36458.572800000002</v>
      </c>
    </row>
    <row r="78" spans="1:45">
      <c r="A78" s="56" t="s">
        <v>329</v>
      </c>
      <c r="B78" s="59" t="str">
        <f>'P&amp;L$'!B79</f>
        <v>Safety</v>
      </c>
      <c r="C78" s="21">
        <f>Oheads!C27</f>
        <v>1611.2</v>
      </c>
      <c r="D78" s="21">
        <f>Oheads!D27</f>
        <v>1611.2</v>
      </c>
      <c r="E78" s="21">
        <f>Oheads!E27</f>
        <v>1611.2</v>
      </c>
      <c r="F78" s="21">
        <f>Oheads!F27</f>
        <v>1611.2</v>
      </c>
      <c r="G78" s="21">
        <f>Oheads!G27</f>
        <v>1611.2</v>
      </c>
      <c r="H78" s="21">
        <f>Oheads!H27</f>
        <v>1611.2</v>
      </c>
      <c r="I78" s="21">
        <f>Oheads!I27</f>
        <v>1611.2</v>
      </c>
      <c r="J78" s="21">
        <f>Oheads!J27</f>
        <v>1611.2</v>
      </c>
      <c r="K78" s="21">
        <f>Oheads!K27</f>
        <v>1611.2</v>
      </c>
      <c r="L78" s="21">
        <f>Oheads!L27</f>
        <v>1611.2</v>
      </c>
      <c r="M78" s="21">
        <f>Oheads!M27</f>
        <v>1611.2</v>
      </c>
      <c r="N78" s="21">
        <f>Oheads!N27</f>
        <v>1611.2</v>
      </c>
      <c r="O78" s="21">
        <f t="shared" si="30"/>
        <v>19334.400000000005</v>
      </c>
      <c r="Q78" s="59"/>
      <c r="R78" s="21">
        <f>Oheads!Q27</f>
        <v>1675.6480000000001</v>
      </c>
      <c r="S78" s="21">
        <f>Oheads!R27</f>
        <v>1675.6480000000001</v>
      </c>
      <c r="T78" s="21">
        <f>Oheads!S27</f>
        <v>1675.6480000000001</v>
      </c>
      <c r="U78" s="21">
        <f>Oheads!T27</f>
        <v>1675.6480000000001</v>
      </c>
      <c r="V78" s="21">
        <f>Oheads!U27</f>
        <v>1675.6480000000001</v>
      </c>
      <c r="W78" s="21">
        <f>Oheads!V27</f>
        <v>1675.6480000000001</v>
      </c>
      <c r="X78" s="21">
        <f>Oheads!W27</f>
        <v>1675.6480000000001</v>
      </c>
      <c r="Y78" s="21">
        <f>Oheads!X27</f>
        <v>1675.6480000000001</v>
      </c>
      <c r="Z78" s="21">
        <f>Oheads!Y27</f>
        <v>1675.6480000000001</v>
      </c>
      <c r="AA78" s="21">
        <f>Oheads!Z27</f>
        <v>1675.6480000000001</v>
      </c>
      <c r="AB78" s="21">
        <f>Oheads!AA27</f>
        <v>1675.6480000000001</v>
      </c>
      <c r="AC78" s="21">
        <f>Oheads!AB27</f>
        <v>1675.6480000000001</v>
      </c>
      <c r="AD78" s="21">
        <f t="shared" si="31"/>
        <v>20107.776000000009</v>
      </c>
      <c r="AF78" s="59"/>
      <c r="AG78" s="21">
        <f>Oheads!AE27</f>
        <v>1776.1868800000002</v>
      </c>
      <c r="AH78" s="21">
        <f>Oheads!AF27</f>
        <v>1776.1868800000002</v>
      </c>
      <c r="AI78" s="21">
        <f>Oheads!AG27</f>
        <v>1776.1868800000002</v>
      </c>
      <c r="AJ78" s="21">
        <f>Oheads!AH27</f>
        <v>1776.1868800000002</v>
      </c>
      <c r="AK78" s="21">
        <f>Oheads!AI27</f>
        <v>1776.1868800000002</v>
      </c>
      <c r="AL78" s="21">
        <f>Oheads!AJ27</f>
        <v>1776.1868800000002</v>
      </c>
      <c r="AM78" s="21">
        <f>Oheads!AK27</f>
        <v>1776.1868800000002</v>
      </c>
      <c r="AN78" s="21">
        <f>Oheads!AL27</f>
        <v>1776.1868800000002</v>
      </c>
      <c r="AO78" s="21">
        <f>Oheads!AM27</f>
        <v>1776.1868800000002</v>
      </c>
      <c r="AP78" s="21">
        <f>Oheads!AN27</f>
        <v>1776.1868800000002</v>
      </c>
      <c r="AQ78" s="21">
        <f>Oheads!AO27</f>
        <v>1776.1868800000002</v>
      </c>
      <c r="AR78" s="21">
        <f>Oheads!AP27</f>
        <v>1776.1868800000002</v>
      </c>
      <c r="AS78" s="21">
        <f t="shared" si="32"/>
        <v>21314.24256000001</v>
      </c>
    </row>
    <row r="79" spans="1:45">
      <c r="A79" s="56" t="s">
        <v>331</v>
      </c>
      <c r="B79" s="59" t="str">
        <f>'P&amp;L$'!B80</f>
        <v>Waste Disposal</v>
      </c>
      <c r="C79" s="21">
        <f>Oheads!C28</f>
        <v>3286</v>
      </c>
      <c r="D79" s="21">
        <f>Oheads!D28</f>
        <v>3286</v>
      </c>
      <c r="E79" s="21">
        <f>Oheads!E28</f>
        <v>3286</v>
      </c>
      <c r="F79" s="21">
        <f>Oheads!F28</f>
        <v>3286</v>
      </c>
      <c r="G79" s="21">
        <f>Oheads!G28</f>
        <v>3286</v>
      </c>
      <c r="H79" s="21">
        <f>Oheads!H28</f>
        <v>3286</v>
      </c>
      <c r="I79" s="21">
        <f>Oheads!I28</f>
        <v>3286</v>
      </c>
      <c r="J79" s="21">
        <f>Oheads!J28</f>
        <v>3286</v>
      </c>
      <c r="K79" s="21">
        <f>Oheads!K28</f>
        <v>3286</v>
      </c>
      <c r="L79" s="21">
        <f>Oheads!L28</f>
        <v>3286</v>
      </c>
      <c r="M79" s="21">
        <f>Oheads!M28</f>
        <v>3286</v>
      </c>
      <c r="N79" s="21">
        <f>Oheads!N28</f>
        <v>3286</v>
      </c>
      <c r="O79" s="21">
        <f t="shared" si="30"/>
        <v>39432</v>
      </c>
      <c r="Q79" s="59"/>
      <c r="R79" s="21">
        <f>Oheads!Q28</f>
        <v>3417.44</v>
      </c>
      <c r="S79" s="21">
        <f>Oheads!R28</f>
        <v>3417.44</v>
      </c>
      <c r="T79" s="21">
        <f>Oheads!S28</f>
        <v>3417.44</v>
      </c>
      <c r="U79" s="21">
        <f>Oheads!T28</f>
        <v>3417.44</v>
      </c>
      <c r="V79" s="21">
        <f>Oheads!U28</f>
        <v>3417.44</v>
      </c>
      <c r="W79" s="21">
        <f>Oheads!V28</f>
        <v>3417.44</v>
      </c>
      <c r="X79" s="21">
        <f>Oheads!W28</f>
        <v>3417.44</v>
      </c>
      <c r="Y79" s="21">
        <f>Oheads!X28</f>
        <v>3417.44</v>
      </c>
      <c r="Z79" s="21">
        <f>Oheads!Y28</f>
        <v>3417.44</v>
      </c>
      <c r="AA79" s="21">
        <f>Oheads!Z28</f>
        <v>3417.44</v>
      </c>
      <c r="AB79" s="21">
        <f>Oheads!AA28</f>
        <v>3417.44</v>
      </c>
      <c r="AC79" s="21">
        <f>Oheads!AB28</f>
        <v>3417.44</v>
      </c>
      <c r="AD79" s="21">
        <f t="shared" si="31"/>
        <v>41009.279999999999</v>
      </c>
      <c r="AF79" s="59"/>
      <c r="AG79" s="21">
        <f>Oheads!AE28</f>
        <v>3622.4864000000002</v>
      </c>
      <c r="AH79" s="21">
        <f>Oheads!AF28</f>
        <v>3622.4864000000002</v>
      </c>
      <c r="AI79" s="21">
        <f>Oheads!AG28</f>
        <v>3622.4864000000002</v>
      </c>
      <c r="AJ79" s="21">
        <f>Oheads!AH28</f>
        <v>3622.4864000000002</v>
      </c>
      <c r="AK79" s="21">
        <f>Oheads!AI28</f>
        <v>3622.4864000000002</v>
      </c>
      <c r="AL79" s="21">
        <f>Oheads!AJ28</f>
        <v>3622.4864000000002</v>
      </c>
      <c r="AM79" s="21">
        <f>Oheads!AK28</f>
        <v>3622.4864000000002</v>
      </c>
      <c r="AN79" s="21">
        <f>Oheads!AL28</f>
        <v>3622.4864000000002</v>
      </c>
      <c r="AO79" s="21">
        <f>Oheads!AM28</f>
        <v>3622.4864000000002</v>
      </c>
      <c r="AP79" s="21">
        <f>Oheads!AN28</f>
        <v>3622.4864000000002</v>
      </c>
      <c r="AQ79" s="21">
        <f>Oheads!AO28</f>
        <v>3622.4864000000002</v>
      </c>
      <c r="AR79" s="21">
        <f>Oheads!AP28</f>
        <v>3622.4864000000002</v>
      </c>
      <c r="AS79" s="21">
        <f t="shared" si="32"/>
        <v>43469.836800000012</v>
      </c>
    </row>
    <row r="80" spans="1:45">
      <c r="A80" s="56" t="s">
        <v>333</v>
      </c>
      <c r="B80" s="59" t="str">
        <f>'P&amp;L$'!B81</f>
        <v>Technical</v>
      </c>
      <c r="C80" s="21">
        <f>Oheads!C29</f>
        <v>1000</v>
      </c>
      <c r="D80" s="21">
        <f>Oheads!D29</f>
        <v>1000</v>
      </c>
      <c r="E80" s="21">
        <f>Oheads!E29</f>
        <v>1000</v>
      </c>
      <c r="F80" s="21">
        <f>Oheads!F29</f>
        <v>1000</v>
      </c>
      <c r="G80" s="21">
        <f>Oheads!G29</f>
        <v>1000</v>
      </c>
      <c r="H80" s="21">
        <f>Oheads!H29</f>
        <v>1000</v>
      </c>
      <c r="I80" s="21">
        <f>Oheads!I29</f>
        <v>1000</v>
      </c>
      <c r="J80" s="21">
        <f>Oheads!J29</f>
        <v>1000</v>
      </c>
      <c r="K80" s="21">
        <f>Oheads!K29</f>
        <v>1000</v>
      </c>
      <c r="L80" s="21">
        <f>Oheads!L29</f>
        <v>1000</v>
      </c>
      <c r="M80" s="21">
        <f>Oheads!M29</f>
        <v>1000</v>
      </c>
      <c r="N80" s="21">
        <f>Oheads!N29</f>
        <v>1000</v>
      </c>
      <c r="O80" s="21">
        <f t="shared" si="30"/>
        <v>12000</v>
      </c>
      <c r="Q80" s="59"/>
      <c r="R80" s="21">
        <f>Oheads!Q29</f>
        <v>1040</v>
      </c>
      <c r="S80" s="21">
        <f>Oheads!R29</f>
        <v>1040</v>
      </c>
      <c r="T80" s="21">
        <f>Oheads!S29</f>
        <v>1040</v>
      </c>
      <c r="U80" s="21">
        <f>Oheads!T29</f>
        <v>1040</v>
      </c>
      <c r="V80" s="21">
        <f>Oheads!U29</f>
        <v>1040</v>
      </c>
      <c r="W80" s="21">
        <f>Oheads!V29</f>
        <v>1040</v>
      </c>
      <c r="X80" s="21">
        <f>Oheads!W29</f>
        <v>1040</v>
      </c>
      <c r="Y80" s="21">
        <f>Oheads!X29</f>
        <v>1040</v>
      </c>
      <c r="Z80" s="21">
        <f>Oheads!Y29</f>
        <v>1040</v>
      </c>
      <c r="AA80" s="21">
        <f>Oheads!Z29</f>
        <v>1040</v>
      </c>
      <c r="AB80" s="21">
        <f>Oheads!AA29</f>
        <v>1040</v>
      </c>
      <c r="AC80" s="21">
        <f>Oheads!AB29</f>
        <v>1040</v>
      </c>
      <c r="AD80" s="21">
        <f t="shared" si="31"/>
        <v>12480</v>
      </c>
      <c r="AF80" s="59"/>
      <c r="AG80" s="21">
        <f>Oheads!AE29</f>
        <v>1102.4000000000001</v>
      </c>
      <c r="AH80" s="21">
        <f>Oheads!AF29</f>
        <v>1102.4000000000001</v>
      </c>
      <c r="AI80" s="21">
        <f>Oheads!AG29</f>
        <v>1102.4000000000001</v>
      </c>
      <c r="AJ80" s="21">
        <f>Oheads!AH29</f>
        <v>1102.4000000000001</v>
      </c>
      <c r="AK80" s="21">
        <f>Oheads!AI29</f>
        <v>1102.4000000000001</v>
      </c>
      <c r="AL80" s="21">
        <f>Oheads!AJ29</f>
        <v>1102.4000000000001</v>
      </c>
      <c r="AM80" s="21">
        <f>Oheads!AK29</f>
        <v>1102.4000000000001</v>
      </c>
      <c r="AN80" s="21">
        <f>Oheads!AL29</f>
        <v>1102.4000000000001</v>
      </c>
      <c r="AO80" s="21">
        <f>Oheads!AM29</f>
        <v>1102.4000000000001</v>
      </c>
      <c r="AP80" s="21">
        <f>Oheads!AN29</f>
        <v>1102.4000000000001</v>
      </c>
      <c r="AQ80" s="21">
        <f>Oheads!AO29</f>
        <v>1102.4000000000001</v>
      </c>
      <c r="AR80" s="21">
        <f>Oheads!AP29</f>
        <v>1102.4000000000001</v>
      </c>
      <c r="AS80" s="21">
        <f t="shared" si="32"/>
        <v>13228.799999999997</v>
      </c>
    </row>
    <row r="81" spans="1:45">
      <c r="A81" s="56" t="s">
        <v>335</v>
      </c>
      <c r="B81" s="59" t="str">
        <f>'P&amp;L$'!B82</f>
        <v>Cleaning Services</v>
      </c>
      <c r="C81" s="21">
        <f>Oheads!C30</f>
        <v>18285</v>
      </c>
      <c r="D81" s="21">
        <f>Oheads!D30</f>
        <v>18285</v>
      </c>
      <c r="E81" s="21">
        <f>Oheads!E30</f>
        <v>18285</v>
      </c>
      <c r="F81" s="21">
        <f>Oheads!F30</f>
        <v>18285</v>
      </c>
      <c r="G81" s="21">
        <f>Oheads!G30</f>
        <v>18285</v>
      </c>
      <c r="H81" s="21">
        <f>Oheads!H30</f>
        <v>18285</v>
      </c>
      <c r="I81" s="21">
        <f>Oheads!I30</f>
        <v>18285</v>
      </c>
      <c r="J81" s="21">
        <f>Oheads!J30</f>
        <v>18285</v>
      </c>
      <c r="K81" s="21">
        <f>Oheads!K30</f>
        <v>18285</v>
      </c>
      <c r="L81" s="21">
        <f>Oheads!L30</f>
        <v>18285</v>
      </c>
      <c r="M81" s="21">
        <f>Oheads!M30</f>
        <v>18285</v>
      </c>
      <c r="N81" s="21">
        <f>Oheads!N30</f>
        <v>18285</v>
      </c>
      <c r="O81" s="21">
        <f t="shared" si="30"/>
        <v>219420</v>
      </c>
      <c r="Q81" s="59"/>
      <c r="R81" s="21">
        <f>Oheads!Q30</f>
        <v>19016.400000000001</v>
      </c>
      <c r="S81" s="21">
        <f>Oheads!R30</f>
        <v>19016.400000000001</v>
      </c>
      <c r="T81" s="21">
        <f>Oheads!S30</f>
        <v>19016.400000000001</v>
      </c>
      <c r="U81" s="21">
        <f>Oheads!T30</f>
        <v>19016.400000000001</v>
      </c>
      <c r="V81" s="21">
        <f>Oheads!U30</f>
        <v>19016.400000000001</v>
      </c>
      <c r="W81" s="21">
        <f>Oheads!V30</f>
        <v>19016.400000000001</v>
      </c>
      <c r="X81" s="21">
        <f>Oheads!W30</f>
        <v>19016.400000000001</v>
      </c>
      <c r="Y81" s="21">
        <f>Oheads!X30</f>
        <v>19016.400000000001</v>
      </c>
      <c r="Z81" s="21">
        <f>Oheads!Y30</f>
        <v>19016.400000000001</v>
      </c>
      <c r="AA81" s="21">
        <f>Oheads!Z30</f>
        <v>19016.400000000001</v>
      </c>
      <c r="AB81" s="21">
        <f>Oheads!AA30</f>
        <v>19016.400000000001</v>
      </c>
      <c r="AC81" s="21">
        <f>Oheads!AB30</f>
        <v>19016.400000000001</v>
      </c>
      <c r="AD81" s="21">
        <f t="shared" si="31"/>
        <v>228196.79999999996</v>
      </c>
      <c r="AF81" s="59"/>
      <c r="AG81" s="21">
        <f>Oheads!AE30</f>
        <v>20157.384000000002</v>
      </c>
      <c r="AH81" s="21">
        <f>Oheads!AF30</f>
        <v>20157.384000000002</v>
      </c>
      <c r="AI81" s="21">
        <f>Oheads!AG30</f>
        <v>20157.384000000002</v>
      </c>
      <c r="AJ81" s="21">
        <f>Oheads!AH30</f>
        <v>20157.384000000002</v>
      </c>
      <c r="AK81" s="21">
        <f>Oheads!AI30</f>
        <v>20157.384000000002</v>
      </c>
      <c r="AL81" s="21">
        <f>Oheads!AJ30</f>
        <v>20157.384000000002</v>
      </c>
      <c r="AM81" s="21">
        <f>Oheads!AK30</f>
        <v>20157.384000000002</v>
      </c>
      <c r="AN81" s="21">
        <f>Oheads!AL30</f>
        <v>20157.384000000002</v>
      </c>
      <c r="AO81" s="21">
        <f>Oheads!AM30</f>
        <v>20157.384000000002</v>
      </c>
      <c r="AP81" s="21">
        <f>Oheads!AN30</f>
        <v>20157.384000000002</v>
      </c>
      <c r="AQ81" s="21">
        <f>Oheads!AO30</f>
        <v>20157.384000000002</v>
      </c>
      <c r="AR81" s="21">
        <f>Oheads!AP30</f>
        <v>20157.384000000002</v>
      </c>
      <c r="AS81" s="21">
        <f t="shared" si="32"/>
        <v>241888.60799999998</v>
      </c>
    </row>
    <row r="82" spans="1:45">
      <c r="A82" s="56" t="s">
        <v>337</v>
      </c>
      <c r="B82" s="59" t="str">
        <f>'P&amp;L$'!B83</f>
        <v>Computer/IT Services</v>
      </c>
      <c r="C82" s="21">
        <f>Oheads!C31</f>
        <v>2470</v>
      </c>
      <c r="D82" s="21">
        <f>Oheads!D31</f>
        <v>2470</v>
      </c>
      <c r="E82" s="21">
        <f>Oheads!E31</f>
        <v>2470</v>
      </c>
      <c r="F82" s="21">
        <f>Oheads!F31</f>
        <v>2470</v>
      </c>
      <c r="G82" s="21">
        <f>Oheads!G31</f>
        <v>2470</v>
      </c>
      <c r="H82" s="21">
        <f>Oheads!H31</f>
        <v>2470</v>
      </c>
      <c r="I82" s="21">
        <f>Oheads!I31</f>
        <v>2470</v>
      </c>
      <c r="J82" s="21">
        <f>Oheads!J31</f>
        <v>2470</v>
      </c>
      <c r="K82" s="21">
        <f>Oheads!K31</f>
        <v>2470</v>
      </c>
      <c r="L82" s="21">
        <f>Oheads!L31</f>
        <v>2470</v>
      </c>
      <c r="M82" s="21">
        <f>Oheads!M31</f>
        <v>2470</v>
      </c>
      <c r="N82" s="21">
        <f>Oheads!N31</f>
        <v>2470</v>
      </c>
      <c r="O82" s="21">
        <f t="shared" si="30"/>
        <v>29640</v>
      </c>
      <c r="Q82" s="59"/>
      <c r="R82" s="21">
        <f>Oheads!Q31</f>
        <v>2568.8000000000002</v>
      </c>
      <c r="S82" s="21">
        <f>Oheads!R31</f>
        <v>2568.8000000000002</v>
      </c>
      <c r="T82" s="21">
        <f>Oheads!S31</f>
        <v>2568.8000000000002</v>
      </c>
      <c r="U82" s="21">
        <f>Oheads!T31</f>
        <v>2568.8000000000002</v>
      </c>
      <c r="V82" s="21">
        <f>Oheads!U31</f>
        <v>2568.8000000000002</v>
      </c>
      <c r="W82" s="21">
        <f>Oheads!V31</f>
        <v>2568.8000000000002</v>
      </c>
      <c r="X82" s="21">
        <f>Oheads!W31</f>
        <v>2568.8000000000002</v>
      </c>
      <c r="Y82" s="21">
        <f>Oheads!X31</f>
        <v>2568.8000000000002</v>
      </c>
      <c r="Z82" s="21">
        <f>Oheads!Y31</f>
        <v>2568.8000000000002</v>
      </c>
      <c r="AA82" s="21">
        <f>Oheads!Z31</f>
        <v>2568.8000000000002</v>
      </c>
      <c r="AB82" s="21">
        <f>Oheads!AA31</f>
        <v>2568.8000000000002</v>
      </c>
      <c r="AC82" s="21">
        <f>Oheads!AB31</f>
        <v>2568.8000000000002</v>
      </c>
      <c r="AD82" s="21">
        <f t="shared" si="31"/>
        <v>30825.599999999995</v>
      </c>
      <c r="AF82" s="59"/>
      <c r="AG82" s="21">
        <f>Oheads!AE31</f>
        <v>2722.9280000000003</v>
      </c>
      <c r="AH82" s="21">
        <f>Oheads!AF31</f>
        <v>2722.9280000000003</v>
      </c>
      <c r="AI82" s="21">
        <f>Oheads!AG31</f>
        <v>2722.9280000000003</v>
      </c>
      <c r="AJ82" s="21">
        <f>Oheads!AH31</f>
        <v>2722.9280000000003</v>
      </c>
      <c r="AK82" s="21">
        <f>Oheads!AI31</f>
        <v>2722.9280000000003</v>
      </c>
      <c r="AL82" s="21">
        <f>Oheads!AJ31</f>
        <v>2722.9280000000003</v>
      </c>
      <c r="AM82" s="21">
        <f>Oheads!AK31</f>
        <v>2722.9280000000003</v>
      </c>
      <c r="AN82" s="21">
        <f>Oheads!AL31</f>
        <v>2722.9280000000003</v>
      </c>
      <c r="AO82" s="21">
        <f>Oheads!AM31</f>
        <v>2722.9280000000003</v>
      </c>
      <c r="AP82" s="21">
        <f>Oheads!AN31</f>
        <v>2722.9280000000003</v>
      </c>
      <c r="AQ82" s="21">
        <f>Oheads!AO31</f>
        <v>2722.9280000000003</v>
      </c>
      <c r="AR82" s="21">
        <f>Oheads!AP31</f>
        <v>2722.9280000000003</v>
      </c>
      <c r="AS82" s="21">
        <f t="shared" si="32"/>
        <v>32675.136000000002</v>
      </c>
    </row>
    <row r="83" spans="1:45">
      <c r="A83" s="56" t="s">
        <v>339</v>
      </c>
      <c r="B83" s="59" t="str">
        <f>'P&amp;L$'!B84</f>
        <v>Office Equipment Maintenance</v>
      </c>
      <c r="C83" s="21">
        <f>Oheads!C32</f>
        <v>300</v>
      </c>
      <c r="D83" s="21">
        <f>Oheads!D32</f>
        <v>300</v>
      </c>
      <c r="E83" s="21">
        <f>Oheads!E32</f>
        <v>300</v>
      </c>
      <c r="F83" s="21">
        <f>Oheads!F32</f>
        <v>300</v>
      </c>
      <c r="G83" s="21">
        <f>Oheads!G32</f>
        <v>300</v>
      </c>
      <c r="H83" s="21">
        <f>Oheads!H32</f>
        <v>300</v>
      </c>
      <c r="I83" s="21">
        <f>Oheads!I32</f>
        <v>300</v>
      </c>
      <c r="J83" s="21">
        <f>Oheads!J32</f>
        <v>300</v>
      </c>
      <c r="K83" s="21">
        <f>Oheads!K32</f>
        <v>300</v>
      </c>
      <c r="L83" s="21">
        <f>Oheads!L32</f>
        <v>300</v>
      </c>
      <c r="M83" s="21">
        <f>Oheads!M32</f>
        <v>300</v>
      </c>
      <c r="N83" s="21">
        <f>Oheads!N32</f>
        <v>300</v>
      </c>
      <c r="O83" s="21">
        <f t="shared" si="30"/>
        <v>3600</v>
      </c>
      <c r="Q83" s="59"/>
      <c r="R83" s="21">
        <f>Oheads!Q32</f>
        <v>312</v>
      </c>
      <c r="S83" s="21">
        <f>Oheads!R32</f>
        <v>312</v>
      </c>
      <c r="T83" s="21">
        <f>Oheads!S32</f>
        <v>312</v>
      </c>
      <c r="U83" s="21">
        <f>Oheads!T32</f>
        <v>312</v>
      </c>
      <c r="V83" s="21">
        <f>Oheads!U32</f>
        <v>312</v>
      </c>
      <c r="W83" s="21">
        <f>Oheads!V32</f>
        <v>312</v>
      </c>
      <c r="X83" s="21">
        <f>Oheads!W32</f>
        <v>312</v>
      </c>
      <c r="Y83" s="21">
        <f>Oheads!X32</f>
        <v>312</v>
      </c>
      <c r="Z83" s="21">
        <f>Oheads!Y32</f>
        <v>312</v>
      </c>
      <c r="AA83" s="21">
        <f>Oheads!Z32</f>
        <v>312</v>
      </c>
      <c r="AB83" s="21">
        <f>Oheads!AA32</f>
        <v>312</v>
      </c>
      <c r="AC83" s="21">
        <f>Oheads!AB32</f>
        <v>312</v>
      </c>
      <c r="AD83" s="21">
        <f t="shared" si="31"/>
        <v>3744</v>
      </c>
      <c r="AF83" s="59"/>
      <c r="AG83" s="21">
        <f>Oheads!AE32</f>
        <v>330.72</v>
      </c>
      <c r="AH83" s="21">
        <f>Oheads!AF32</f>
        <v>330.72</v>
      </c>
      <c r="AI83" s="21">
        <f>Oheads!AG32</f>
        <v>330.72</v>
      </c>
      <c r="AJ83" s="21">
        <f>Oheads!AH32</f>
        <v>330.72</v>
      </c>
      <c r="AK83" s="21">
        <f>Oheads!AI32</f>
        <v>330.72</v>
      </c>
      <c r="AL83" s="21">
        <f>Oheads!AJ32</f>
        <v>330.72</v>
      </c>
      <c r="AM83" s="21">
        <f>Oheads!AK32</f>
        <v>330.72</v>
      </c>
      <c r="AN83" s="21">
        <f>Oheads!AL32</f>
        <v>330.72</v>
      </c>
      <c r="AO83" s="21">
        <f>Oheads!AM32</f>
        <v>330.72</v>
      </c>
      <c r="AP83" s="21">
        <f>Oheads!AN32</f>
        <v>330.72</v>
      </c>
      <c r="AQ83" s="21">
        <f>Oheads!AO32</f>
        <v>330.72</v>
      </c>
      <c r="AR83" s="21">
        <f>Oheads!AP32</f>
        <v>330.72</v>
      </c>
      <c r="AS83" s="21">
        <f t="shared" si="32"/>
        <v>3968.6400000000012</v>
      </c>
    </row>
    <row r="84" spans="1:45" hidden="1">
      <c r="A84" s="56" t="s">
        <v>341</v>
      </c>
      <c r="B84" s="59" t="str">
        <f>'P&amp;L$'!B85</f>
        <v>Other Equipment Maintenence</v>
      </c>
      <c r="C84" s="21">
        <f>Oheads!C33</f>
        <v>0</v>
      </c>
      <c r="D84" s="21">
        <f>Oheads!D33</f>
        <v>0</v>
      </c>
      <c r="E84" s="21">
        <f>Oheads!E33</f>
        <v>0</v>
      </c>
      <c r="F84" s="21">
        <f>Oheads!F33</f>
        <v>0</v>
      </c>
      <c r="G84" s="21">
        <f>Oheads!G33</f>
        <v>0</v>
      </c>
      <c r="H84" s="21">
        <f>Oheads!H33</f>
        <v>0</v>
      </c>
      <c r="I84" s="21">
        <f>Oheads!I33</f>
        <v>0</v>
      </c>
      <c r="J84" s="21">
        <f>Oheads!J33</f>
        <v>0</v>
      </c>
      <c r="K84" s="21">
        <f>Oheads!K33</f>
        <v>0</v>
      </c>
      <c r="L84" s="21">
        <f>Oheads!L33</f>
        <v>0</v>
      </c>
      <c r="M84" s="21">
        <f>Oheads!M33</f>
        <v>0</v>
      </c>
      <c r="N84" s="21">
        <f>Oheads!N33</f>
        <v>0</v>
      </c>
      <c r="O84" s="21">
        <f t="shared" si="30"/>
        <v>0</v>
      </c>
      <c r="Q84" s="59"/>
      <c r="R84" s="21">
        <f>Oheads!Q33</f>
        <v>0</v>
      </c>
      <c r="S84" s="21">
        <f>Oheads!R33</f>
        <v>0</v>
      </c>
      <c r="T84" s="21">
        <f>Oheads!S33</f>
        <v>0</v>
      </c>
      <c r="U84" s="21">
        <f>Oheads!T33</f>
        <v>0</v>
      </c>
      <c r="V84" s="21">
        <f>Oheads!U33</f>
        <v>0</v>
      </c>
      <c r="W84" s="21">
        <f>Oheads!V33</f>
        <v>0</v>
      </c>
      <c r="X84" s="21">
        <f>Oheads!W33</f>
        <v>0</v>
      </c>
      <c r="Y84" s="21">
        <f>Oheads!X33</f>
        <v>0</v>
      </c>
      <c r="Z84" s="21">
        <f>Oheads!Y33</f>
        <v>0</v>
      </c>
      <c r="AA84" s="21">
        <f>Oheads!Z33</f>
        <v>0</v>
      </c>
      <c r="AB84" s="21">
        <f>Oheads!AA33</f>
        <v>0</v>
      </c>
      <c r="AC84" s="21">
        <f>Oheads!AB33</f>
        <v>0</v>
      </c>
      <c r="AD84" s="21">
        <f t="shared" si="31"/>
        <v>0</v>
      </c>
      <c r="AF84" s="59"/>
      <c r="AG84" s="21">
        <f>Oheads!AE33</f>
        <v>0</v>
      </c>
      <c r="AH84" s="21">
        <f>Oheads!AF33</f>
        <v>0</v>
      </c>
      <c r="AI84" s="21">
        <f>Oheads!AG33</f>
        <v>0</v>
      </c>
      <c r="AJ84" s="21">
        <f>Oheads!AH33</f>
        <v>0</v>
      </c>
      <c r="AK84" s="21">
        <f>Oheads!AI33</f>
        <v>0</v>
      </c>
      <c r="AL84" s="21">
        <f>Oheads!AJ33</f>
        <v>0</v>
      </c>
      <c r="AM84" s="21">
        <f>Oheads!AK33</f>
        <v>0</v>
      </c>
      <c r="AN84" s="21">
        <f>Oheads!AL33</f>
        <v>0</v>
      </c>
      <c r="AO84" s="21">
        <f>Oheads!AM33</f>
        <v>0</v>
      </c>
      <c r="AP84" s="21">
        <f>Oheads!AN33</f>
        <v>0</v>
      </c>
      <c r="AQ84" s="21">
        <f>Oheads!AO33</f>
        <v>0</v>
      </c>
      <c r="AR84" s="21">
        <f>Oheads!AP33</f>
        <v>0</v>
      </c>
      <c r="AS84" s="21">
        <f t="shared" si="32"/>
        <v>0</v>
      </c>
    </row>
    <row r="85" spans="1:45" hidden="1">
      <c r="A85" s="56" t="s">
        <v>343</v>
      </c>
      <c r="B85" s="59" t="str">
        <f>'P&amp;L$'!B86</f>
        <v>Rents</v>
      </c>
      <c r="C85" s="21">
        <f>Oheads!C34</f>
        <v>0</v>
      </c>
      <c r="D85" s="21">
        <f>Oheads!D34</f>
        <v>0</v>
      </c>
      <c r="E85" s="21">
        <f>Oheads!E34</f>
        <v>0</v>
      </c>
      <c r="F85" s="21">
        <f>Oheads!F34</f>
        <v>0</v>
      </c>
      <c r="G85" s="21">
        <f>Oheads!G34</f>
        <v>0</v>
      </c>
      <c r="H85" s="21">
        <f>Oheads!H34</f>
        <v>0</v>
      </c>
      <c r="I85" s="21">
        <f>Oheads!I34</f>
        <v>0</v>
      </c>
      <c r="J85" s="21">
        <f>Oheads!J34</f>
        <v>0</v>
      </c>
      <c r="K85" s="21">
        <f>Oheads!K34</f>
        <v>0</v>
      </c>
      <c r="L85" s="21">
        <f>Oheads!L34</f>
        <v>0</v>
      </c>
      <c r="M85" s="21">
        <f>Oheads!M34</f>
        <v>0</v>
      </c>
      <c r="N85" s="21">
        <f>Oheads!N34</f>
        <v>0</v>
      </c>
      <c r="O85" s="21">
        <f t="shared" si="30"/>
        <v>0</v>
      </c>
      <c r="Q85" s="59"/>
      <c r="R85" s="21">
        <f>Oheads!Q34</f>
        <v>0</v>
      </c>
      <c r="S85" s="21">
        <f>Oheads!R34</f>
        <v>0</v>
      </c>
      <c r="T85" s="21">
        <f>Oheads!S34</f>
        <v>0</v>
      </c>
      <c r="U85" s="21">
        <f>Oheads!T34</f>
        <v>0</v>
      </c>
      <c r="V85" s="21">
        <f>Oheads!U34</f>
        <v>0</v>
      </c>
      <c r="W85" s="21">
        <f>Oheads!V34</f>
        <v>0</v>
      </c>
      <c r="X85" s="21">
        <f>Oheads!W34</f>
        <v>0</v>
      </c>
      <c r="Y85" s="21">
        <f>Oheads!X34</f>
        <v>0</v>
      </c>
      <c r="Z85" s="21">
        <f>Oheads!Y34</f>
        <v>0</v>
      </c>
      <c r="AA85" s="21">
        <f>Oheads!Z34</f>
        <v>0</v>
      </c>
      <c r="AB85" s="21">
        <f>Oheads!AA34</f>
        <v>0</v>
      </c>
      <c r="AC85" s="21">
        <f>Oheads!AB34</f>
        <v>0</v>
      </c>
      <c r="AD85" s="21">
        <f t="shared" si="31"/>
        <v>0</v>
      </c>
      <c r="AF85" s="59"/>
      <c r="AG85" s="21">
        <f>Oheads!AE34</f>
        <v>0</v>
      </c>
      <c r="AH85" s="21">
        <f>Oheads!AF34</f>
        <v>0</v>
      </c>
      <c r="AI85" s="21">
        <f>Oheads!AG34</f>
        <v>0</v>
      </c>
      <c r="AJ85" s="21">
        <f>Oheads!AH34</f>
        <v>0</v>
      </c>
      <c r="AK85" s="21">
        <f>Oheads!AI34</f>
        <v>0</v>
      </c>
      <c r="AL85" s="21">
        <f>Oheads!AJ34</f>
        <v>0</v>
      </c>
      <c r="AM85" s="21">
        <f>Oheads!AK34</f>
        <v>0</v>
      </c>
      <c r="AN85" s="21">
        <f>Oheads!AL34</f>
        <v>0</v>
      </c>
      <c r="AO85" s="21">
        <f>Oheads!AM34</f>
        <v>0</v>
      </c>
      <c r="AP85" s="21">
        <f>Oheads!AN34</f>
        <v>0</v>
      </c>
      <c r="AQ85" s="21">
        <f>Oheads!AO34</f>
        <v>0</v>
      </c>
      <c r="AR85" s="21">
        <f>Oheads!AP34</f>
        <v>0</v>
      </c>
      <c r="AS85" s="21">
        <f t="shared" si="32"/>
        <v>0</v>
      </c>
    </row>
    <row r="86" spans="1:45">
      <c r="A86" s="56" t="s">
        <v>345</v>
      </c>
      <c r="B86" s="59" t="str">
        <f>'P&amp;L$'!B87</f>
        <v>Postage &amp; Courier</v>
      </c>
      <c r="C86" s="21">
        <f>Oheads!C35</f>
        <v>2098.8000000000002</v>
      </c>
      <c r="D86" s="21">
        <f>Oheads!D35</f>
        <v>2098.8000000000002</v>
      </c>
      <c r="E86" s="21">
        <f>Oheads!E35</f>
        <v>2098.8000000000002</v>
      </c>
      <c r="F86" s="21">
        <f>Oheads!F35</f>
        <v>2098.8000000000002</v>
      </c>
      <c r="G86" s="21">
        <f>Oheads!G35</f>
        <v>2098.8000000000002</v>
      </c>
      <c r="H86" s="21">
        <f>Oheads!H35</f>
        <v>2098.8000000000002</v>
      </c>
      <c r="I86" s="21">
        <f>Oheads!I35</f>
        <v>2098.8000000000002</v>
      </c>
      <c r="J86" s="21">
        <f>Oheads!J35</f>
        <v>2098.8000000000002</v>
      </c>
      <c r="K86" s="21">
        <f>Oheads!K35</f>
        <v>2098.8000000000002</v>
      </c>
      <c r="L86" s="21">
        <f>Oheads!L35</f>
        <v>2098.8000000000002</v>
      </c>
      <c r="M86" s="21">
        <f>Oheads!M35</f>
        <v>2098.8000000000002</v>
      </c>
      <c r="N86" s="21">
        <f>Oheads!N35</f>
        <v>2098.8000000000002</v>
      </c>
      <c r="O86" s="21">
        <f t="shared" si="30"/>
        <v>25185.599999999995</v>
      </c>
      <c r="Q86" s="59"/>
      <c r="R86" s="21">
        <f>Oheads!Q35</f>
        <v>2182.7520000000004</v>
      </c>
      <c r="S86" s="21">
        <f>Oheads!R35</f>
        <v>2182.7520000000004</v>
      </c>
      <c r="T86" s="21">
        <f>Oheads!S35</f>
        <v>2182.7520000000004</v>
      </c>
      <c r="U86" s="21">
        <f>Oheads!T35</f>
        <v>2182.7520000000004</v>
      </c>
      <c r="V86" s="21">
        <f>Oheads!U35</f>
        <v>2182.7520000000004</v>
      </c>
      <c r="W86" s="21">
        <f>Oheads!V35</f>
        <v>2182.7520000000004</v>
      </c>
      <c r="X86" s="21">
        <f>Oheads!W35</f>
        <v>2182.7520000000004</v>
      </c>
      <c r="Y86" s="21">
        <f>Oheads!X35</f>
        <v>2182.7520000000004</v>
      </c>
      <c r="Z86" s="21">
        <f>Oheads!Y35</f>
        <v>2182.7520000000004</v>
      </c>
      <c r="AA86" s="21">
        <f>Oheads!Z35</f>
        <v>2182.7520000000004</v>
      </c>
      <c r="AB86" s="21">
        <f>Oheads!AA35</f>
        <v>2182.7520000000004</v>
      </c>
      <c r="AC86" s="21">
        <f>Oheads!AB35</f>
        <v>2182.7520000000004</v>
      </c>
      <c r="AD86" s="21">
        <f t="shared" si="31"/>
        <v>26193.024000000005</v>
      </c>
      <c r="AF86" s="59"/>
      <c r="AG86" s="21">
        <f>Oheads!AE35</f>
        <v>2313.7171200000007</v>
      </c>
      <c r="AH86" s="21">
        <f>Oheads!AF35</f>
        <v>2313.7171200000007</v>
      </c>
      <c r="AI86" s="21">
        <f>Oheads!AG35</f>
        <v>2313.7171200000007</v>
      </c>
      <c r="AJ86" s="21">
        <f>Oheads!AH35</f>
        <v>2313.7171200000007</v>
      </c>
      <c r="AK86" s="21">
        <f>Oheads!AI35</f>
        <v>2313.7171200000007</v>
      </c>
      <c r="AL86" s="21">
        <f>Oheads!AJ35</f>
        <v>2313.7171200000007</v>
      </c>
      <c r="AM86" s="21">
        <f>Oheads!AK35</f>
        <v>2313.7171200000007</v>
      </c>
      <c r="AN86" s="21">
        <f>Oheads!AL35</f>
        <v>2313.7171200000007</v>
      </c>
      <c r="AO86" s="21">
        <f>Oheads!AM35</f>
        <v>2313.7171200000007</v>
      </c>
      <c r="AP86" s="21">
        <f>Oheads!AN35</f>
        <v>2313.7171200000007</v>
      </c>
      <c r="AQ86" s="21">
        <f>Oheads!AO35</f>
        <v>2313.7171200000007</v>
      </c>
      <c r="AR86" s="21">
        <f>Oheads!AP35</f>
        <v>2313.7171200000007</v>
      </c>
      <c r="AS86" s="21">
        <f t="shared" si="32"/>
        <v>27764.60544000001</v>
      </c>
    </row>
    <row r="87" spans="1:45">
      <c r="A87" s="56" t="s">
        <v>347</v>
      </c>
      <c r="B87" s="59" t="str">
        <f>'P&amp;L$'!B88</f>
        <v>Main Telephone Services</v>
      </c>
      <c r="C87" s="21">
        <f>Oheads!C36</f>
        <v>9858</v>
      </c>
      <c r="D87" s="21">
        <f>Oheads!D36</f>
        <v>9858</v>
      </c>
      <c r="E87" s="21">
        <f>Oheads!E36</f>
        <v>9858</v>
      </c>
      <c r="F87" s="21">
        <f>Oheads!F36</f>
        <v>9858</v>
      </c>
      <c r="G87" s="21">
        <f>Oheads!G36</f>
        <v>9858</v>
      </c>
      <c r="H87" s="21">
        <f>Oheads!H36</f>
        <v>9858</v>
      </c>
      <c r="I87" s="21">
        <f>Oheads!I36</f>
        <v>9858</v>
      </c>
      <c r="J87" s="21">
        <f>Oheads!J36</f>
        <v>9858</v>
      </c>
      <c r="K87" s="21">
        <f>Oheads!K36</f>
        <v>9858</v>
      </c>
      <c r="L87" s="21">
        <f>Oheads!L36</f>
        <v>9858</v>
      </c>
      <c r="M87" s="21">
        <f>Oheads!M36</f>
        <v>9858</v>
      </c>
      <c r="N87" s="21">
        <f>Oheads!N36</f>
        <v>9858</v>
      </c>
      <c r="O87" s="21">
        <f t="shared" si="30"/>
        <v>118296</v>
      </c>
      <c r="Q87" s="59"/>
      <c r="R87" s="21">
        <f>Oheads!Q36</f>
        <v>10252.32</v>
      </c>
      <c r="S87" s="21">
        <f>Oheads!R36</f>
        <v>10252.32</v>
      </c>
      <c r="T87" s="21">
        <f>Oheads!S36</f>
        <v>10252.32</v>
      </c>
      <c r="U87" s="21">
        <f>Oheads!T36</f>
        <v>10252.32</v>
      </c>
      <c r="V87" s="21">
        <f>Oheads!U36</f>
        <v>10252.32</v>
      </c>
      <c r="W87" s="21">
        <f>Oheads!V36</f>
        <v>10252.32</v>
      </c>
      <c r="X87" s="21">
        <f>Oheads!W36</f>
        <v>10252.32</v>
      </c>
      <c r="Y87" s="21">
        <f>Oheads!X36</f>
        <v>10252.32</v>
      </c>
      <c r="Z87" s="21">
        <f>Oheads!Y36</f>
        <v>10252.32</v>
      </c>
      <c r="AA87" s="21">
        <f>Oheads!Z36</f>
        <v>10252.32</v>
      </c>
      <c r="AB87" s="21">
        <f>Oheads!AA36</f>
        <v>10252.32</v>
      </c>
      <c r="AC87" s="21">
        <f>Oheads!AB36</f>
        <v>10252.32</v>
      </c>
      <c r="AD87" s="21">
        <f t="shared" si="31"/>
        <v>123027.84000000003</v>
      </c>
      <c r="AF87" s="59"/>
      <c r="AG87" s="21">
        <f>Oheads!AE36</f>
        <v>10867.459200000001</v>
      </c>
      <c r="AH87" s="21">
        <f>Oheads!AF36</f>
        <v>10867.459200000001</v>
      </c>
      <c r="AI87" s="21">
        <f>Oheads!AG36</f>
        <v>10867.459200000001</v>
      </c>
      <c r="AJ87" s="21">
        <f>Oheads!AH36</f>
        <v>10867.459200000001</v>
      </c>
      <c r="AK87" s="21">
        <f>Oheads!AI36</f>
        <v>10867.459200000001</v>
      </c>
      <c r="AL87" s="21">
        <f>Oheads!AJ36</f>
        <v>10867.459200000001</v>
      </c>
      <c r="AM87" s="21">
        <f>Oheads!AK36</f>
        <v>10867.459200000001</v>
      </c>
      <c r="AN87" s="21">
        <f>Oheads!AL36</f>
        <v>10867.459200000001</v>
      </c>
      <c r="AO87" s="21">
        <f>Oheads!AM36</f>
        <v>10867.459200000001</v>
      </c>
      <c r="AP87" s="21">
        <f>Oheads!AN36</f>
        <v>10867.459200000001</v>
      </c>
      <c r="AQ87" s="21">
        <f>Oheads!AO36</f>
        <v>10867.459200000001</v>
      </c>
      <c r="AR87" s="21">
        <f>Oheads!AP36</f>
        <v>10867.459200000001</v>
      </c>
      <c r="AS87" s="21">
        <f t="shared" si="32"/>
        <v>130409.51039999998</v>
      </c>
    </row>
    <row r="88" spans="1:45">
      <c r="A88" s="56" t="s">
        <v>349</v>
      </c>
      <c r="B88" s="59" t="str">
        <f>'P&amp;L$'!B89</f>
        <v>Mobile Phone Services</v>
      </c>
      <c r="C88" s="21">
        <f>Oheads!C37</f>
        <v>4876</v>
      </c>
      <c r="D88" s="21">
        <f>Oheads!D37</f>
        <v>4876</v>
      </c>
      <c r="E88" s="21">
        <f>Oheads!E37</f>
        <v>4876</v>
      </c>
      <c r="F88" s="21">
        <f>Oheads!F37</f>
        <v>4876</v>
      </c>
      <c r="G88" s="21">
        <f>Oheads!G37</f>
        <v>4876</v>
      </c>
      <c r="H88" s="21">
        <f>Oheads!H37</f>
        <v>4876</v>
      </c>
      <c r="I88" s="21">
        <f>Oheads!I37</f>
        <v>4876</v>
      </c>
      <c r="J88" s="21">
        <f>Oheads!J37</f>
        <v>4876</v>
      </c>
      <c r="K88" s="21">
        <f>Oheads!K37</f>
        <v>4876</v>
      </c>
      <c r="L88" s="21">
        <f>Oheads!L37</f>
        <v>4876</v>
      </c>
      <c r="M88" s="21">
        <f>Oheads!M37</f>
        <v>4876</v>
      </c>
      <c r="N88" s="21">
        <f>Oheads!N37</f>
        <v>4876</v>
      </c>
      <c r="O88" s="21">
        <f t="shared" si="30"/>
        <v>58512</v>
      </c>
      <c r="Q88" s="59"/>
      <c r="R88" s="21">
        <f>Oheads!Q37</f>
        <v>5071.04</v>
      </c>
      <c r="S88" s="21">
        <f>Oheads!R37</f>
        <v>5071.04</v>
      </c>
      <c r="T88" s="21">
        <f>Oheads!S37</f>
        <v>5071.04</v>
      </c>
      <c r="U88" s="21">
        <f>Oheads!T37</f>
        <v>5071.04</v>
      </c>
      <c r="V88" s="21">
        <f>Oheads!U37</f>
        <v>5071.04</v>
      </c>
      <c r="W88" s="21">
        <f>Oheads!V37</f>
        <v>5071.04</v>
      </c>
      <c r="X88" s="21">
        <f>Oheads!W37</f>
        <v>5071.04</v>
      </c>
      <c r="Y88" s="21">
        <f>Oheads!X37</f>
        <v>5071.04</v>
      </c>
      <c r="Z88" s="21">
        <f>Oheads!Y37</f>
        <v>5071.04</v>
      </c>
      <c r="AA88" s="21">
        <f>Oheads!Z37</f>
        <v>5071.04</v>
      </c>
      <c r="AB88" s="21">
        <f>Oheads!AA37</f>
        <v>5071.04</v>
      </c>
      <c r="AC88" s="21">
        <f>Oheads!AB37</f>
        <v>5071.04</v>
      </c>
      <c r="AD88" s="21">
        <f t="shared" si="31"/>
        <v>60852.480000000003</v>
      </c>
      <c r="AF88" s="59"/>
      <c r="AG88" s="21">
        <f>Oheads!AE37</f>
        <v>5375.3024000000005</v>
      </c>
      <c r="AH88" s="21">
        <f>Oheads!AF37</f>
        <v>5375.3024000000005</v>
      </c>
      <c r="AI88" s="21">
        <f>Oheads!AG37</f>
        <v>5375.3024000000005</v>
      </c>
      <c r="AJ88" s="21">
        <f>Oheads!AH37</f>
        <v>5375.3024000000005</v>
      </c>
      <c r="AK88" s="21">
        <f>Oheads!AI37</f>
        <v>5375.3024000000005</v>
      </c>
      <c r="AL88" s="21">
        <f>Oheads!AJ37</f>
        <v>5375.3024000000005</v>
      </c>
      <c r="AM88" s="21">
        <f>Oheads!AK37</f>
        <v>5375.3024000000005</v>
      </c>
      <c r="AN88" s="21">
        <f>Oheads!AL37</f>
        <v>5375.3024000000005</v>
      </c>
      <c r="AO88" s="21">
        <f>Oheads!AM37</f>
        <v>5375.3024000000005</v>
      </c>
      <c r="AP88" s="21">
        <f>Oheads!AN37</f>
        <v>5375.3024000000005</v>
      </c>
      <c r="AQ88" s="21">
        <f>Oheads!AO37</f>
        <v>5375.3024000000005</v>
      </c>
      <c r="AR88" s="21">
        <f>Oheads!AP37</f>
        <v>5375.3024000000005</v>
      </c>
      <c r="AS88" s="21">
        <f t="shared" si="32"/>
        <v>64503.628800000006</v>
      </c>
    </row>
    <row r="89" spans="1:45">
      <c r="A89" s="56" t="s">
        <v>351</v>
      </c>
      <c r="B89" s="59" t="str">
        <f>'P&amp;L$'!B90</f>
        <v>Enron Poland Tele Services</v>
      </c>
      <c r="C89" s="21">
        <f>Oheads!C38</f>
        <v>5035</v>
      </c>
      <c r="D89" s="21">
        <f>Oheads!D38</f>
        <v>5035</v>
      </c>
      <c r="E89" s="21">
        <f>Oheads!E38</f>
        <v>5035</v>
      </c>
      <c r="F89" s="21">
        <f>Oheads!F38</f>
        <v>5035</v>
      </c>
      <c r="G89" s="21">
        <f>Oheads!G38</f>
        <v>5035</v>
      </c>
      <c r="H89" s="21">
        <f>Oheads!H38</f>
        <v>5035</v>
      </c>
      <c r="I89" s="21">
        <f>Oheads!I38</f>
        <v>5035</v>
      </c>
      <c r="J89" s="21">
        <f>Oheads!J38</f>
        <v>5035</v>
      </c>
      <c r="K89" s="21">
        <f>Oheads!K38</f>
        <v>5035</v>
      </c>
      <c r="L89" s="21">
        <f>Oheads!L38</f>
        <v>5035</v>
      </c>
      <c r="M89" s="21">
        <f>Oheads!M38</f>
        <v>5035</v>
      </c>
      <c r="N89" s="21">
        <f>Oheads!N38</f>
        <v>5035</v>
      </c>
      <c r="O89" s="21">
        <f t="shared" si="30"/>
        <v>60420</v>
      </c>
      <c r="Q89" s="59"/>
      <c r="R89" s="21">
        <f>Oheads!Q38</f>
        <v>5236.4000000000005</v>
      </c>
      <c r="S89" s="21">
        <f>Oheads!R38</f>
        <v>5236.4000000000005</v>
      </c>
      <c r="T89" s="21">
        <f>Oheads!S38</f>
        <v>5236.4000000000005</v>
      </c>
      <c r="U89" s="21">
        <f>Oheads!T38</f>
        <v>5236.4000000000005</v>
      </c>
      <c r="V89" s="21">
        <f>Oheads!U38</f>
        <v>5236.4000000000005</v>
      </c>
      <c r="W89" s="21">
        <f>Oheads!V38</f>
        <v>5236.4000000000005</v>
      </c>
      <c r="X89" s="21">
        <f>Oheads!W38</f>
        <v>5236.4000000000005</v>
      </c>
      <c r="Y89" s="21">
        <f>Oheads!X38</f>
        <v>5236.4000000000005</v>
      </c>
      <c r="Z89" s="21">
        <f>Oheads!Y38</f>
        <v>5236.4000000000005</v>
      </c>
      <c r="AA89" s="21">
        <f>Oheads!Z38</f>
        <v>5236.4000000000005</v>
      </c>
      <c r="AB89" s="21">
        <f>Oheads!AA38</f>
        <v>5236.4000000000005</v>
      </c>
      <c r="AC89" s="21">
        <f>Oheads!AB38</f>
        <v>5236.4000000000005</v>
      </c>
      <c r="AD89" s="21">
        <f t="shared" si="31"/>
        <v>62836.80000000001</v>
      </c>
      <c r="AF89" s="59"/>
      <c r="AG89" s="21">
        <f>Oheads!AE38</f>
        <v>5550.5840000000007</v>
      </c>
      <c r="AH89" s="21">
        <f>Oheads!AF38</f>
        <v>5550.5840000000007</v>
      </c>
      <c r="AI89" s="21">
        <f>Oheads!AG38</f>
        <v>5550.5840000000007</v>
      </c>
      <c r="AJ89" s="21">
        <f>Oheads!AH38</f>
        <v>5550.5840000000007</v>
      </c>
      <c r="AK89" s="21">
        <f>Oheads!AI38</f>
        <v>5550.5840000000007</v>
      </c>
      <c r="AL89" s="21">
        <f>Oheads!AJ38</f>
        <v>5550.5840000000007</v>
      </c>
      <c r="AM89" s="21">
        <f>Oheads!AK38</f>
        <v>5550.5840000000007</v>
      </c>
      <c r="AN89" s="21">
        <f>Oheads!AL38</f>
        <v>5550.5840000000007</v>
      </c>
      <c r="AO89" s="21">
        <f>Oheads!AM38</f>
        <v>5550.5840000000007</v>
      </c>
      <c r="AP89" s="21">
        <f>Oheads!AN38</f>
        <v>5550.5840000000007</v>
      </c>
      <c r="AQ89" s="21">
        <f>Oheads!AO38</f>
        <v>5550.5840000000007</v>
      </c>
      <c r="AR89" s="21">
        <f>Oheads!AP38</f>
        <v>5550.5840000000007</v>
      </c>
      <c r="AS89" s="21">
        <f t="shared" si="32"/>
        <v>66607.008000000016</v>
      </c>
    </row>
    <row r="90" spans="1:45">
      <c r="A90" s="56" t="s">
        <v>353</v>
      </c>
      <c r="B90" s="59" t="str">
        <f>'P&amp;L$'!B91</f>
        <v>Site Security</v>
      </c>
      <c r="C90" s="21">
        <f>Oheads!C39</f>
        <v>16960</v>
      </c>
      <c r="D90" s="21">
        <f>Oheads!D39</f>
        <v>16960</v>
      </c>
      <c r="E90" s="21">
        <f>Oheads!E39</f>
        <v>16960</v>
      </c>
      <c r="F90" s="21">
        <f>Oheads!F39</f>
        <v>16960</v>
      </c>
      <c r="G90" s="21">
        <f>Oheads!G39</f>
        <v>16960</v>
      </c>
      <c r="H90" s="21">
        <f>Oheads!H39</f>
        <v>16960</v>
      </c>
      <c r="I90" s="21">
        <f>Oheads!I39</f>
        <v>16960</v>
      </c>
      <c r="J90" s="21">
        <f>Oheads!J39</f>
        <v>16960</v>
      </c>
      <c r="K90" s="21">
        <f>Oheads!K39</f>
        <v>16960</v>
      </c>
      <c r="L90" s="21">
        <f>Oheads!L39</f>
        <v>16960</v>
      </c>
      <c r="M90" s="21">
        <f>Oheads!M39</f>
        <v>16960</v>
      </c>
      <c r="N90" s="21">
        <f>Oheads!N39</f>
        <v>16960</v>
      </c>
      <c r="O90" s="21">
        <f t="shared" si="30"/>
        <v>203520</v>
      </c>
      <c r="Q90" s="59"/>
      <c r="R90" s="21">
        <f>Oheads!Q39</f>
        <v>17638.400000000001</v>
      </c>
      <c r="S90" s="21">
        <f>Oheads!R39</f>
        <v>17638.400000000001</v>
      </c>
      <c r="T90" s="21">
        <f>Oheads!S39</f>
        <v>17638.400000000001</v>
      </c>
      <c r="U90" s="21">
        <f>Oheads!T39</f>
        <v>17638.400000000001</v>
      </c>
      <c r="V90" s="21">
        <f>Oheads!U39</f>
        <v>17638.400000000001</v>
      </c>
      <c r="W90" s="21">
        <f>Oheads!V39</f>
        <v>17638.400000000001</v>
      </c>
      <c r="X90" s="21">
        <f>Oheads!W39</f>
        <v>17638.400000000001</v>
      </c>
      <c r="Y90" s="21">
        <f>Oheads!X39</f>
        <v>17638.400000000001</v>
      </c>
      <c r="Z90" s="21">
        <f>Oheads!Y39</f>
        <v>17638.400000000001</v>
      </c>
      <c r="AA90" s="21">
        <f>Oheads!Z39</f>
        <v>17638.400000000001</v>
      </c>
      <c r="AB90" s="21">
        <f>Oheads!AA39</f>
        <v>17638.400000000001</v>
      </c>
      <c r="AC90" s="21">
        <f>Oheads!AB39</f>
        <v>17638.400000000001</v>
      </c>
      <c r="AD90" s="21">
        <f t="shared" si="31"/>
        <v>211660.79999999996</v>
      </c>
      <c r="AF90" s="59"/>
      <c r="AG90" s="21">
        <f>Oheads!AE39</f>
        <v>18696.704000000002</v>
      </c>
      <c r="AH90" s="21">
        <f>Oheads!AF39</f>
        <v>18696.704000000002</v>
      </c>
      <c r="AI90" s="21">
        <f>Oheads!AG39</f>
        <v>18696.704000000002</v>
      </c>
      <c r="AJ90" s="21">
        <f>Oheads!AH39</f>
        <v>18696.704000000002</v>
      </c>
      <c r="AK90" s="21">
        <f>Oheads!AI39</f>
        <v>18696.704000000002</v>
      </c>
      <c r="AL90" s="21">
        <f>Oheads!AJ39</f>
        <v>18696.704000000002</v>
      </c>
      <c r="AM90" s="21">
        <f>Oheads!AK39</f>
        <v>18696.704000000002</v>
      </c>
      <c r="AN90" s="21">
        <f>Oheads!AL39</f>
        <v>18696.704000000002</v>
      </c>
      <c r="AO90" s="21">
        <f>Oheads!AM39</f>
        <v>18696.704000000002</v>
      </c>
      <c r="AP90" s="21">
        <f>Oheads!AN39</f>
        <v>18696.704000000002</v>
      </c>
      <c r="AQ90" s="21">
        <f>Oheads!AO39</f>
        <v>18696.704000000002</v>
      </c>
      <c r="AR90" s="21">
        <f>Oheads!AP39</f>
        <v>18696.704000000002</v>
      </c>
      <c r="AS90" s="21">
        <f t="shared" si="32"/>
        <v>224360.448</v>
      </c>
    </row>
    <row r="91" spans="1:45">
      <c r="A91" s="56" t="s">
        <v>355</v>
      </c>
      <c r="B91" s="59" t="str">
        <f>'P&amp;L$'!B92</f>
        <v>Landscape Maintenence</v>
      </c>
      <c r="C91" s="21">
        <f>Oheads!C40</f>
        <v>10600</v>
      </c>
      <c r="D91" s="21">
        <f>Oheads!D40</f>
        <v>10600</v>
      </c>
      <c r="E91" s="21">
        <f>Oheads!E40</f>
        <v>10600</v>
      </c>
      <c r="F91" s="21">
        <f>Oheads!F40</f>
        <v>10600</v>
      </c>
      <c r="G91" s="21">
        <f>Oheads!G40</f>
        <v>10600</v>
      </c>
      <c r="H91" s="21">
        <f>Oheads!H40</f>
        <v>10600</v>
      </c>
      <c r="I91" s="21">
        <f>Oheads!I40</f>
        <v>10600</v>
      </c>
      <c r="J91" s="21">
        <f>Oheads!J40</f>
        <v>10600</v>
      </c>
      <c r="K91" s="21">
        <f>Oheads!K40</f>
        <v>10600</v>
      </c>
      <c r="L91" s="21">
        <f>Oheads!L40</f>
        <v>10600</v>
      </c>
      <c r="M91" s="21">
        <f>Oheads!M40</f>
        <v>10600</v>
      </c>
      <c r="N91" s="21">
        <f>Oheads!N40</f>
        <v>10600</v>
      </c>
      <c r="O91" s="21">
        <f t="shared" si="30"/>
        <v>127200</v>
      </c>
      <c r="Q91" s="59"/>
      <c r="R91" s="21">
        <f>Oheads!Q40</f>
        <v>11024</v>
      </c>
      <c r="S91" s="21">
        <f>Oheads!R40</f>
        <v>11024</v>
      </c>
      <c r="T91" s="21">
        <f>Oheads!S40</f>
        <v>11024</v>
      </c>
      <c r="U91" s="21">
        <f>Oheads!T40</f>
        <v>11024</v>
      </c>
      <c r="V91" s="21">
        <f>Oheads!U40</f>
        <v>11024</v>
      </c>
      <c r="W91" s="21">
        <f>Oheads!V40</f>
        <v>11024</v>
      </c>
      <c r="X91" s="21">
        <f>Oheads!W40</f>
        <v>11024</v>
      </c>
      <c r="Y91" s="21">
        <f>Oheads!X40</f>
        <v>11024</v>
      </c>
      <c r="Z91" s="21">
        <f>Oheads!Y40</f>
        <v>11024</v>
      </c>
      <c r="AA91" s="21">
        <f>Oheads!Z40</f>
        <v>11024</v>
      </c>
      <c r="AB91" s="21">
        <f>Oheads!AA40</f>
        <v>11024</v>
      </c>
      <c r="AC91" s="21">
        <f>Oheads!AB40</f>
        <v>11024</v>
      </c>
      <c r="AD91" s="21">
        <f t="shared" si="31"/>
        <v>132288</v>
      </c>
      <c r="AF91" s="59"/>
      <c r="AG91" s="21">
        <f>Oheads!AE40</f>
        <v>11685.44</v>
      </c>
      <c r="AH91" s="21">
        <f>Oheads!AF40</f>
        <v>11685.44</v>
      </c>
      <c r="AI91" s="21">
        <f>Oheads!AG40</f>
        <v>11685.44</v>
      </c>
      <c r="AJ91" s="21">
        <f>Oheads!AH40</f>
        <v>11685.44</v>
      </c>
      <c r="AK91" s="21">
        <f>Oheads!AI40</f>
        <v>11685.44</v>
      </c>
      <c r="AL91" s="21">
        <f>Oheads!AJ40</f>
        <v>11685.44</v>
      </c>
      <c r="AM91" s="21">
        <f>Oheads!AK40</f>
        <v>11685.44</v>
      </c>
      <c r="AN91" s="21">
        <f>Oheads!AL40</f>
        <v>11685.44</v>
      </c>
      <c r="AO91" s="21">
        <f>Oheads!AM40</f>
        <v>11685.44</v>
      </c>
      <c r="AP91" s="21">
        <f>Oheads!AN40</f>
        <v>11685.44</v>
      </c>
      <c r="AQ91" s="21">
        <f>Oheads!AO40</f>
        <v>11685.44</v>
      </c>
      <c r="AR91" s="21">
        <f>Oheads!AP40</f>
        <v>11685.44</v>
      </c>
      <c r="AS91" s="21">
        <f t="shared" si="32"/>
        <v>140225.28</v>
      </c>
    </row>
    <row r="92" spans="1:45">
      <c r="A92" s="56" t="s">
        <v>508</v>
      </c>
      <c r="B92" s="59" t="str">
        <f>'P&amp;L$'!B93</f>
        <v>Weather Services</v>
      </c>
      <c r="C92" s="21">
        <f>Oheads!C41</f>
        <v>1696</v>
      </c>
      <c r="D92" s="21">
        <f>Oheads!D41</f>
        <v>1696</v>
      </c>
      <c r="E92" s="21">
        <f>Oheads!E41</f>
        <v>1696</v>
      </c>
      <c r="F92" s="21">
        <f>Oheads!F41</f>
        <v>1696</v>
      </c>
      <c r="G92" s="21">
        <f>Oheads!G41</f>
        <v>1696</v>
      </c>
      <c r="H92" s="21">
        <f>Oheads!H41</f>
        <v>1696</v>
      </c>
      <c r="I92" s="21">
        <f>Oheads!I41</f>
        <v>1696</v>
      </c>
      <c r="J92" s="21">
        <f>Oheads!J41</f>
        <v>1696</v>
      </c>
      <c r="K92" s="21">
        <f>Oheads!K41</f>
        <v>1696</v>
      </c>
      <c r="L92" s="21">
        <f>Oheads!L41</f>
        <v>1696</v>
      </c>
      <c r="M92" s="21">
        <f>Oheads!M41</f>
        <v>1696</v>
      </c>
      <c r="N92" s="21">
        <f>Oheads!N41</f>
        <v>1696</v>
      </c>
      <c r="O92" s="21">
        <f t="shared" si="30"/>
        <v>20352</v>
      </c>
      <c r="Q92" s="59"/>
      <c r="R92" s="21">
        <f>Oheads!Q41</f>
        <v>1763.8400000000001</v>
      </c>
      <c r="S92" s="21">
        <f>Oheads!R41</f>
        <v>1763.8400000000001</v>
      </c>
      <c r="T92" s="21">
        <f>Oheads!S41</f>
        <v>1763.8400000000001</v>
      </c>
      <c r="U92" s="21">
        <f>Oheads!T41</f>
        <v>1763.8400000000001</v>
      </c>
      <c r="V92" s="21">
        <f>Oheads!U41</f>
        <v>1763.8400000000001</v>
      </c>
      <c r="W92" s="21">
        <f>Oheads!V41</f>
        <v>1763.8400000000001</v>
      </c>
      <c r="X92" s="21">
        <f>Oheads!W41</f>
        <v>1763.8400000000001</v>
      </c>
      <c r="Y92" s="21">
        <f>Oheads!X41</f>
        <v>1763.8400000000001</v>
      </c>
      <c r="Z92" s="21">
        <f>Oheads!Y41</f>
        <v>1763.8400000000001</v>
      </c>
      <c r="AA92" s="21">
        <f>Oheads!Z41</f>
        <v>1763.8400000000001</v>
      </c>
      <c r="AB92" s="21">
        <f>Oheads!AA41</f>
        <v>1763.8400000000001</v>
      </c>
      <c r="AC92" s="21">
        <f>Oheads!AB41</f>
        <v>1763.8400000000001</v>
      </c>
      <c r="AD92" s="21">
        <f t="shared" si="31"/>
        <v>21166.080000000002</v>
      </c>
      <c r="AF92" s="59"/>
      <c r="AG92" s="21">
        <f>Oheads!AE41</f>
        <v>1869.6704000000002</v>
      </c>
      <c r="AH92" s="21">
        <f>Oheads!AF41</f>
        <v>1869.6704000000002</v>
      </c>
      <c r="AI92" s="21">
        <f>Oheads!AG41</f>
        <v>1869.6704000000002</v>
      </c>
      <c r="AJ92" s="21">
        <f>Oheads!AH41</f>
        <v>1869.6704000000002</v>
      </c>
      <c r="AK92" s="21">
        <f>Oheads!AI41</f>
        <v>1869.6704000000002</v>
      </c>
      <c r="AL92" s="21">
        <f>Oheads!AJ41</f>
        <v>1869.6704000000002</v>
      </c>
      <c r="AM92" s="21">
        <f>Oheads!AK41</f>
        <v>1869.6704000000002</v>
      </c>
      <c r="AN92" s="21">
        <f>Oheads!AL41</f>
        <v>1869.6704000000002</v>
      </c>
      <c r="AO92" s="21">
        <f>Oheads!AM41</f>
        <v>1869.6704000000002</v>
      </c>
      <c r="AP92" s="21">
        <f>Oheads!AN41</f>
        <v>1869.6704000000002</v>
      </c>
      <c r="AQ92" s="21">
        <f>Oheads!AO41</f>
        <v>1869.6704000000002</v>
      </c>
      <c r="AR92" s="21">
        <f>Oheads!AP41</f>
        <v>1869.6704000000002</v>
      </c>
      <c r="AS92" s="21">
        <f t="shared" si="32"/>
        <v>22436.0448</v>
      </c>
    </row>
    <row r="93" spans="1:45">
      <c r="A93" s="56" t="s">
        <v>357</v>
      </c>
      <c r="B93" s="59" t="str">
        <f>'P&amp;L$'!B94</f>
        <v>Other Services</v>
      </c>
      <c r="C93" s="21">
        <f>Oheads!C42</f>
        <v>2000</v>
      </c>
      <c r="D93" s="21">
        <f>Oheads!D42</f>
        <v>2000</v>
      </c>
      <c r="E93" s="21">
        <f>Oheads!E42</f>
        <v>2000</v>
      </c>
      <c r="F93" s="21">
        <f>Oheads!F42</f>
        <v>2000</v>
      </c>
      <c r="G93" s="21">
        <f>Oheads!G42</f>
        <v>2000</v>
      </c>
      <c r="H93" s="21">
        <f>Oheads!H42</f>
        <v>2000</v>
      </c>
      <c r="I93" s="21">
        <f>Oheads!I42</f>
        <v>2000</v>
      </c>
      <c r="J93" s="21">
        <f>Oheads!J42</f>
        <v>2000</v>
      </c>
      <c r="K93" s="21">
        <f>Oheads!K42</f>
        <v>2000</v>
      </c>
      <c r="L93" s="21">
        <f>Oheads!L42</f>
        <v>2000</v>
      </c>
      <c r="M93" s="21">
        <f>Oheads!M42</f>
        <v>2000</v>
      </c>
      <c r="N93" s="21">
        <f>Oheads!N42</f>
        <v>2000</v>
      </c>
      <c r="O93" s="21">
        <f t="shared" si="30"/>
        <v>24000</v>
      </c>
      <c r="Q93" s="59"/>
      <c r="R93" s="21">
        <f>Oheads!Q42</f>
        <v>2080</v>
      </c>
      <c r="S93" s="21">
        <f>Oheads!R42</f>
        <v>2080</v>
      </c>
      <c r="T93" s="21">
        <f>Oheads!S42</f>
        <v>2080</v>
      </c>
      <c r="U93" s="21">
        <f>Oheads!T42</f>
        <v>2080</v>
      </c>
      <c r="V93" s="21">
        <f>Oheads!U42</f>
        <v>2080</v>
      </c>
      <c r="W93" s="21">
        <f>Oheads!V42</f>
        <v>2080</v>
      </c>
      <c r="X93" s="21">
        <f>Oheads!W42</f>
        <v>2080</v>
      </c>
      <c r="Y93" s="21">
        <f>Oheads!X42</f>
        <v>2080</v>
      </c>
      <c r="Z93" s="21">
        <f>Oheads!Y42</f>
        <v>2080</v>
      </c>
      <c r="AA93" s="21">
        <f>Oheads!Z42</f>
        <v>2080</v>
      </c>
      <c r="AB93" s="21">
        <f>Oheads!AA42</f>
        <v>2080</v>
      </c>
      <c r="AC93" s="21">
        <f>Oheads!AB42</f>
        <v>2080</v>
      </c>
      <c r="AD93" s="21">
        <f t="shared" si="31"/>
        <v>24960</v>
      </c>
      <c r="AF93" s="59"/>
      <c r="AG93" s="21">
        <f>Oheads!AE42</f>
        <v>2204.8000000000002</v>
      </c>
      <c r="AH93" s="21">
        <f>Oheads!AF42</f>
        <v>2204.8000000000002</v>
      </c>
      <c r="AI93" s="21">
        <f>Oheads!AG42</f>
        <v>2204.8000000000002</v>
      </c>
      <c r="AJ93" s="21">
        <f>Oheads!AH42</f>
        <v>2204.8000000000002</v>
      </c>
      <c r="AK93" s="21">
        <f>Oheads!AI42</f>
        <v>2204.8000000000002</v>
      </c>
      <c r="AL93" s="21">
        <f>Oheads!AJ42</f>
        <v>2204.8000000000002</v>
      </c>
      <c r="AM93" s="21">
        <f>Oheads!AK42</f>
        <v>2204.8000000000002</v>
      </c>
      <c r="AN93" s="21">
        <f>Oheads!AL42</f>
        <v>2204.8000000000002</v>
      </c>
      <c r="AO93" s="21">
        <f>Oheads!AM42</f>
        <v>2204.8000000000002</v>
      </c>
      <c r="AP93" s="21">
        <f>Oheads!AN42</f>
        <v>2204.8000000000002</v>
      </c>
      <c r="AQ93" s="21">
        <f>Oheads!AO42</f>
        <v>2204.8000000000002</v>
      </c>
      <c r="AR93" s="21">
        <f>Oheads!AP42</f>
        <v>2204.8000000000002</v>
      </c>
      <c r="AS93" s="21">
        <f t="shared" si="32"/>
        <v>26457.599999999995</v>
      </c>
    </row>
    <row r="94" spans="1:45" ht="13.5" thickBot="1">
      <c r="A94" s="56"/>
      <c r="B94" s="136" t="s">
        <v>97</v>
      </c>
      <c r="C94" s="19">
        <f>SUM(C77:C93)</f>
        <v>82832</v>
      </c>
      <c r="D94" s="19">
        <f t="shared" ref="D94:O94" si="33">SUM(D77:D93)</f>
        <v>82832</v>
      </c>
      <c r="E94" s="19">
        <f t="shared" si="33"/>
        <v>82832</v>
      </c>
      <c r="F94" s="19">
        <f t="shared" si="33"/>
        <v>82832</v>
      </c>
      <c r="G94" s="19">
        <f t="shared" si="33"/>
        <v>82832</v>
      </c>
      <c r="H94" s="19">
        <f t="shared" si="33"/>
        <v>82832</v>
      </c>
      <c r="I94" s="19">
        <f t="shared" si="33"/>
        <v>82832</v>
      </c>
      <c r="J94" s="19">
        <f t="shared" si="33"/>
        <v>82832</v>
      </c>
      <c r="K94" s="19">
        <f t="shared" si="33"/>
        <v>82832</v>
      </c>
      <c r="L94" s="19">
        <f t="shared" si="33"/>
        <v>82832</v>
      </c>
      <c r="M94" s="19">
        <f t="shared" si="33"/>
        <v>82832</v>
      </c>
      <c r="N94" s="19">
        <f t="shared" si="33"/>
        <v>82832</v>
      </c>
      <c r="O94" s="19">
        <f t="shared" si="33"/>
        <v>993984</v>
      </c>
      <c r="Q94" s="59"/>
      <c r="R94" s="19">
        <f t="shared" ref="R94:AD94" si="34">SUM(R77:R93)</f>
        <v>86145.279999999999</v>
      </c>
      <c r="S94" s="53">
        <f t="shared" si="34"/>
        <v>86145.279999999999</v>
      </c>
      <c r="T94" s="53">
        <f t="shared" si="34"/>
        <v>86145.279999999999</v>
      </c>
      <c r="U94" s="53">
        <f t="shared" si="34"/>
        <v>86145.279999999999</v>
      </c>
      <c r="V94" s="53">
        <f t="shared" si="34"/>
        <v>86145.279999999999</v>
      </c>
      <c r="W94" s="53">
        <f t="shared" si="34"/>
        <v>86145.279999999999</v>
      </c>
      <c r="X94" s="53">
        <f t="shared" si="34"/>
        <v>86145.279999999999</v>
      </c>
      <c r="Y94" s="53">
        <f t="shared" si="34"/>
        <v>86145.279999999999</v>
      </c>
      <c r="Z94" s="53">
        <f t="shared" si="34"/>
        <v>86145.279999999999</v>
      </c>
      <c r="AA94" s="53">
        <f t="shared" si="34"/>
        <v>86145.279999999999</v>
      </c>
      <c r="AB94" s="53">
        <f t="shared" si="34"/>
        <v>86145.279999999999</v>
      </c>
      <c r="AC94" s="53">
        <f t="shared" si="34"/>
        <v>86145.279999999999</v>
      </c>
      <c r="AD94" s="53">
        <f t="shared" si="34"/>
        <v>1033743.36</v>
      </c>
      <c r="AF94" s="59"/>
      <c r="AG94" s="19">
        <f t="shared" ref="AG94:AS94" si="35">SUM(AG77:AG93)</f>
        <v>91313.996800000008</v>
      </c>
      <c r="AH94" s="53">
        <f t="shared" si="35"/>
        <v>91313.996800000008</v>
      </c>
      <c r="AI94" s="53">
        <f t="shared" si="35"/>
        <v>91313.996800000008</v>
      </c>
      <c r="AJ94" s="53">
        <f t="shared" si="35"/>
        <v>91313.996800000008</v>
      </c>
      <c r="AK94" s="53">
        <f t="shared" si="35"/>
        <v>91313.996800000008</v>
      </c>
      <c r="AL94" s="53">
        <f t="shared" si="35"/>
        <v>91313.996800000008</v>
      </c>
      <c r="AM94" s="53">
        <f t="shared" si="35"/>
        <v>91313.996800000008</v>
      </c>
      <c r="AN94" s="53">
        <f t="shared" si="35"/>
        <v>91313.996800000008</v>
      </c>
      <c r="AO94" s="53">
        <f t="shared" si="35"/>
        <v>91313.996800000008</v>
      </c>
      <c r="AP94" s="53">
        <f t="shared" si="35"/>
        <v>91313.996800000008</v>
      </c>
      <c r="AQ94" s="53">
        <f t="shared" si="35"/>
        <v>91313.996800000008</v>
      </c>
      <c r="AR94" s="53">
        <f t="shared" si="35"/>
        <v>91313.996800000008</v>
      </c>
      <c r="AS94" s="53">
        <f t="shared" si="35"/>
        <v>1095767.9616000003</v>
      </c>
    </row>
    <row r="95" spans="1:45" ht="13.5" thickTop="1">
      <c r="A95" s="56"/>
      <c r="B95" s="6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0"/>
      <c r="Q95" s="59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0"/>
      <c r="AF95" s="59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0"/>
    </row>
    <row r="96" spans="1:45">
      <c r="A96" s="54" t="s">
        <v>359</v>
      </c>
      <c r="B96" s="60" t="str">
        <f>'P&amp;L$'!B97</f>
        <v>TAXES AND FEES</v>
      </c>
      <c r="C96" s="39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0"/>
      <c r="Q96" s="60"/>
      <c r="R96" s="22" t="s">
        <v>504</v>
      </c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0"/>
      <c r="AF96" s="60"/>
      <c r="AG96" s="22" t="s">
        <v>504</v>
      </c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0"/>
    </row>
    <row r="97" spans="1:45">
      <c r="A97" s="56" t="s">
        <v>361</v>
      </c>
      <c r="B97" s="59" t="str">
        <f>'P&amp;L$'!B98</f>
        <v>Environment Fees</v>
      </c>
      <c r="C97" s="21">
        <f>Oheads!C46</f>
        <v>8715</v>
      </c>
      <c r="D97" s="21">
        <f>Oheads!D46</f>
        <v>8715</v>
      </c>
      <c r="E97" s="21">
        <f>Oheads!E46</f>
        <v>8715</v>
      </c>
      <c r="F97" s="21">
        <f>Oheads!F46</f>
        <v>8715</v>
      </c>
      <c r="G97" s="21">
        <f>Oheads!G46</f>
        <v>8715</v>
      </c>
      <c r="H97" s="21">
        <f>Oheads!H46</f>
        <v>8715</v>
      </c>
      <c r="I97" s="21">
        <f>Oheads!I46</f>
        <v>8715</v>
      </c>
      <c r="J97" s="21">
        <f>Oheads!J46</f>
        <v>8715</v>
      </c>
      <c r="K97" s="21">
        <f>Oheads!K46</f>
        <v>8715</v>
      </c>
      <c r="L97" s="21">
        <f>Oheads!L46</f>
        <v>8715</v>
      </c>
      <c r="M97" s="21">
        <f>Oheads!M46</f>
        <v>8715</v>
      </c>
      <c r="N97" s="21">
        <f>Oheads!N46</f>
        <v>8715</v>
      </c>
      <c r="O97" s="21">
        <f t="shared" ref="O97:O110" si="36">SUM(C97:N97)</f>
        <v>104580</v>
      </c>
      <c r="Q97" s="59"/>
      <c r="R97" s="21">
        <f>Oheads!Q46</f>
        <v>9063.6</v>
      </c>
      <c r="S97" s="21">
        <f>Oheads!R46</f>
        <v>9063.6</v>
      </c>
      <c r="T97" s="21">
        <f>Oheads!S46</f>
        <v>9063.6</v>
      </c>
      <c r="U97" s="21">
        <f>Oheads!T46</f>
        <v>9063.6</v>
      </c>
      <c r="V97" s="21">
        <f>Oheads!U46</f>
        <v>9063.6</v>
      </c>
      <c r="W97" s="21">
        <f>Oheads!V46</f>
        <v>9063.6</v>
      </c>
      <c r="X97" s="21">
        <f>Oheads!W46</f>
        <v>9063.6</v>
      </c>
      <c r="Y97" s="21">
        <f>Oheads!X46</f>
        <v>9063.6</v>
      </c>
      <c r="Z97" s="21">
        <f>Oheads!Y46</f>
        <v>9063.6</v>
      </c>
      <c r="AA97" s="21">
        <f>Oheads!Z46</f>
        <v>9063.6</v>
      </c>
      <c r="AB97" s="21">
        <f>Oheads!AA46</f>
        <v>9063.6</v>
      </c>
      <c r="AC97" s="21">
        <f>Oheads!AB46</f>
        <v>9063.6</v>
      </c>
      <c r="AD97" s="21">
        <f t="shared" ref="AD97:AD110" si="37">SUM(R97:AC97)</f>
        <v>108763.20000000003</v>
      </c>
      <c r="AF97" s="59"/>
      <c r="AG97" s="21">
        <f>Oheads!AE46</f>
        <v>9607.4160000000011</v>
      </c>
      <c r="AH97" s="21">
        <f>Oheads!AF46</f>
        <v>9607.4160000000011</v>
      </c>
      <c r="AI97" s="21">
        <f>Oheads!AG46</f>
        <v>9607.4160000000011</v>
      </c>
      <c r="AJ97" s="21">
        <f>Oheads!AH46</f>
        <v>9607.4160000000011</v>
      </c>
      <c r="AK97" s="21">
        <f>Oheads!AI46</f>
        <v>9607.4160000000011</v>
      </c>
      <c r="AL97" s="21">
        <f>Oheads!AJ46</f>
        <v>9607.4160000000011</v>
      </c>
      <c r="AM97" s="21">
        <f>Oheads!AK46</f>
        <v>9607.4160000000011</v>
      </c>
      <c r="AN97" s="21">
        <f>Oheads!AL46</f>
        <v>9607.4160000000011</v>
      </c>
      <c r="AO97" s="21">
        <f>Oheads!AM46</f>
        <v>9607.4160000000011</v>
      </c>
      <c r="AP97" s="21">
        <f>Oheads!AN46</f>
        <v>9607.4160000000011</v>
      </c>
      <c r="AQ97" s="21">
        <f>Oheads!AO46</f>
        <v>9607.4160000000011</v>
      </c>
      <c r="AR97" s="21">
        <f>Oheads!AP46</f>
        <v>9607.4160000000011</v>
      </c>
      <c r="AS97" s="21">
        <f t="shared" ref="AS97:AS110" si="38">SUM(AG97:AR97)</f>
        <v>115288.99199999998</v>
      </c>
    </row>
    <row r="98" spans="1:45">
      <c r="A98" s="56" t="s">
        <v>363</v>
      </c>
      <c r="B98" s="59" t="str">
        <f>'P&amp;L$'!B99</f>
        <v>Ground Rent</v>
      </c>
      <c r="C98" s="21">
        <f>Oheads!C47</f>
        <v>85444</v>
      </c>
      <c r="D98" s="21">
        <f>Oheads!D47</f>
        <v>85444</v>
      </c>
      <c r="E98" s="21">
        <f>Oheads!E47</f>
        <v>85444</v>
      </c>
      <c r="F98" s="21">
        <f>Oheads!F47</f>
        <v>85444</v>
      </c>
      <c r="G98" s="21">
        <f>Oheads!G47</f>
        <v>85444</v>
      </c>
      <c r="H98" s="21">
        <f>Oheads!H47</f>
        <v>85444</v>
      </c>
      <c r="I98" s="21">
        <f>Oheads!I47</f>
        <v>85444</v>
      </c>
      <c r="J98" s="21">
        <f>Oheads!J47</f>
        <v>85444</v>
      </c>
      <c r="K98" s="21">
        <f>Oheads!K47</f>
        <v>85444</v>
      </c>
      <c r="L98" s="21">
        <f>Oheads!L47</f>
        <v>85444</v>
      </c>
      <c r="M98" s="21">
        <f>Oheads!M47</f>
        <v>85444</v>
      </c>
      <c r="N98" s="21">
        <f>Oheads!N47</f>
        <v>85444</v>
      </c>
      <c r="O98" s="21">
        <f t="shared" si="36"/>
        <v>1025328</v>
      </c>
      <c r="Q98" s="57"/>
      <c r="R98" s="21">
        <f>Oheads!Q47</f>
        <v>88861.760000000009</v>
      </c>
      <c r="S98" s="21">
        <f>Oheads!R47</f>
        <v>88861.760000000009</v>
      </c>
      <c r="T98" s="21">
        <f>Oheads!S47</f>
        <v>88861.760000000009</v>
      </c>
      <c r="U98" s="21">
        <f>Oheads!T47</f>
        <v>88861.760000000009</v>
      </c>
      <c r="V98" s="21">
        <f>Oheads!U47</f>
        <v>88861.760000000009</v>
      </c>
      <c r="W98" s="21">
        <f>Oheads!V47</f>
        <v>88861.760000000009</v>
      </c>
      <c r="X98" s="21">
        <f>Oheads!W47</f>
        <v>88861.760000000009</v>
      </c>
      <c r="Y98" s="21">
        <f>Oheads!X47</f>
        <v>88861.760000000009</v>
      </c>
      <c r="Z98" s="21">
        <f>Oheads!Y47</f>
        <v>88861.760000000009</v>
      </c>
      <c r="AA98" s="21">
        <f>Oheads!Z47</f>
        <v>88861.760000000009</v>
      </c>
      <c r="AB98" s="21">
        <f>Oheads!AA47</f>
        <v>88861.760000000009</v>
      </c>
      <c r="AC98" s="21">
        <f>Oheads!AB47</f>
        <v>88861.760000000009</v>
      </c>
      <c r="AD98" s="21">
        <f t="shared" si="37"/>
        <v>1066341.1200000001</v>
      </c>
      <c r="AF98" s="57"/>
      <c r="AG98" s="21">
        <f>Oheads!AE47</f>
        <v>94193.46560000001</v>
      </c>
      <c r="AH98" s="21">
        <f>Oheads!AF47</f>
        <v>94193.46560000001</v>
      </c>
      <c r="AI98" s="21">
        <f>Oheads!AG47</f>
        <v>94193.46560000001</v>
      </c>
      <c r="AJ98" s="21">
        <f>Oheads!AH47</f>
        <v>94193.46560000001</v>
      </c>
      <c r="AK98" s="21">
        <f>Oheads!AI47</f>
        <v>94193.46560000001</v>
      </c>
      <c r="AL98" s="21">
        <f>Oheads!AJ47</f>
        <v>94193.46560000001</v>
      </c>
      <c r="AM98" s="21">
        <f>Oheads!AK47</f>
        <v>94193.46560000001</v>
      </c>
      <c r="AN98" s="21">
        <f>Oheads!AL47</f>
        <v>94193.46560000001</v>
      </c>
      <c r="AO98" s="21">
        <f>Oheads!AM47</f>
        <v>94193.46560000001</v>
      </c>
      <c r="AP98" s="21">
        <f>Oheads!AN47</f>
        <v>94193.46560000001</v>
      </c>
      <c r="AQ98" s="21">
        <f>Oheads!AO47</f>
        <v>94193.46560000001</v>
      </c>
      <c r="AR98" s="21">
        <f>Oheads!AP47</f>
        <v>94193.46560000001</v>
      </c>
      <c r="AS98" s="21">
        <f t="shared" si="38"/>
        <v>1130321.5872000002</v>
      </c>
    </row>
    <row r="99" spans="1:45">
      <c r="A99" s="56" t="s">
        <v>365</v>
      </c>
      <c r="B99" s="59" t="str">
        <f>'P&amp;L$'!B100</f>
        <v>PFRON</v>
      </c>
      <c r="C99" s="21">
        <f>Oheads!C48</f>
        <v>2500</v>
      </c>
      <c r="D99" s="21">
        <f>Oheads!D48</f>
        <v>2500</v>
      </c>
      <c r="E99" s="21">
        <f>Oheads!E48</f>
        <v>2500</v>
      </c>
      <c r="F99" s="21">
        <f>Oheads!F48</f>
        <v>2500</v>
      </c>
      <c r="G99" s="21">
        <f>Oheads!G48</f>
        <v>2500</v>
      </c>
      <c r="H99" s="21">
        <f>Oheads!H48</f>
        <v>2500</v>
      </c>
      <c r="I99" s="21">
        <f>Oheads!I48</f>
        <v>2500</v>
      </c>
      <c r="J99" s="21">
        <f>Oheads!J48</f>
        <v>2500</v>
      </c>
      <c r="K99" s="21">
        <f>Oheads!K48</f>
        <v>2500</v>
      </c>
      <c r="L99" s="21">
        <f>Oheads!L48</f>
        <v>2500</v>
      </c>
      <c r="M99" s="21">
        <f>Oheads!M48</f>
        <v>2500</v>
      </c>
      <c r="N99" s="21">
        <f>Oheads!N48</f>
        <v>2500</v>
      </c>
      <c r="O99" s="21">
        <f t="shared" si="36"/>
        <v>30000</v>
      </c>
      <c r="Q99" s="57"/>
      <c r="R99" s="21">
        <f>Oheads!Q48</f>
        <v>2600</v>
      </c>
      <c r="S99" s="21">
        <f>Oheads!R48</f>
        <v>2600</v>
      </c>
      <c r="T99" s="21">
        <f>Oheads!S48</f>
        <v>2600</v>
      </c>
      <c r="U99" s="21">
        <f>Oheads!T48</f>
        <v>2600</v>
      </c>
      <c r="V99" s="21">
        <f>Oheads!U48</f>
        <v>2600</v>
      </c>
      <c r="W99" s="21">
        <f>Oheads!V48</f>
        <v>2600</v>
      </c>
      <c r="X99" s="21">
        <f>Oheads!W48</f>
        <v>2600</v>
      </c>
      <c r="Y99" s="21">
        <f>Oheads!X48</f>
        <v>2600</v>
      </c>
      <c r="Z99" s="21">
        <f>Oheads!Y48</f>
        <v>2600</v>
      </c>
      <c r="AA99" s="21">
        <f>Oheads!Z48</f>
        <v>2600</v>
      </c>
      <c r="AB99" s="21">
        <f>Oheads!AA48</f>
        <v>2600</v>
      </c>
      <c r="AC99" s="21">
        <f>Oheads!AB48</f>
        <v>2600</v>
      </c>
      <c r="AD99" s="21">
        <f t="shared" si="37"/>
        <v>31200</v>
      </c>
      <c r="AF99" s="57"/>
      <c r="AG99" s="21">
        <f>Oheads!AE48</f>
        <v>2756</v>
      </c>
      <c r="AH99" s="21">
        <f>Oheads!AF48</f>
        <v>2756</v>
      </c>
      <c r="AI99" s="21">
        <f>Oheads!AG48</f>
        <v>2756</v>
      </c>
      <c r="AJ99" s="21">
        <f>Oheads!AH48</f>
        <v>2756</v>
      </c>
      <c r="AK99" s="21">
        <f>Oheads!AI48</f>
        <v>2756</v>
      </c>
      <c r="AL99" s="21">
        <f>Oheads!AJ48</f>
        <v>2756</v>
      </c>
      <c r="AM99" s="21">
        <f>Oheads!AK48</f>
        <v>2756</v>
      </c>
      <c r="AN99" s="21">
        <f>Oheads!AL48</f>
        <v>2756</v>
      </c>
      <c r="AO99" s="21">
        <f>Oheads!AM48</f>
        <v>2756</v>
      </c>
      <c r="AP99" s="21">
        <f>Oheads!AN48</f>
        <v>2756</v>
      </c>
      <c r="AQ99" s="21">
        <f>Oheads!AO48</f>
        <v>2756</v>
      </c>
      <c r="AR99" s="21">
        <f>Oheads!AP48</f>
        <v>2756</v>
      </c>
      <c r="AS99" s="21">
        <f t="shared" si="38"/>
        <v>33072</v>
      </c>
    </row>
    <row r="100" spans="1:45" hidden="1">
      <c r="A100" s="56" t="s">
        <v>366</v>
      </c>
      <c r="B100" s="59" t="str">
        <f>'P&amp;L$'!B101</f>
        <v>Employment Guarantee Fund</v>
      </c>
      <c r="C100" s="21">
        <f>Oheads!C49</f>
        <v>0</v>
      </c>
      <c r="D100" s="21">
        <f>Oheads!D49</f>
        <v>0</v>
      </c>
      <c r="E100" s="21">
        <f>Oheads!E49</f>
        <v>0</v>
      </c>
      <c r="F100" s="21">
        <f>Oheads!F49</f>
        <v>0</v>
      </c>
      <c r="G100" s="21">
        <f>Oheads!G49</f>
        <v>0</v>
      </c>
      <c r="H100" s="21">
        <f>Oheads!H49</f>
        <v>0</v>
      </c>
      <c r="I100" s="21">
        <f>Oheads!I49</f>
        <v>0</v>
      </c>
      <c r="J100" s="21">
        <f>Oheads!J49</f>
        <v>0</v>
      </c>
      <c r="K100" s="21">
        <f>Oheads!K49</f>
        <v>0</v>
      </c>
      <c r="L100" s="21">
        <f>Oheads!L49</f>
        <v>0</v>
      </c>
      <c r="M100" s="21">
        <f>Oheads!M49</f>
        <v>0</v>
      </c>
      <c r="N100" s="21">
        <f>Oheads!N49</f>
        <v>0</v>
      </c>
      <c r="O100" s="21">
        <f t="shared" si="36"/>
        <v>0</v>
      </c>
      <c r="Q100" s="57"/>
      <c r="R100" s="21">
        <f>Oheads!Q49</f>
        <v>0</v>
      </c>
      <c r="S100" s="21">
        <f>Oheads!R49</f>
        <v>0</v>
      </c>
      <c r="T100" s="21">
        <f>Oheads!S49</f>
        <v>0</v>
      </c>
      <c r="U100" s="21">
        <f>Oheads!T49</f>
        <v>0</v>
      </c>
      <c r="V100" s="21">
        <f>Oheads!U49</f>
        <v>0</v>
      </c>
      <c r="W100" s="21">
        <f>Oheads!V49</f>
        <v>0</v>
      </c>
      <c r="X100" s="21">
        <f>Oheads!W49</f>
        <v>0</v>
      </c>
      <c r="Y100" s="21">
        <f>Oheads!X49</f>
        <v>0</v>
      </c>
      <c r="Z100" s="21">
        <f>Oheads!Y49</f>
        <v>0</v>
      </c>
      <c r="AA100" s="21">
        <f>Oheads!Z49</f>
        <v>0</v>
      </c>
      <c r="AB100" s="21">
        <f>Oheads!AA49</f>
        <v>0</v>
      </c>
      <c r="AC100" s="21">
        <f>Oheads!AB49</f>
        <v>0</v>
      </c>
      <c r="AD100" s="21">
        <f t="shared" si="37"/>
        <v>0</v>
      </c>
      <c r="AF100" s="57"/>
      <c r="AG100" s="21">
        <f>Oheads!AE49</f>
        <v>0</v>
      </c>
      <c r="AH100" s="21">
        <f>Oheads!AF49</f>
        <v>0</v>
      </c>
      <c r="AI100" s="21">
        <f>Oheads!AG49</f>
        <v>0</v>
      </c>
      <c r="AJ100" s="21">
        <f>Oheads!AH49</f>
        <v>0</v>
      </c>
      <c r="AK100" s="21">
        <f>Oheads!AI49</f>
        <v>0</v>
      </c>
      <c r="AL100" s="21">
        <f>Oheads!AJ49</f>
        <v>0</v>
      </c>
      <c r="AM100" s="21">
        <f>Oheads!AK49</f>
        <v>0</v>
      </c>
      <c r="AN100" s="21">
        <f>Oheads!AL49</f>
        <v>0</v>
      </c>
      <c r="AO100" s="21">
        <f>Oheads!AM49</f>
        <v>0</v>
      </c>
      <c r="AP100" s="21">
        <f>Oheads!AN49</f>
        <v>0</v>
      </c>
      <c r="AQ100" s="21">
        <f>Oheads!AO49</f>
        <v>0</v>
      </c>
      <c r="AR100" s="21">
        <f>Oheads!AP49</f>
        <v>0</v>
      </c>
      <c r="AS100" s="21">
        <f t="shared" si="38"/>
        <v>0</v>
      </c>
    </row>
    <row r="101" spans="1:45">
      <c r="A101" s="56" t="s">
        <v>368</v>
      </c>
      <c r="B101" s="59" t="str">
        <f>'P&amp;L$'!B102</f>
        <v>URE Fees</v>
      </c>
      <c r="C101" s="21">
        <f>Oheads!C50</f>
        <v>10850</v>
      </c>
      <c r="D101" s="21">
        <f>Oheads!D50</f>
        <v>10850</v>
      </c>
      <c r="E101" s="21">
        <f>Oheads!E50</f>
        <v>10850</v>
      </c>
      <c r="F101" s="21">
        <f>Oheads!F50</f>
        <v>10850</v>
      </c>
      <c r="G101" s="21">
        <f>Oheads!G50</f>
        <v>10850</v>
      </c>
      <c r="H101" s="21">
        <f>Oheads!H50</f>
        <v>10850</v>
      </c>
      <c r="I101" s="21">
        <f>Oheads!I50</f>
        <v>10850</v>
      </c>
      <c r="J101" s="21">
        <f>Oheads!J50</f>
        <v>10850</v>
      </c>
      <c r="K101" s="21">
        <f>Oheads!K50</f>
        <v>10850</v>
      </c>
      <c r="L101" s="21">
        <f>Oheads!L50</f>
        <v>10850</v>
      </c>
      <c r="M101" s="21">
        <f>Oheads!M50</f>
        <v>10850</v>
      </c>
      <c r="N101" s="21">
        <f>Oheads!N50</f>
        <v>10850</v>
      </c>
      <c r="O101" s="21">
        <f t="shared" si="36"/>
        <v>130200</v>
      </c>
      <c r="Q101" s="57"/>
      <c r="R101" s="21">
        <f>Oheads!Q50</f>
        <v>11284</v>
      </c>
      <c r="S101" s="21">
        <f>Oheads!R50</f>
        <v>11284</v>
      </c>
      <c r="T101" s="21">
        <f>Oheads!S50</f>
        <v>11284</v>
      </c>
      <c r="U101" s="21">
        <f>Oheads!T50</f>
        <v>11284</v>
      </c>
      <c r="V101" s="21">
        <f>Oheads!U50</f>
        <v>11284</v>
      </c>
      <c r="W101" s="21">
        <f>Oheads!V50</f>
        <v>11284</v>
      </c>
      <c r="X101" s="21">
        <f>Oheads!W50</f>
        <v>11284</v>
      </c>
      <c r="Y101" s="21">
        <f>Oheads!X50</f>
        <v>11284</v>
      </c>
      <c r="Z101" s="21">
        <f>Oheads!Y50</f>
        <v>11284</v>
      </c>
      <c r="AA101" s="21">
        <f>Oheads!Z50</f>
        <v>11284</v>
      </c>
      <c r="AB101" s="21">
        <f>Oheads!AA50</f>
        <v>11284</v>
      </c>
      <c r="AC101" s="21">
        <f>Oheads!AB50</f>
        <v>11284</v>
      </c>
      <c r="AD101" s="21">
        <f t="shared" si="37"/>
        <v>135408</v>
      </c>
      <c r="AF101" s="57"/>
      <c r="AG101" s="21">
        <f>Oheads!AE50</f>
        <v>11961.04</v>
      </c>
      <c r="AH101" s="21">
        <f>Oheads!AF50</f>
        <v>11961.04</v>
      </c>
      <c r="AI101" s="21">
        <f>Oheads!AG50</f>
        <v>11961.04</v>
      </c>
      <c r="AJ101" s="21">
        <f>Oheads!AH50</f>
        <v>11961.04</v>
      </c>
      <c r="AK101" s="21">
        <f>Oheads!AI50</f>
        <v>11961.04</v>
      </c>
      <c r="AL101" s="21">
        <f>Oheads!AJ50</f>
        <v>11961.04</v>
      </c>
      <c r="AM101" s="21">
        <f>Oheads!AK50</f>
        <v>11961.04</v>
      </c>
      <c r="AN101" s="21">
        <f>Oheads!AL50</f>
        <v>11961.04</v>
      </c>
      <c r="AO101" s="21">
        <f>Oheads!AM50</f>
        <v>11961.04</v>
      </c>
      <c r="AP101" s="21">
        <f>Oheads!AN50</f>
        <v>11961.04</v>
      </c>
      <c r="AQ101" s="21">
        <f>Oheads!AO50</f>
        <v>11961.04</v>
      </c>
      <c r="AR101" s="21">
        <f>Oheads!AP50</f>
        <v>11961.04</v>
      </c>
      <c r="AS101" s="21">
        <f t="shared" si="38"/>
        <v>143532.48000000004</v>
      </c>
    </row>
    <row r="102" spans="1:45">
      <c r="A102" s="56" t="s">
        <v>370</v>
      </c>
      <c r="B102" s="59" t="str">
        <f>'P&amp;L$'!B103</f>
        <v>Notarial/Court Fees</v>
      </c>
      <c r="C102" s="21">
        <f>Oheads!C51</f>
        <v>950</v>
      </c>
      <c r="D102" s="21">
        <f>Oheads!D51</f>
        <v>950</v>
      </c>
      <c r="E102" s="21">
        <f>Oheads!E51</f>
        <v>950</v>
      </c>
      <c r="F102" s="21">
        <f>Oheads!F51</f>
        <v>950</v>
      </c>
      <c r="G102" s="21">
        <f>Oheads!G51</f>
        <v>950</v>
      </c>
      <c r="H102" s="21">
        <f>Oheads!H51</f>
        <v>950</v>
      </c>
      <c r="I102" s="21">
        <f>Oheads!I51</f>
        <v>950</v>
      </c>
      <c r="J102" s="21">
        <f>Oheads!J51</f>
        <v>950</v>
      </c>
      <c r="K102" s="21">
        <f>Oheads!K51</f>
        <v>950</v>
      </c>
      <c r="L102" s="21">
        <f>Oheads!L51</f>
        <v>950</v>
      </c>
      <c r="M102" s="21">
        <f>Oheads!M51</f>
        <v>950</v>
      </c>
      <c r="N102" s="21">
        <f>Oheads!N51</f>
        <v>950</v>
      </c>
      <c r="O102" s="21">
        <f t="shared" si="36"/>
        <v>11400</v>
      </c>
      <c r="Q102" s="57"/>
      <c r="R102" s="21">
        <f>Oheads!Q51</f>
        <v>988</v>
      </c>
      <c r="S102" s="21">
        <f>Oheads!R51</f>
        <v>988</v>
      </c>
      <c r="T102" s="21">
        <f>Oheads!S51</f>
        <v>988</v>
      </c>
      <c r="U102" s="21">
        <f>Oheads!T51</f>
        <v>988</v>
      </c>
      <c r="V102" s="21">
        <f>Oheads!U51</f>
        <v>988</v>
      </c>
      <c r="W102" s="21">
        <f>Oheads!V51</f>
        <v>988</v>
      </c>
      <c r="X102" s="21">
        <f>Oheads!W51</f>
        <v>988</v>
      </c>
      <c r="Y102" s="21">
        <f>Oheads!X51</f>
        <v>988</v>
      </c>
      <c r="Z102" s="21">
        <f>Oheads!Y51</f>
        <v>988</v>
      </c>
      <c r="AA102" s="21">
        <f>Oheads!Z51</f>
        <v>988</v>
      </c>
      <c r="AB102" s="21">
        <f>Oheads!AA51</f>
        <v>988</v>
      </c>
      <c r="AC102" s="21">
        <f>Oheads!AB51</f>
        <v>988</v>
      </c>
      <c r="AD102" s="21">
        <f t="shared" si="37"/>
        <v>11856</v>
      </c>
      <c r="AF102" s="57"/>
      <c r="AG102" s="21">
        <f>Oheads!AE51</f>
        <v>1047.28</v>
      </c>
      <c r="AH102" s="21">
        <f>Oheads!AF51</f>
        <v>1047.28</v>
      </c>
      <c r="AI102" s="21">
        <f>Oheads!AG51</f>
        <v>1047.28</v>
      </c>
      <c r="AJ102" s="21">
        <f>Oheads!AH51</f>
        <v>1047.28</v>
      </c>
      <c r="AK102" s="21">
        <f>Oheads!AI51</f>
        <v>1047.28</v>
      </c>
      <c r="AL102" s="21">
        <f>Oheads!AJ51</f>
        <v>1047.28</v>
      </c>
      <c r="AM102" s="21">
        <f>Oheads!AK51</f>
        <v>1047.28</v>
      </c>
      <c r="AN102" s="21">
        <f>Oheads!AL51</f>
        <v>1047.28</v>
      </c>
      <c r="AO102" s="21">
        <f>Oheads!AM51</f>
        <v>1047.28</v>
      </c>
      <c r="AP102" s="21">
        <f>Oheads!AN51</f>
        <v>1047.28</v>
      </c>
      <c r="AQ102" s="21">
        <f>Oheads!AO51</f>
        <v>1047.28</v>
      </c>
      <c r="AR102" s="21">
        <f>Oheads!AP51</f>
        <v>1047.28</v>
      </c>
      <c r="AS102" s="21">
        <f t="shared" si="38"/>
        <v>12567.360000000002</v>
      </c>
    </row>
    <row r="103" spans="1:45">
      <c r="A103" s="56" t="s">
        <v>372</v>
      </c>
      <c r="B103" s="59" t="str">
        <f>'P&amp;L$'!B104</f>
        <v>usufruct</v>
      </c>
      <c r="C103" s="21">
        <f>Oheads!C52</f>
        <v>1602</v>
      </c>
      <c r="D103" s="21">
        <f>Oheads!D52</f>
        <v>1602</v>
      </c>
      <c r="E103" s="21">
        <f>Oheads!E52</f>
        <v>1602</v>
      </c>
      <c r="F103" s="21">
        <f>Oheads!F52</f>
        <v>1602</v>
      </c>
      <c r="G103" s="21">
        <f>Oheads!G52</f>
        <v>1602</v>
      </c>
      <c r="H103" s="21">
        <f>Oheads!H52</f>
        <v>1602</v>
      </c>
      <c r="I103" s="21">
        <f>Oheads!I52</f>
        <v>1602</v>
      </c>
      <c r="J103" s="21">
        <f>Oheads!J52</f>
        <v>1602</v>
      </c>
      <c r="K103" s="21">
        <f>Oheads!K52</f>
        <v>1602</v>
      </c>
      <c r="L103" s="21">
        <f>Oheads!L52</f>
        <v>1602</v>
      </c>
      <c r="M103" s="21">
        <f>Oheads!M52</f>
        <v>1602</v>
      </c>
      <c r="N103" s="21">
        <f>Oheads!N52</f>
        <v>1602</v>
      </c>
      <c r="O103" s="21">
        <f t="shared" si="36"/>
        <v>19224</v>
      </c>
      <c r="Q103" s="65"/>
      <c r="R103" s="21">
        <f>Oheads!Q52</f>
        <v>1666.0800000000002</v>
      </c>
      <c r="S103" s="21">
        <f>Oheads!R52</f>
        <v>1666.0800000000002</v>
      </c>
      <c r="T103" s="21">
        <f>Oheads!S52</f>
        <v>1666.0800000000002</v>
      </c>
      <c r="U103" s="21">
        <f>Oheads!T52</f>
        <v>1666.0800000000002</v>
      </c>
      <c r="V103" s="21">
        <f>Oheads!U52</f>
        <v>1666.0800000000002</v>
      </c>
      <c r="W103" s="21">
        <f>Oheads!V52</f>
        <v>1666.0800000000002</v>
      </c>
      <c r="X103" s="21">
        <f>Oheads!W52</f>
        <v>1666.0800000000002</v>
      </c>
      <c r="Y103" s="21">
        <f>Oheads!X52</f>
        <v>1666.0800000000002</v>
      </c>
      <c r="Z103" s="21">
        <f>Oheads!Y52</f>
        <v>1666.0800000000002</v>
      </c>
      <c r="AA103" s="21">
        <f>Oheads!Z52</f>
        <v>1666.0800000000002</v>
      </c>
      <c r="AB103" s="21">
        <f>Oheads!AA52</f>
        <v>1666.0800000000002</v>
      </c>
      <c r="AC103" s="21">
        <f>Oheads!AB52</f>
        <v>1666.0800000000002</v>
      </c>
      <c r="AD103" s="21">
        <f t="shared" si="37"/>
        <v>19992.960000000006</v>
      </c>
      <c r="AF103" s="65"/>
      <c r="AG103" s="21">
        <f>Oheads!AE52</f>
        <v>1766.0448000000004</v>
      </c>
      <c r="AH103" s="21">
        <f>Oheads!AF52</f>
        <v>1766.0448000000004</v>
      </c>
      <c r="AI103" s="21">
        <f>Oheads!AG52</f>
        <v>1766.0448000000004</v>
      </c>
      <c r="AJ103" s="21">
        <f>Oheads!AH52</f>
        <v>1766.0448000000004</v>
      </c>
      <c r="AK103" s="21">
        <f>Oheads!AI52</f>
        <v>1766.0448000000004</v>
      </c>
      <c r="AL103" s="21">
        <f>Oheads!AJ52</f>
        <v>1766.0448000000004</v>
      </c>
      <c r="AM103" s="21">
        <f>Oheads!AK52</f>
        <v>1766.0448000000004</v>
      </c>
      <c r="AN103" s="21">
        <f>Oheads!AL52</f>
        <v>1766.0448000000004</v>
      </c>
      <c r="AO103" s="21">
        <f>Oheads!AM52</f>
        <v>1766.0448000000004</v>
      </c>
      <c r="AP103" s="21">
        <f>Oheads!AN52</f>
        <v>1766.0448000000004</v>
      </c>
      <c r="AQ103" s="21">
        <f>Oheads!AO52</f>
        <v>1766.0448000000004</v>
      </c>
      <c r="AR103" s="21">
        <f>Oheads!AP52</f>
        <v>1766.0448000000004</v>
      </c>
      <c r="AS103" s="21">
        <f t="shared" si="38"/>
        <v>21192.5376</v>
      </c>
    </row>
    <row r="104" spans="1:45">
      <c r="A104" s="56" t="s">
        <v>374</v>
      </c>
      <c r="B104" s="59" t="str">
        <f>'P&amp;L$'!B105</f>
        <v>Customs Expenses</v>
      </c>
      <c r="C104" s="21">
        <f>Oheads!C53</f>
        <v>1100</v>
      </c>
      <c r="D104" s="21">
        <f>Oheads!D53</f>
        <v>1100</v>
      </c>
      <c r="E104" s="21">
        <f>Oheads!E53</f>
        <v>1100</v>
      </c>
      <c r="F104" s="21">
        <f>Oheads!F53</f>
        <v>1100</v>
      </c>
      <c r="G104" s="21">
        <f>Oheads!G53</f>
        <v>1100</v>
      </c>
      <c r="H104" s="21">
        <f>Oheads!H53</f>
        <v>1100</v>
      </c>
      <c r="I104" s="21">
        <f>Oheads!I53</f>
        <v>1100</v>
      </c>
      <c r="J104" s="21">
        <f>Oheads!J53</f>
        <v>1100</v>
      </c>
      <c r="K104" s="21">
        <f>Oheads!K53</f>
        <v>1100</v>
      </c>
      <c r="L104" s="21">
        <f>Oheads!L53</f>
        <v>1100</v>
      </c>
      <c r="M104" s="21">
        <f>Oheads!M53</f>
        <v>1100</v>
      </c>
      <c r="N104" s="21">
        <f>Oheads!N53</f>
        <v>1100</v>
      </c>
      <c r="O104" s="21">
        <f t="shared" si="36"/>
        <v>13200</v>
      </c>
      <c r="Q104" s="65"/>
      <c r="R104" s="21">
        <f>Oheads!Q53</f>
        <v>1144</v>
      </c>
      <c r="S104" s="21">
        <f>Oheads!R53</f>
        <v>1144</v>
      </c>
      <c r="T104" s="21">
        <f>Oheads!S53</f>
        <v>1144</v>
      </c>
      <c r="U104" s="21">
        <f>Oheads!T53</f>
        <v>1144</v>
      </c>
      <c r="V104" s="21">
        <f>Oheads!U53</f>
        <v>1144</v>
      </c>
      <c r="W104" s="21">
        <f>Oheads!V53</f>
        <v>1144</v>
      </c>
      <c r="X104" s="21">
        <f>Oheads!W53</f>
        <v>1144</v>
      </c>
      <c r="Y104" s="21">
        <f>Oheads!X53</f>
        <v>1144</v>
      </c>
      <c r="Z104" s="21">
        <f>Oheads!Y53</f>
        <v>1144</v>
      </c>
      <c r="AA104" s="21">
        <f>Oheads!Z53</f>
        <v>1144</v>
      </c>
      <c r="AB104" s="21">
        <f>Oheads!AA53</f>
        <v>1144</v>
      </c>
      <c r="AC104" s="21">
        <f>Oheads!AB53</f>
        <v>1144</v>
      </c>
      <c r="AD104" s="21">
        <f t="shared" si="37"/>
        <v>13728</v>
      </c>
      <c r="AF104" s="65"/>
      <c r="AG104" s="21">
        <f>Oheads!AE53</f>
        <v>1212.6400000000001</v>
      </c>
      <c r="AH104" s="21">
        <f>Oheads!AF53</f>
        <v>1212.6400000000001</v>
      </c>
      <c r="AI104" s="21">
        <f>Oheads!AG53</f>
        <v>1212.6400000000001</v>
      </c>
      <c r="AJ104" s="21">
        <f>Oheads!AH53</f>
        <v>1212.6400000000001</v>
      </c>
      <c r="AK104" s="21">
        <f>Oheads!AI53</f>
        <v>1212.6400000000001</v>
      </c>
      <c r="AL104" s="21">
        <f>Oheads!AJ53</f>
        <v>1212.6400000000001</v>
      </c>
      <c r="AM104" s="21">
        <f>Oheads!AK53</f>
        <v>1212.6400000000001</v>
      </c>
      <c r="AN104" s="21">
        <f>Oheads!AL53</f>
        <v>1212.6400000000001</v>
      </c>
      <c r="AO104" s="21">
        <f>Oheads!AM53</f>
        <v>1212.6400000000001</v>
      </c>
      <c r="AP104" s="21">
        <f>Oheads!AN53</f>
        <v>1212.6400000000001</v>
      </c>
      <c r="AQ104" s="21">
        <f>Oheads!AO53</f>
        <v>1212.6400000000001</v>
      </c>
      <c r="AR104" s="21">
        <f>Oheads!AP53</f>
        <v>1212.6400000000001</v>
      </c>
      <c r="AS104" s="21">
        <f t="shared" si="38"/>
        <v>14551.679999999998</v>
      </c>
    </row>
    <row r="105" spans="1:45">
      <c r="A105" s="56" t="s">
        <v>376</v>
      </c>
      <c r="B105" s="59" t="str">
        <f>'P&amp;L$'!B106</f>
        <v>Customs Agency Charges</v>
      </c>
      <c r="C105" s="21">
        <f>Oheads!C54</f>
        <v>20</v>
      </c>
      <c r="D105" s="21">
        <f>Oheads!D54</f>
        <v>20</v>
      </c>
      <c r="E105" s="21">
        <f>Oheads!E54</f>
        <v>20</v>
      </c>
      <c r="F105" s="21">
        <f>Oheads!F54</f>
        <v>20</v>
      </c>
      <c r="G105" s="21">
        <f>Oheads!G54</f>
        <v>20</v>
      </c>
      <c r="H105" s="21">
        <f>Oheads!H54</f>
        <v>20</v>
      </c>
      <c r="I105" s="21">
        <f>Oheads!I54</f>
        <v>20</v>
      </c>
      <c r="J105" s="21">
        <f>Oheads!J54</f>
        <v>20</v>
      </c>
      <c r="K105" s="21">
        <f>Oheads!K54</f>
        <v>20</v>
      </c>
      <c r="L105" s="21">
        <f>Oheads!L54</f>
        <v>20</v>
      </c>
      <c r="M105" s="21">
        <f>Oheads!M54</f>
        <v>20</v>
      </c>
      <c r="N105" s="21">
        <f>Oheads!N54</f>
        <v>20</v>
      </c>
      <c r="O105" s="21">
        <f t="shared" si="36"/>
        <v>240</v>
      </c>
      <c r="Q105" s="65"/>
      <c r="R105" s="21">
        <f>Oheads!Q54</f>
        <v>20.8</v>
      </c>
      <c r="S105" s="21">
        <f>Oheads!R54</f>
        <v>20.8</v>
      </c>
      <c r="T105" s="21">
        <f>Oheads!S54</f>
        <v>20.8</v>
      </c>
      <c r="U105" s="21">
        <f>Oheads!T54</f>
        <v>20.8</v>
      </c>
      <c r="V105" s="21">
        <f>Oheads!U54</f>
        <v>20.8</v>
      </c>
      <c r="W105" s="21">
        <f>Oheads!V54</f>
        <v>20.8</v>
      </c>
      <c r="X105" s="21">
        <f>Oheads!W54</f>
        <v>20.8</v>
      </c>
      <c r="Y105" s="21">
        <f>Oheads!X54</f>
        <v>20.8</v>
      </c>
      <c r="Z105" s="21">
        <f>Oheads!Y54</f>
        <v>20.8</v>
      </c>
      <c r="AA105" s="21">
        <f>Oheads!Z54</f>
        <v>20.8</v>
      </c>
      <c r="AB105" s="21">
        <f>Oheads!AA54</f>
        <v>20.8</v>
      </c>
      <c r="AC105" s="21">
        <f>Oheads!AB54</f>
        <v>20.8</v>
      </c>
      <c r="AD105" s="21">
        <f t="shared" si="37"/>
        <v>249.60000000000005</v>
      </c>
      <c r="AF105" s="65"/>
      <c r="AG105" s="21">
        <f>Oheads!AE54</f>
        <v>22.048000000000002</v>
      </c>
      <c r="AH105" s="21">
        <f>Oheads!AF54</f>
        <v>22.048000000000002</v>
      </c>
      <c r="AI105" s="21">
        <f>Oheads!AG54</f>
        <v>22.048000000000002</v>
      </c>
      <c r="AJ105" s="21">
        <f>Oheads!AH54</f>
        <v>22.048000000000002</v>
      </c>
      <c r="AK105" s="21">
        <f>Oheads!AI54</f>
        <v>22.048000000000002</v>
      </c>
      <c r="AL105" s="21">
        <f>Oheads!AJ54</f>
        <v>22.048000000000002</v>
      </c>
      <c r="AM105" s="21">
        <f>Oheads!AK54</f>
        <v>22.048000000000002</v>
      </c>
      <c r="AN105" s="21">
        <f>Oheads!AL54</f>
        <v>22.048000000000002</v>
      </c>
      <c r="AO105" s="21">
        <f>Oheads!AM54</f>
        <v>22.048000000000002</v>
      </c>
      <c r="AP105" s="21">
        <f>Oheads!AN54</f>
        <v>22.048000000000002</v>
      </c>
      <c r="AQ105" s="21">
        <f>Oheads!AO54</f>
        <v>22.048000000000002</v>
      </c>
      <c r="AR105" s="21">
        <f>Oheads!AP54</f>
        <v>22.048000000000002</v>
      </c>
      <c r="AS105" s="21">
        <f t="shared" si="38"/>
        <v>264.57600000000002</v>
      </c>
    </row>
    <row r="106" spans="1:45">
      <c r="A106" s="56" t="s">
        <v>378</v>
      </c>
      <c r="B106" s="59" t="str">
        <f>'P&amp;L$'!B107</f>
        <v>Unrecoverable Vat</v>
      </c>
      <c r="C106" s="21">
        <f>Oheads!C55</f>
        <v>100</v>
      </c>
      <c r="D106" s="21">
        <f>Oheads!D55</f>
        <v>100</v>
      </c>
      <c r="E106" s="21">
        <f>Oheads!E55</f>
        <v>100</v>
      </c>
      <c r="F106" s="21">
        <f>Oheads!F55</f>
        <v>100</v>
      </c>
      <c r="G106" s="21">
        <f>Oheads!G55</f>
        <v>100</v>
      </c>
      <c r="H106" s="21">
        <f>Oheads!H55</f>
        <v>100</v>
      </c>
      <c r="I106" s="21">
        <f>Oheads!I55</f>
        <v>100</v>
      </c>
      <c r="J106" s="21">
        <f>Oheads!J55</f>
        <v>100</v>
      </c>
      <c r="K106" s="21">
        <f>Oheads!K55</f>
        <v>100</v>
      </c>
      <c r="L106" s="21">
        <f>Oheads!L55</f>
        <v>100</v>
      </c>
      <c r="M106" s="21">
        <f>Oheads!M55</f>
        <v>100</v>
      </c>
      <c r="N106" s="21">
        <f>Oheads!N55</f>
        <v>100</v>
      </c>
      <c r="O106" s="21">
        <f t="shared" si="36"/>
        <v>1200</v>
      </c>
      <c r="Q106" s="65"/>
      <c r="R106" s="21">
        <f>Oheads!Q55</f>
        <v>104</v>
      </c>
      <c r="S106" s="21">
        <f>Oheads!R55</f>
        <v>104</v>
      </c>
      <c r="T106" s="21">
        <f>Oheads!S55</f>
        <v>104</v>
      </c>
      <c r="U106" s="21">
        <f>Oheads!T55</f>
        <v>104</v>
      </c>
      <c r="V106" s="21">
        <f>Oheads!U55</f>
        <v>104</v>
      </c>
      <c r="W106" s="21">
        <f>Oheads!V55</f>
        <v>104</v>
      </c>
      <c r="X106" s="21">
        <f>Oheads!W55</f>
        <v>104</v>
      </c>
      <c r="Y106" s="21">
        <f>Oheads!X55</f>
        <v>104</v>
      </c>
      <c r="Z106" s="21">
        <f>Oheads!Y55</f>
        <v>104</v>
      </c>
      <c r="AA106" s="21">
        <f>Oheads!Z55</f>
        <v>104</v>
      </c>
      <c r="AB106" s="21">
        <f>Oheads!AA55</f>
        <v>104</v>
      </c>
      <c r="AC106" s="21">
        <f>Oheads!AB55</f>
        <v>104</v>
      </c>
      <c r="AD106" s="21">
        <f t="shared" si="37"/>
        <v>1248</v>
      </c>
      <c r="AF106" s="65"/>
      <c r="AG106" s="21">
        <f>Oheads!AE55</f>
        <v>110.24000000000001</v>
      </c>
      <c r="AH106" s="21">
        <f>Oheads!AF55</f>
        <v>110.24000000000001</v>
      </c>
      <c r="AI106" s="21">
        <f>Oheads!AG55</f>
        <v>110.24000000000001</v>
      </c>
      <c r="AJ106" s="21">
        <f>Oheads!AH55</f>
        <v>110.24000000000001</v>
      </c>
      <c r="AK106" s="21">
        <f>Oheads!AI55</f>
        <v>110.24000000000001</v>
      </c>
      <c r="AL106" s="21">
        <f>Oheads!AJ55</f>
        <v>110.24000000000001</v>
      </c>
      <c r="AM106" s="21">
        <f>Oheads!AK55</f>
        <v>110.24000000000001</v>
      </c>
      <c r="AN106" s="21">
        <f>Oheads!AL55</f>
        <v>110.24000000000001</v>
      </c>
      <c r="AO106" s="21">
        <f>Oheads!AM55</f>
        <v>110.24000000000001</v>
      </c>
      <c r="AP106" s="21">
        <f>Oheads!AN55</f>
        <v>110.24000000000001</v>
      </c>
      <c r="AQ106" s="21">
        <f>Oheads!AO55</f>
        <v>110.24000000000001</v>
      </c>
      <c r="AR106" s="21">
        <f>Oheads!AP55</f>
        <v>110.24000000000001</v>
      </c>
      <c r="AS106" s="21">
        <f t="shared" si="38"/>
        <v>1322.88</v>
      </c>
    </row>
    <row r="107" spans="1:45">
      <c r="A107" s="56" t="s">
        <v>380</v>
      </c>
      <c r="B107" s="59" t="str">
        <f>'P&amp;L$'!B108</f>
        <v>VAT on Imported Services</v>
      </c>
      <c r="C107" s="21">
        <f>Oheads!C56</f>
        <v>750</v>
      </c>
      <c r="D107" s="21">
        <f>Oheads!D56</f>
        <v>750</v>
      </c>
      <c r="E107" s="21">
        <f>Oheads!E56</f>
        <v>750</v>
      </c>
      <c r="F107" s="21">
        <f>Oheads!F56</f>
        <v>750</v>
      </c>
      <c r="G107" s="21">
        <f>Oheads!G56</f>
        <v>750</v>
      </c>
      <c r="H107" s="21">
        <f>Oheads!H56</f>
        <v>750</v>
      </c>
      <c r="I107" s="21">
        <f>Oheads!I56</f>
        <v>750</v>
      </c>
      <c r="J107" s="21">
        <f>Oheads!J56</f>
        <v>750</v>
      </c>
      <c r="K107" s="21">
        <f>Oheads!K56</f>
        <v>750</v>
      </c>
      <c r="L107" s="21">
        <f>Oheads!L56</f>
        <v>750</v>
      </c>
      <c r="M107" s="21">
        <f>Oheads!M56</f>
        <v>750</v>
      </c>
      <c r="N107" s="21">
        <f>Oheads!N56</f>
        <v>750</v>
      </c>
      <c r="O107" s="21">
        <f t="shared" si="36"/>
        <v>9000</v>
      </c>
      <c r="Q107" s="65"/>
      <c r="R107" s="21">
        <f>Oheads!Q56</f>
        <v>780</v>
      </c>
      <c r="S107" s="21">
        <f>Oheads!R56</f>
        <v>780</v>
      </c>
      <c r="T107" s="21">
        <f>Oheads!S56</f>
        <v>780</v>
      </c>
      <c r="U107" s="21">
        <f>Oheads!T56</f>
        <v>780</v>
      </c>
      <c r="V107" s="21">
        <f>Oheads!U56</f>
        <v>780</v>
      </c>
      <c r="W107" s="21">
        <f>Oheads!V56</f>
        <v>780</v>
      </c>
      <c r="X107" s="21">
        <f>Oheads!W56</f>
        <v>780</v>
      </c>
      <c r="Y107" s="21">
        <f>Oheads!X56</f>
        <v>780</v>
      </c>
      <c r="Z107" s="21">
        <f>Oheads!Y56</f>
        <v>780</v>
      </c>
      <c r="AA107" s="21">
        <f>Oheads!Z56</f>
        <v>780</v>
      </c>
      <c r="AB107" s="21">
        <f>Oheads!AA56</f>
        <v>780</v>
      </c>
      <c r="AC107" s="21">
        <f>Oheads!AB56</f>
        <v>780</v>
      </c>
      <c r="AD107" s="21">
        <f t="shared" si="37"/>
        <v>9360</v>
      </c>
      <c r="AF107" s="65"/>
      <c r="AG107" s="21">
        <f>Oheads!AE56</f>
        <v>826.80000000000007</v>
      </c>
      <c r="AH107" s="21">
        <f>Oheads!AF56</f>
        <v>826.80000000000007</v>
      </c>
      <c r="AI107" s="21">
        <f>Oheads!AG56</f>
        <v>826.80000000000007</v>
      </c>
      <c r="AJ107" s="21">
        <f>Oheads!AH56</f>
        <v>826.80000000000007</v>
      </c>
      <c r="AK107" s="21">
        <f>Oheads!AI56</f>
        <v>826.80000000000007</v>
      </c>
      <c r="AL107" s="21">
        <f>Oheads!AJ56</f>
        <v>826.80000000000007</v>
      </c>
      <c r="AM107" s="21">
        <f>Oheads!AK56</f>
        <v>826.80000000000007</v>
      </c>
      <c r="AN107" s="21">
        <f>Oheads!AL56</f>
        <v>826.80000000000007</v>
      </c>
      <c r="AO107" s="21">
        <f>Oheads!AM56</f>
        <v>826.80000000000007</v>
      </c>
      <c r="AP107" s="21">
        <f>Oheads!AN56</f>
        <v>826.80000000000007</v>
      </c>
      <c r="AQ107" s="21">
        <f>Oheads!AO56</f>
        <v>826.80000000000007</v>
      </c>
      <c r="AR107" s="21">
        <f>Oheads!AP56</f>
        <v>826.80000000000007</v>
      </c>
      <c r="AS107" s="21">
        <f t="shared" si="38"/>
        <v>9921.5999999999985</v>
      </c>
    </row>
    <row r="108" spans="1:45">
      <c r="A108" s="56" t="s">
        <v>382</v>
      </c>
      <c r="B108" s="59" t="str">
        <f>'P&amp;L$'!B109</f>
        <v>VAT on representation</v>
      </c>
      <c r="C108" s="21">
        <f>Oheads!C57</f>
        <v>900</v>
      </c>
      <c r="D108" s="21">
        <f>Oheads!D57</f>
        <v>900</v>
      </c>
      <c r="E108" s="21">
        <f>Oheads!E57</f>
        <v>900</v>
      </c>
      <c r="F108" s="21">
        <f>Oheads!F57</f>
        <v>900</v>
      </c>
      <c r="G108" s="21">
        <f>Oheads!G57</f>
        <v>900</v>
      </c>
      <c r="H108" s="21">
        <f>Oheads!H57</f>
        <v>900</v>
      </c>
      <c r="I108" s="21">
        <f>Oheads!I57</f>
        <v>900</v>
      </c>
      <c r="J108" s="21">
        <f>Oheads!J57</f>
        <v>900</v>
      </c>
      <c r="K108" s="21">
        <f>Oheads!K57</f>
        <v>900</v>
      </c>
      <c r="L108" s="21">
        <f>Oheads!L57</f>
        <v>900</v>
      </c>
      <c r="M108" s="21">
        <f>Oheads!M57</f>
        <v>900</v>
      </c>
      <c r="N108" s="21">
        <f>Oheads!N57</f>
        <v>900</v>
      </c>
      <c r="O108" s="21">
        <f t="shared" si="36"/>
        <v>10800</v>
      </c>
      <c r="Q108" s="65"/>
      <c r="R108" s="21">
        <f>Oheads!Q57</f>
        <v>936</v>
      </c>
      <c r="S108" s="21">
        <f>Oheads!R57</f>
        <v>936</v>
      </c>
      <c r="T108" s="21">
        <f>Oheads!S57</f>
        <v>936</v>
      </c>
      <c r="U108" s="21">
        <f>Oheads!T57</f>
        <v>936</v>
      </c>
      <c r="V108" s="21">
        <f>Oheads!U57</f>
        <v>936</v>
      </c>
      <c r="W108" s="21">
        <f>Oheads!V57</f>
        <v>936</v>
      </c>
      <c r="X108" s="21">
        <f>Oheads!W57</f>
        <v>936</v>
      </c>
      <c r="Y108" s="21">
        <f>Oheads!X57</f>
        <v>936</v>
      </c>
      <c r="Z108" s="21">
        <f>Oheads!Y57</f>
        <v>936</v>
      </c>
      <c r="AA108" s="21">
        <f>Oheads!Z57</f>
        <v>936</v>
      </c>
      <c r="AB108" s="21">
        <f>Oheads!AA57</f>
        <v>936</v>
      </c>
      <c r="AC108" s="21">
        <f>Oheads!AB57</f>
        <v>936</v>
      </c>
      <c r="AD108" s="21">
        <f t="shared" si="37"/>
        <v>11232</v>
      </c>
      <c r="AF108" s="65"/>
      <c r="AG108" s="21">
        <f>Oheads!AE57</f>
        <v>992.16000000000008</v>
      </c>
      <c r="AH108" s="21">
        <f>Oheads!AF57</f>
        <v>992.16000000000008</v>
      </c>
      <c r="AI108" s="21">
        <f>Oheads!AG57</f>
        <v>992.16000000000008</v>
      </c>
      <c r="AJ108" s="21">
        <f>Oheads!AH57</f>
        <v>992.16000000000008</v>
      </c>
      <c r="AK108" s="21">
        <f>Oheads!AI57</f>
        <v>992.16000000000008</v>
      </c>
      <c r="AL108" s="21">
        <f>Oheads!AJ57</f>
        <v>992.16000000000008</v>
      </c>
      <c r="AM108" s="21">
        <f>Oheads!AK57</f>
        <v>992.16000000000008</v>
      </c>
      <c r="AN108" s="21">
        <f>Oheads!AL57</f>
        <v>992.16000000000008</v>
      </c>
      <c r="AO108" s="21">
        <f>Oheads!AM57</f>
        <v>992.16000000000008</v>
      </c>
      <c r="AP108" s="21">
        <f>Oheads!AN57</f>
        <v>992.16000000000008</v>
      </c>
      <c r="AQ108" s="21">
        <f>Oheads!AO57</f>
        <v>992.16000000000008</v>
      </c>
      <c r="AR108" s="21">
        <f>Oheads!AP57</f>
        <v>992.16000000000008</v>
      </c>
      <c r="AS108" s="21">
        <f t="shared" si="38"/>
        <v>11905.92</v>
      </c>
    </row>
    <row r="109" spans="1:45" hidden="1">
      <c r="A109" s="56" t="s">
        <v>384</v>
      </c>
      <c r="B109" s="60" t="str">
        <f>'P&amp;L$'!B110</f>
        <v>VAT Należny Od Darowizny</v>
      </c>
      <c r="C109" s="21">
        <f>Oheads!C58</f>
        <v>0</v>
      </c>
      <c r="D109" s="21">
        <f>Oheads!D58</f>
        <v>0</v>
      </c>
      <c r="E109" s="21">
        <f>Oheads!E58</f>
        <v>0</v>
      </c>
      <c r="F109" s="21">
        <f>Oheads!F58</f>
        <v>0</v>
      </c>
      <c r="G109" s="21">
        <f>Oheads!G58</f>
        <v>0</v>
      </c>
      <c r="H109" s="21">
        <f>Oheads!H58</f>
        <v>0</v>
      </c>
      <c r="I109" s="21">
        <f>Oheads!I58</f>
        <v>0</v>
      </c>
      <c r="J109" s="21">
        <f>Oheads!J58</f>
        <v>0</v>
      </c>
      <c r="K109" s="21">
        <f>Oheads!K58</f>
        <v>0</v>
      </c>
      <c r="L109" s="21">
        <f>Oheads!L58</f>
        <v>0</v>
      </c>
      <c r="M109" s="21">
        <f>Oheads!M58</f>
        <v>0</v>
      </c>
      <c r="N109" s="21">
        <f>Oheads!N58</f>
        <v>0</v>
      </c>
      <c r="O109" s="21">
        <f t="shared" si="36"/>
        <v>0</v>
      </c>
      <c r="Q109" s="65"/>
      <c r="R109" s="21">
        <f>Oheads!Q58</f>
        <v>0</v>
      </c>
      <c r="S109" s="21">
        <f>Oheads!R58</f>
        <v>0</v>
      </c>
      <c r="T109" s="21">
        <f>Oheads!S58</f>
        <v>0</v>
      </c>
      <c r="U109" s="21">
        <f>Oheads!T58</f>
        <v>0</v>
      </c>
      <c r="V109" s="21">
        <f>Oheads!U58</f>
        <v>0</v>
      </c>
      <c r="W109" s="21">
        <f>Oheads!V58</f>
        <v>0</v>
      </c>
      <c r="X109" s="21">
        <f>Oheads!W58</f>
        <v>0</v>
      </c>
      <c r="Y109" s="21">
        <f>Oheads!X58</f>
        <v>0</v>
      </c>
      <c r="Z109" s="21">
        <f>Oheads!Y58</f>
        <v>0</v>
      </c>
      <c r="AA109" s="21">
        <f>Oheads!Z58</f>
        <v>0</v>
      </c>
      <c r="AB109" s="21">
        <f>Oheads!AA58</f>
        <v>0</v>
      </c>
      <c r="AC109" s="21">
        <f>Oheads!AB58</f>
        <v>0</v>
      </c>
      <c r="AD109" s="21">
        <f t="shared" si="37"/>
        <v>0</v>
      </c>
      <c r="AF109" s="65"/>
      <c r="AG109" s="21">
        <f>Oheads!AE58</f>
        <v>0</v>
      </c>
      <c r="AH109" s="21">
        <f>Oheads!AF58</f>
        <v>0</v>
      </c>
      <c r="AI109" s="21">
        <f>Oheads!AG58</f>
        <v>0</v>
      </c>
      <c r="AJ109" s="21">
        <f>Oheads!AH58</f>
        <v>0</v>
      </c>
      <c r="AK109" s="21">
        <f>Oheads!AI58</f>
        <v>0</v>
      </c>
      <c r="AL109" s="21">
        <f>Oheads!AJ58</f>
        <v>0</v>
      </c>
      <c r="AM109" s="21">
        <f>Oheads!AK58</f>
        <v>0</v>
      </c>
      <c r="AN109" s="21">
        <f>Oheads!AL58</f>
        <v>0</v>
      </c>
      <c r="AO109" s="21">
        <f>Oheads!AM58</f>
        <v>0</v>
      </c>
      <c r="AP109" s="21">
        <f>Oheads!AN58</f>
        <v>0</v>
      </c>
      <c r="AQ109" s="21">
        <f>Oheads!AO58</f>
        <v>0</v>
      </c>
      <c r="AR109" s="21">
        <f>Oheads!AP58</f>
        <v>0</v>
      </c>
      <c r="AS109" s="21">
        <f t="shared" si="38"/>
        <v>0</v>
      </c>
    </row>
    <row r="110" spans="1:45">
      <c r="A110" s="56" t="s">
        <v>386</v>
      </c>
      <c r="B110" s="59" t="str">
        <f>'P&amp;L$'!B111</f>
        <v>Other Taxes &amp; Fees</v>
      </c>
      <c r="C110" s="21">
        <f>Oheads!C59</f>
        <v>1250</v>
      </c>
      <c r="D110" s="21">
        <f>Oheads!D59</f>
        <v>1250</v>
      </c>
      <c r="E110" s="21">
        <f>Oheads!E59</f>
        <v>1250</v>
      </c>
      <c r="F110" s="21">
        <f>Oheads!F59</f>
        <v>1250</v>
      </c>
      <c r="G110" s="21">
        <f>Oheads!G59</f>
        <v>1250</v>
      </c>
      <c r="H110" s="21">
        <f>Oheads!H59</f>
        <v>1250</v>
      </c>
      <c r="I110" s="21">
        <f>Oheads!I59</f>
        <v>1250</v>
      </c>
      <c r="J110" s="21">
        <f>Oheads!J59</f>
        <v>1250</v>
      </c>
      <c r="K110" s="21">
        <f>Oheads!K59</f>
        <v>1250</v>
      </c>
      <c r="L110" s="21">
        <f>Oheads!L59</f>
        <v>1250</v>
      </c>
      <c r="M110" s="21">
        <f>Oheads!M59</f>
        <v>1250</v>
      </c>
      <c r="N110" s="21">
        <f>Oheads!N59</f>
        <v>1250</v>
      </c>
      <c r="O110" s="21">
        <f t="shared" si="36"/>
        <v>15000</v>
      </c>
      <c r="Q110" s="65"/>
      <c r="R110" s="21">
        <f>Oheads!Q59</f>
        <v>1300</v>
      </c>
      <c r="S110" s="21">
        <f>Oheads!R59</f>
        <v>1300</v>
      </c>
      <c r="T110" s="21">
        <f>Oheads!S59</f>
        <v>1300</v>
      </c>
      <c r="U110" s="21">
        <f>Oheads!T59</f>
        <v>1300</v>
      </c>
      <c r="V110" s="21">
        <f>Oheads!U59</f>
        <v>1300</v>
      </c>
      <c r="W110" s="21">
        <f>Oheads!V59</f>
        <v>1300</v>
      </c>
      <c r="X110" s="21">
        <f>Oheads!W59</f>
        <v>1300</v>
      </c>
      <c r="Y110" s="21">
        <f>Oheads!X59</f>
        <v>1300</v>
      </c>
      <c r="Z110" s="21">
        <f>Oheads!Y59</f>
        <v>1300</v>
      </c>
      <c r="AA110" s="21">
        <f>Oheads!Z59</f>
        <v>1300</v>
      </c>
      <c r="AB110" s="21">
        <f>Oheads!AA59</f>
        <v>1300</v>
      </c>
      <c r="AC110" s="21">
        <f>Oheads!AB59</f>
        <v>1300</v>
      </c>
      <c r="AD110" s="21">
        <f t="shared" si="37"/>
        <v>15600</v>
      </c>
      <c r="AF110" s="65"/>
      <c r="AG110" s="21">
        <f>Oheads!AE59</f>
        <v>1378</v>
      </c>
      <c r="AH110" s="21">
        <f>Oheads!AF59</f>
        <v>1378</v>
      </c>
      <c r="AI110" s="21">
        <f>Oheads!AG59</f>
        <v>1378</v>
      </c>
      <c r="AJ110" s="21">
        <f>Oheads!AH59</f>
        <v>1378</v>
      </c>
      <c r="AK110" s="21">
        <f>Oheads!AI59</f>
        <v>1378</v>
      </c>
      <c r="AL110" s="21">
        <f>Oheads!AJ59</f>
        <v>1378</v>
      </c>
      <c r="AM110" s="21">
        <f>Oheads!AK59</f>
        <v>1378</v>
      </c>
      <c r="AN110" s="21">
        <f>Oheads!AL59</f>
        <v>1378</v>
      </c>
      <c r="AO110" s="21">
        <f>Oheads!AM59</f>
        <v>1378</v>
      </c>
      <c r="AP110" s="21">
        <f>Oheads!AN59</f>
        <v>1378</v>
      </c>
      <c r="AQ110" s="21">
        <f>Oheads!AO59</f>
        <v>1378</v>
      </c>
      <c r="AR110" s="21">
        <f>Oheads!AP59</f>
        <v>1378</v>
      </c>
      <c r="AS110" s="21">
        <f t="shared" si="38"/>
        <v>16536</v>
      </c>
    </row>
    <row r="111" spans="1:45" ht="13.5" thickBot="1">
      <c r="A111" s="56"/>
      <c r="B111" s="136" t="s">
        <v>97</v>
      </c>
      <c r="C111" s="19">
        <f>SUM(C97:C110)</f>
        <v>114181</v>
      </c>
      <c r="D111" s="19">
        <f t="shared" ref="D111:O111" si="39">SUM(D97:D110)</f>
        <v>114181</v>
      </c>
      <c r="E111" s="19">
        <f t="shared" si="39"/>
        <v>114181</v>
      </c>
      <c r="F111" s="19">
        <f t="shared" si="39"/>
        <v>114181</v>
      </c>
      <c r="G111" s="19">
        <f t="shared" si="39"/>
        <v>114181</v>
      </c>
      <c r="H111" s="19">
        <f t="shared" si="39"/>
        <v>114181</v>
      </c>
      <c r="I111" s="19">
        <f t="shared" si="39"/>
        <v>114181</v>
      </c>
      <c r="J111" s="19">
        <f t="shared" si="39"/>
        <v>114181</v>
      </c>
      <c r="K111" s="19">
        <f t="shared" si="39"/>
        <v>114181</v>
      </c>
      <c r="L111" s="19">
        <f t="shared" si="39"/>
        <v>114181</v>
      </c>
      <c r="M111" s="19">
        <f t="shared" si="39"/>
        <v>114181</v>
      </c>
      <c r="N111" s="19">
        <f t="shared" si="39"/>
        <v>114181</v>
      </c>
      <c r="O111" s="19">
        <f t="shared" si="39"/>
        <v>1370172</v>
      </c>
      <c r="Q111" s="57"/>
      <c r="R111" s="19">
        <f t="shared" ref="R111:AD111" si="40">SUM(R97:R110)</f>
        <v>118748.24000000002</v>
      </c>
      <c r="S111" s="53">
        <f t="shared" si="40"/>
        <v>118748.24000000002</v>
      </c>
      <c r="T111" s="53">
        <f t="shared" si="40"/>
        <v>118748.24000000002</v>
      </c>
      <c r="U111" s="53">
        <f t="shared" si="40"/>
        <v>118748.24000000002</v>
      </c>
      <c r="V111" s="53">
        <f t="shared" si="40"/>
        <v>118748.24000000002</v>
      </c>
      <c r="W111" s="53">
        <f t="shared" si="40"/>
        <v>118748.24000000002</v>
      </c>
      <c r="X111" s="53">
        <f t="shared" si="40"/>
        <v>118748.24000000002</v>
      </c>
      <c r="Y111" s="53">
        <f t="shared" si="40"/>
        <v>118748.24000000002</v>
      </c>
      <c r="Z111" s="53">
        <f t="shared" si="40"/>
        <v>118748.24000000002</v>
      </c>
      <c r="AA111" s="53">
        <f t="shared" si="40"/>
        <v>118748.24000000002</v>
      </c>
      <c r="AB111" s="53">
        <f t="shared" si="40"/>
        <v>118748.24000000002</v>
      </c>
      <c r="AC111" s="53">
        <f t="shared" si="40"/>
        <v>118748.24000000002</v>
      </c>
      <c r="AD111" s="53">
        <f t="shared" si="40"/>
        <v>1424978.8800000001</v>
      </c>
      <c r="AF111" s="57"/>
      <c r="AG111" s="19">
        <f t="shared" ref="AG111:AS111" si="41">SUM(AG97:AG110)</f>
        <v>125873.13440000001</v>
      </c>
      <c r="AH111" s="53">
        <f t="shared" si="41"/>
        <v>125873.13440000001</v>
      </c>
      <c r="AI111" s="53">
        <f t="shared" si="41"/>
        <v>125873.13440000001</v>
      </c>
      <c r="AJ111" s="53">
        <f t="shared" si="41"/>
        <v>125873.13440000001</v>
      </c>
      <c r="AK111" s="53">
        <f t="shared" si="41"/>
        <v>125873.13440000001</v>
      </c>
      <c r="AL111" s="53">
        <f t="shared" si="41"/>
        <v>125873.13440000001</v>
      </c>
      <c r="AM111" s="53">
        <f t="shared" si="41"/>
        <v>125873.13440000001</v>
      </c>
      <c r="AN111" s="53">
        <f t="shared" si="41"/>
        <v>125873.13440000001</v>
      </c>
      <c r="AO111" s="53">
        <f t="shared" si="41"/>
        <v>125873.13440000001</v>
      </c>
      <c r="AP111" s="53">
        <f t="shared" si="41"/>
        <v>125873.13440000001</v>
      </c>
      <c r="AQ111" s="53">
        <f t="shared" si="41"/>
        <v>125873.13440000001</v>
      </c>
      <c r="AR111" s="53">
        <f t="shared" si="41"/>
        <v>125873.13440000001</v>
      </c>
      <c r="AS111" s="53">
        <f t="shared" si="41"/>
        <v>1510477.6128</v>
      </c>
    </row>
    <row r="112" spans="1:45" ht="13.5" thickTop="1">
      <c r="A112" s="56"/>
      <c r="B112" s="55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Q112" s="57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F112" s="57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</row>
    <row r="113" spans="1:45">
      <c r="A113" s="54" t="s">
        <v>388</v>
      </c>
      <c r="B113" s="55" t="str">
        <f>'P&amp;L$'!B114</f>
        <v>SALARY</v>
      </c>
      <c r="C113" s="39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0"/>
      <c r="Q113" s="55"/>
      <c r="R113" s="22" t="s">
        <v>514</v>
      </c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0"/>
      <c r="AF113" s="55"/>
      <c r="AG113" s="22" t="s">
        <v>514</v>
      </c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0"/>
    </row>
    <row r="114" spans="1:45">
      <c r="A114" s="56" t="s">
        <v>390</v>
      </c>
      <c r="B114" s="57" t="str">
        <f>'P&amp;L$'!B115</f>
        <v>Salaries</v>
      </c>
      <c r="C114" s="21">
        <f>employees!D67+employees!D74*Factors!C11+employees!D78-employees!D79</f>
        <v>617821.57480162557</v>
      </c>
      <c r="D114" s="21">
        <f>employees!E67+employees!E74*Factors!D11+employees!E78</f>
        <v>311147.51819973806</v>
      </c>
      <c r="E114" s="21">
        <f>employees!F67+employees!F74*Factors!E11+employees!F78</f>
        <v>311242.04138210707</v>
      </c>
      <c r="F114" s="21">
        <f>employees!G67+employees!G74*Factors!F11+employees!G78</f>
        <v>311336.56456447608</v>
      </c>
      <c r="G114" s="21">
        <f>employees!H67+employees!H74*Factors!G11+employees!H78</f>
        <v>311431.08774684509</v>
      </c>
      <c r="H114" s="21">
        <f>employees!I67+employees!I74*Factors!H11+employees!I78</f>
        <v>311525.6109292141</v>
      </c>
      <c r="I114" s="21">
        <f>employees!J67+employees!J74*Factors!I11+employees!J78</f>
        <v>311620.13411158312</v>
      </c>
      <c r="J114" s="21">
        <f>employees!K67+employees!K74*Factors!J11+employees!K78</f>
        <v>311714.65729395207</v>
      </c>
      <c r="K114" s="21">
        <f>employees!L67+employees!L74*Factors!K11+employees!L78</f>
        <v>311809.18047632108</v>
      </c>
      <c r="L114" s="21">
        <f>employees!M67+employees!M74*Factors!L11+employees!M78</f>
        <v>311903.70365869009</v>
      </c>
      <c r="M114" s="21">
        <f>employees!N67+employees!N74*Factors!M11+employees!N78</f>
        <v>311998.22684105911</v>
      </c>
      <c r="N114" s="21">
        <f>employees!O67+employees!O74*Factors!N11+employees!O78</f>
        <v>312092.75002342812</v>
      </c>
      <c r="O114" s="21">
        <f>SUM(C114:N114)</f>
        <v>4045643.0500290394</v>
      </c>
      <c r="Q114" s="57"/>
      <c r="R114" s="21">
        <f>employees!T67+employees!T74*Factors!R11</f>
        <v>343616.67469546164</v>
      </c>
      <c r="S114" s="21">
        <f>employees!U67+employees!U74*Factors!S11</f>
        <v>343931.32436515234</v>
      </c>
      <c r="T114" s="21">
        <f>employees!V67+employees!V74*Factors!T11</f>
        <v>344245.97403484304</v>
      </c>
      <c r="U114" s="21">
        <f>employees!W67+employees!W74*Factors!U11</f>
        <v>344560.62370453379</v>
      </c>
      <c r="V114" s="21">
        <f>employees!X67+employees!X74*Factors!V11</f>
        <v>344875.27337422449</v>
      </c>
      <c r="W114" s="21">
        <f>employees!Y67+employees!Y74*Factors!W11</f>
        <v>345189.92304391519</v>
      </c>
      <c r="X114" s="21">
        <f>employees!Z67+employees!Z74*Factors!X11</f>
        <v>345504.57271360588</v>
      </c>
      <c r="Y114" s="21">
        <f>employees!AA67+employees!AA74*Factors!Y11</f>
        <v>345819.22238329658</v>
      </c>
      <c r="Z114" s="21">
        <f>employees!AB67+employees!AB74*Factors!Z11</f>
        <v>346133.87205298734</v>
      </c>
      <c r="AA114" s="21">
        <f>employees!AC67+employees!AC74*Factors!AA11</f>
        <v>346448.52172267804</v>
      </c>
      <c r="AB114" s="21">
        <f>employees!AD67+employees!AD74*Factors!AB11</f>
        <v>346763.17139236873</v>
      </c>
      <c r="AC114" s="21">
        <f>employees!AE67+employees!AE74*Factors!AC11</f>
        <v>347077.82106205943</v>
      </c>
      <c r="AD114" s="21">
        <f>SUM(R114:AC114)</f>
        <v>4144166.9745451268</v>
      </c>
      <c r="AF114" s="57"/>
      <c r="AG114" s="21">
        <f>employees!AH67+employees!AH74*Factors!AG11</f>
        <v>0</v>
      </c>
      <c r="AH114" s="21">
        <f>employees!AI67+employees!AI74*Factors!AH11</f>
        <v>0</v>
      </c>
      <c r="AI114" s="21">
        <f>employees!AJ67+employees!AJ74*Factors!AI11</f>
        <v>0</v>
      </c>
      <c r="AJ114" s="21">
        <f>employees!AK67+employees!AK74*Factors!AJ11</f>
        <v>0</v>
      </c>
      <c r="AK114" s="21">
        <f>employees!AL67+employees!AL74*Factors!AK11</f>
        <v>0</v>
      </c>
      <c r="AL114" s="21">
        <f>employees!AM67+employees!AM74*Factors!AL11</f>
        <v>0</v>
      </c>
      <c r="AM114" s="21">
        <f>employees!AN67+employees!AN74*Factors!AM11</f>
        <v>0</v>
      </c>
      <c r="AN114" s="21">
        <f>employees!AO67+employees!AO74*Factors!AN11</f>
        <v>0</v>
      </c>
      <c r="AO114" s="21">
        <f>employees!AP67+employees!AP74*Factors!AO11</f>
        <v>0</v>
      </c>
      <c r="AP114" s="21">
        <f>employees!AQ67+employees!AQ74*Factors!AP11</f>
        <v>0</v>
      </c>
      <c r="AQ114" s="21">
        <f>employees!AR67+employees!AR74*Factors!AQ11</f>
        <v>0</v>
      </c>
      <c r="AR114" s="21">
        <f>employees!AS67+employees!AS74*Factors!AR11</f>
        <v>0</v>
      </c>
      <c r="AS114" s="21">
        <f>SUM(AG114:AR114)</f>
        <v>0</v>
      </c>
    </row>
    <row r="115" spans="1:45">
      <c r="A115" s="56" t="s">
        <v>392</v>
      </c>
      <c r="B115" s="57" t="str">
        <f>'P&amp;L$'!B116</f>
        <v>Social Insurance</v>
      </c>
      <c r="C115" s="191">
        <f>employees!D68+employees!D79</f>
        <v>108240.94609469391</v>
      </c>
      <c r="D115" s="191">
        <f>employees!E68</f>
        <v>43819.544340000008</v>
      </c>
      <c r="E115" s="191">
        <f>employees!F68</f>
        <v>43819.544340000008</v>
      </c>
      <c r="F115" s="191">
        <f>employees!G68</f>
        <v>43819.544340000008</v>
      </c>
      <c r="G115" s="191">
        <f>employees!H68</f>
        <v>43819.544340000008</v>
      </c>
      <c r="H115" s="191">
        <f>employees!I68</f>
        <v>43819.544340000008</v>
      </c>
      <c r="I115" s="191">
        <f>employees!J68</f>
        <v>43819.544340000008</v>
      </c>
      <c r="J115" s="191">
        <f>employees!K68</f>
        <v>43819.544340000008</v>
      </c>
      <c r="K115" s="191">
        <f>employees!L68</f>
        <v>43819.544340000008</v>
      </c>
      <c r="L115" s="191">
        <f>employees!M68</f>
        <v>43819.544340000008</v>
      </c>
      <c r="M115" s="191">
        <f>employees!N68</f>
        <v>43819.544340000008</v>
      </c>
      <c r="N115" s="191">
        <f>employees!O68</f>
        <v>43819.544340000008</v>
      </c>
      <c r="O115" s="191">
        <f>SUM(C115:N115)</f>
        <v>590255.93383469409</v>
      </c>
      <c r="Q115" s="57"/>
      <c r="R115" s="6">
        <f>employees!T68</f>
        <v>48201.498774000014</v>
      </c>
      <c r="S115" s="6">
        <f>employees!U68</f>
        <v>48201.498774000014</v>
      </c>
      <c r="T115" s="6">
        <f>employees!V68</f>
        <v>48201.498774000014</v>
      </c>
      <c r="U115" s="6">
        <f>employees!W68</f>
        <v>48201.498774000014</v>
      </c>
      <c r="V115" s="6">
        <f>employees!X68</f>
        <v>48201.498774000014</v>
      </c>
      <c r="W115" s="6">
        <f>employees!Y68</f>
        <v>48201.498774000014</v>
      </c>
      <c r="X115" s="6">
        <f>employees!Z68</f>
        <v>48201.498774000014</v>
      </c>
      <c r="Y115" s="6">
        <f>employees!AA68</f>
        <v>48201.498774000014</v>
      </c>
      <c r="Z115" s="6">
        <f>employees!AB68</f>
        <v>48201.498774000014</v>
      </c>
      <c r="AA115" s="6">
        <f>employees!AC68</f>
        <v>48201.498774000014</v>
      </c>
      <c r="AB115" s="6">
        <f>employees!AD68</f>
        <v>48201.498774000014</v>
      </c>
      <c r="AC115" s="6">
        <f>employees!AE68</f>
        <v>48201.498774000014</v>
      </c>
      <c r="AD115" s="21">
        <f>SUM(R115:AC115)</f>
        <v>578417.9852880002</v>
      </c>
      <c r="AF115" s="57"/>
      <c r="AG115" s="6">
        <f>employees!AH68</f>
        <v>0</v>
      </c>
      <c r="AH115" s="6">
        <f>employees!AI68</f>
        <v>0</v>
      </c>
      <c r="AI115" s="6">
        <f>employees!AJ68</f>
        <v>0</v>
      </c>
      <c r="AJ115" s="6">
        <f>employees!AK68</f>
        <v>0</v>
      </c>
      <c r="AK115" s="6">
        <f>employees!AL68</f>
        <v>0</v>
      </c>
      <c r="AL115" s="6">
        <f>employees!AM68</f>
        <v>0</v>
      </c>
      <c r="AM115" s="6">
        <f>employees!AN68</f>
        <v>0</v>
      </c>
      <c r="AN115" s="6">
        <f>employees!AO68</f>
        <v>0</v>
      </c>
      <c r="AO115" s="6">
        <f>employees!AP68</f>
        <v>0</v>
      </c>
      <c r="AP115" s="6">
        <f>employees!AQ68</f>
        <v>0</v>
      </c>
      <c r="AQ115" s="6">
        <f>employees!AR68</f>
        <v>0</v>
      </c>
      <c r="AR115" s="6">
        <f>employees!AS68</f>
        <v>0</v>
      </c>
      <c r="AS115" s="21">
        <f>SUM(AG115:AR115)</f>
        <v>0</v>
      </c>
    </row>
    <row r="116" spans="1:45" hidden="1">
      <c r="A116" s="56" t="s">
        <v>394</v>
      </c>
      <c r="B116" s="57" t="str">
        <f>'P&amp;L$'!B117</f>
        <v>Untaken Holidays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>
        <f>SUM(C116:N116)</f>
        <v>0</v>
      </c>
      <c r="Q116" s="57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>
        <f>SUM(R116:AC116)</f>
        <v>0</v>
      </c>
      <c r="AF116" s="57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>
        <f>SUM(AG116:AR116)</f>
        <v>0</v>
      </c>
    </row>
    <row r="117" spans="1:45">
      <c r="A117" s="56" t="s">
        <v>395</v>
      </c>
      <c r="B117" s="57" t="str">
        <f>'P&amp;L$'!B118</f>
        <v>Thirteenth Salary</v>
      </c>
      <c r="C117" s="21">
        <f>employees!D69</f>
        <v>23938.45477833334</v>
      </c>
      <c r="D117" s="21">
        <f>employees!E69</f>
        <v>23938.45477833334</v>
      </c>
      <c r="E117" s="21">
        <f>employees!F69</f>
        <v>23938.45477833334</v>
      </c>
      <c r="F117" s="21">
        <f>employees!G69</f>
        <v>23938.45477833334</v>
      </c>
      <c r="G117" s="21">
        <f>employees!H69</f>
        <v>23938.45477833334</v>
      </c>
      <c r="H117" s="21">
        <f>employees!I69</f>
        <v>23938.45477833334</v>
      </c>
      <c r="I117" s="21">
        <f>employees!J69</f>
        <v>23938.45477833334</v>
      </c>
      <c r="J117" s="21">
        <f>employees!K69</f>
        <v>23938.45477833334</v>
      </c>
      <c r="K117" s="21">
        <f>employees!L69</f>
        <v>23938.45477833334</v>
      </c>
      <c r="L117" s="21">
        <f>employees!M69</f>
        <v>23938.45477833334</v>
      </c>
      <c r="M117" s="21">
        <f>employees!N69</f>
        <v>23938.45477833334</v>
      </c>
      <c r="N117" s="21">
        <f>employees!O69</f>
        <v>23938.45477833334</v>
      </c>
      <c r="O117" s="21">
        <f>SUM(C117:N117)</f>
        <v>287261.45734000008</v>
      </c>
      <c r="Q117" s="57"/>
      <c r="R117" s="21">
        <f>employees!T69</f>
        <v>26332.300256166676</v>
      </c>
      <c r="S117" s="21">
        <f>employees!U69</f>
        <v>26332.300256166676</v>
      </c>
      <c r="T117" s="21">
        <f>employees!V69</f>
        <v>26332.300256166676</v>
      </c>
      <c r="U117" s="21">
        <f>employees!W69</f>
        <v>26332.300256166676</v>
      </c>
      <c r="V117" s="21">
        <f>employees!X69</f>
        <v>26332.300256166676</v>
      </c>
      <c r="W117" s="21">
        <f>employees!Y69</f>
        <v>26332.300256166676</v>
      </c>
      <c r="X117" s="21">
        <f>employees!Z69</f>
        <v>26332.300256166676</v>
      </c>
      <c r="Y117" s="21">
        <f>employees!AA69</f>
        <v>26332.300256166676</v>
      </c>
      <c r="Z117" s="21">
        <f>employees!AB69</f>
        <v>26332.300256166676</v>
      </c>
      <c r="AA117" s="21">
        <f>employees!AC69</f>
        <v>26332.300256166676</v>
      </c>
      <c r="AB117" s="21">
        <f>employees!AD69</f>
        <v>26332.300256166676</v>
      </c>
      <c r="AC117" s="21">
        <f>employees!AE69</f>
        <v>26332.300256166676</v>
      </c>
      <c r="AD117" s="21">
        <f>SUM(R117:AC117)</f>
        <v>315987.60307400004</v>
      </c>
      <c r="AF117" s="57"/>
      <c r="AG117" s="21">
        <f>employees!AH69</f>
        <v>0</v>
      </c>
      <c r="AH117" s="21">
        <f>employees!AI69</f>
        <v>0</v>
      </c>
      <c r="AI117" s="21">
        <f>employees!AJ69</f>
        <v>0</v>
      </c>
      <c r="AJ117" s="21">
        <f>employees!AK69</f>
        <v>0</v>
      </c>
      <c r="AK117" s="21">
        <f>employees!AL69</f>
        <v>0</v>
      </c>
      <c r="AL117" s="21">
        <f>employees!AM69</f>
        <v>0</v>
      </c>
      <c r="AM117" s="21">
        <f>employees!AN69</f>
        <v>0</v>
      </c>
      <c r="AN117" s="21">
        <f>employees!AO69</f>
        <v>0</v>
      </c>
      <c r="AO117" s="21">
        <f>employees!AP69</f>
        <v>0</v>
      </c>
      <c r="AP117" s="21">
        <f>employees!AQ69</f>
        <v>0</v>
      </c>
      <c r="AQ117" s="21">
        <f>employees!AR69</f>
        <v>0</v>
      </c>
      <c r="AR117" s="21">
        <f>employees!AS69</f>
        <v>0</v>
      </c>
      <c r="AS117" s="21">
        <f>SUM(AG117:AR117)</f>
        <v>0</v>
      </c>
    </row>
    <row r="118" spans="1:45" hidden="1">
      <c r="A118" s="56" t="s">
        <v>397</v>
      </c>
      <c r="B118" s="55" t="s">
        <v>398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>
        <f>SUM(C118:N118)</f>
        <v>0</v>
      </c>
      <c r="Q118" s="57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>
        <f>SUM(R118:AC118)</f>
        <v>0</v>
      </c>
      <c r="AF118" s="57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>
        <f>SUM(AG118:AR118)</f>
        <v>0</v>
      </c>
    </row>
    <row r="119" spans="1:45" ht="13.5" thickBot="1">
      <c r="A119" s="56"/>
      <c r="B119" s="136" t="s">
        <v>97</v>
      </c>
      <c r="C119" s="19">
        <f>SUM(C114:C118)</f>
        <v>750000.97567465284</v>
      </c>
      <c r="D119" s="19">
        <f t="shared" ref="D119:O119" si="42">SUM(D114:D118)</f>
        <v>378905.51731807145</v>
      </c>
      <c r="E119" s="19">
        <f t="shared" si="42"/>
        <v>379000.0405004404</v>
      </c>
      <c r="F119" s="19">
        <f t="shared" si="42"/>
        <v>379094.56368280947</v>
      </c>
      <c r="G119" s="19">
        <f t="shared" si="42"/>
        <v>379189.08686517843</v>
      </c>
      <c r="H119" s="19">
        <f t="shared" si="42"/>
        <v>379283.6100475475</v>
      </c>
      <c r="I119" s="19">
        <f t="shared" si="42"/>
        <v>379378.13322991645</v>
      </c>
      <c r="J119" s="19">
        <f t="shared" si="42"/>
        <v>379472.6564122854</v>
      </c>
      <c r="K119" s="19">
        <f t="shared" si="42"/>
        <v>379567.17959465447</v>
      </c>
      <c r="L119" s="19">
        <f t="shared" si="42"/>
        <v>379661.70277702343</v>
      </c>
      <c r="M119" s="19">
        <f t="shared" si="42"/>
        <v>379756.2259593925</v>
      </c>
      <c r="N119" s="19">
        <f t="shared" si="42"/>
        <v>379850.74914176145</v>
      </c>
      <c r="O119" s="19">
        <f t="shared" si="42"/>
        <v>4923160.4412037339</v>
      </c>
      <c r="Q119" s="57"/>
      <c r="R119" s="19">
        <f t="shared" ref="R119:AD119" si="43">SUM(R114:R118)</f>
        <v>418150.47372562834</v>
      </c>
      <c r="S119" s="53">
        <f t="shared" si="43"/>
        <v>418465.12339531904</v>
      </c>
      <c r="T119" s="53">
        <f t="shared" si="43"/>
        <v>418779.77306500974</v>
      </c>
      <c r="U119" s="53">
        <f t="shared" si="43"/>
        <v>419094.42273470049</v>
      </c>
      <c r="V119" s="53">
        <f t="shared" si="43"/>
        <v>419409.07240439119</v>
      </c>
      <c r="W119" s="53">
        <f t="shared" si="43"/>
        <v>419723.72207408189</v>
      </c>
      <c r="X119" s="53">
        <f t="shared" si="43"/>
        <v>420038.37174377259</v>
      </c>
      <c r="Y119" s="53">
        <f t="shared" si="43"/>
        <v>420353.02141346328</v>
      </c>
      <c r="Z119" s="53">
        <f t="shared" si="43"/>
        <v>420667.67108315404</v>
      </c>
      <c r="AA119" s="53">
        <f t="shared" si="43"/>
        <v>420982.32075284474</v>
      </c>
      <c r="AB119" s="53">
        <f t="shared" si="43"/>
        <v>421296.97042253544</v>
      </c>
      <c r="AC119" s="53">
        <f t="shared" si="43"/>
        <v>421611.62009222613</v>
      </c>
      <c r="AD119" s="53">
        <f t="shared" si="43"/>
        <v>5038572.5629071267</v>
      </c>
      <c r="AF119" s="57"/>
      <c r="AG119" s="19">
        <f t="shared" ref="AG119:AS119" si="44">SUM(AG114:AG118)</f>
        <v>0</v>
      </c>
      <c r="AH119" s="53">
        <f t="shared" si="44"/>
        <v>0</v>
      </c>
      <c r="AI119" s="53">
        <f t="shared" si="44"/>
        <v>0</v>
      </c>
      <c r="AJ119" s="53">
        <f t="shared" si="44"/>
        <v>0</v>
      </c>
      <c r="AK119" s="53">
        <f t="shared" si="44"/>
        <v>0</v>
      </c>
      <c r="AL119" s="53">
        <f t="shared" si="44"/>
        <v>0</v>
      </c>
      <c r="AM119" s="53">
        <f t="shared" si="44"/>
        <v>0</v>
      </c>
      <c r="AN119" s="53">
        <f t="shared" si="44"/>
        <v>0</v>
      </c>
      <c r="AO119" s="53">
        <f t="shared" si="44"/>
        <v>0</v>
      </c>
      <c r="AP119" s="53">
        <f t="shared" si="44"/>
        <v>0</v>
      </c>
      <c r="AQ119" s="53">
        <f t="shared" si="44"/>
        <v>0</v>
      </c>
      <c r="AR119" s="53">
        <f t="shared" si="44"/>
        <v>0</v>
      </c>
      <c r="AS119" s="53">
        <f t="shared" si="44"/>
        <v>0</v>
      </c>
    </row>
    <row r="120" spans="1:45" ht="13.5" thickTop="1">
      <c r="A120" s="56"/>
      <c r="B120" s="55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0"/>
      <c r="Q120" s="57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0"/>
      <c r="AF120" s="57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0"/>
    </row>
    <row r="121" spans="1:45">
      <c r="A121" s="54" t="s">
        <v>399</v>
      </c>
      <c r="B121" s="55" t="str">
        <f>'P&amp;L$'!B122</f>
        <v>EMPLOYEE BENEFITS</v>
      </c>
      <c r="C121" s="21"/>
      <c r="D121" s="39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0"/>
      <c r="Q121" s="55"/>
      <c r="R121" s="21"/>
      <c r="S121" s="22" t="s">
        <v>514</v>
      </c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0"/>
      <c r="AF121" s="55"/>
      <c r="AG121" s="21"/>
      <c r="AH121" s="22" t="s">
        <v>514</v>
      </c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0"/>
    </row>
    <row r="122" spans="1:45" s="108" customFormat="1">
      <c r="A122" s="56" t="s">
        <v>400</v>
      </c>
      <c r="B122" s="57" t="str">
        <f>'P&amp;L$'!B123</f>
        <v>Insurances</v>
      </c>
      <c r="C122" s="186">
        <f>employees!D86</f>
        <v>6300</v>
      </c>
      <c r="D122" s="186">
        <f>employees!E86</f>
        <v>6300</v>
      </c>
      <c r="E122" s="186">
        <f>employees!F86</f>
        <v>6300</v>
      </c>
      <c r="F122" s="186">
        <f>employees!G86</f>
        <v>6300</v>
      </c>
      <c r="G122" s="186">
        <f>employees!H86</f>
        <v>6300</v>
      </c>
      <c r="H122" s="186">
        <f>employees!I86</f>
        <v>6300</v>
      </c>
      <c r="I122" s="186">
        <f>employees!J86</f>
        <v>6300</v>
      </c>
      <c r="J122" s="186">
        <f>employees!K86</f>
        <v>6300</v>
      </c>
      <c r="K122" s="186">
        <f>employees!L86</f>
        <v>6300</v>
      </c>
      <c r="L122" s="186">
        <f>employees!M86</f>
        <v>6300</v>
      </c>
      <c r="M122" s="186">
        <f>employees!N86</f>
        <v>6300</v>
      </c>
      <c r="N122" s="186">
        <f>employees!O86</f>
        <v>6300</v>
      </c>
      <c r="O122" s="187">
        <f>SUM(C122:N122)</f>
        <v>75600</v>
      </c>
      <c r="Q122" s="65"/>
      <c r="R122" s="186">
        <f>employees!T86</f>
        <v>6300</v>
      </c>
      <c r="S122" s="186">
        <f>employees!U86</f>
        <v>6300</v>
      </c>
      <c r="T122" s="186">
        <f>employees!V86</f>
        <v>6300</v>
      </c>
      <c r="U122" s="186">
        <f>employees!W86</f>
        <v>6300</v>
      </c>
      <c r="V122" s="186">
        <f>employees!X86</f>
        <v>6300</v>
      </c>
      <c r="W122" s="186">
        <f>employees!Y86</f>
        <v>6300</v>
      </c>
      <c r="X122" s="186">
        <f>employees!Z86</f>
        <v>6300</v>
      </c>
      <c r="Y122" s="186">
        <f>employees!AA86</f>
        <v>6300</v>
      </c>
      <c r="Z122" s="186">
        <f>employees!AB86</f>
        <v>6300</v>
      </c>
      <c r="AA122" s="186">
        <f>employees!AC86</f>
        <v>6300</v>
      </c>
      <c r="AB122" s="186">
        <f>employees!AD86</f>
        <v>6300</v>
      </c>
      <c r="AC122" s="186">
        <f>employees!AE86</f>
        <v>6300</v>
      </c>
      <c r="AD122" s="187">
        <f>SUM(R122:AC122)</f>
        <v>75600</v>
      </c>
      <c r="AF122" s="65"/>
      <c r="AG122" s="186">
        <f>employees!AH86</f>
        <v>0</v>
      </c>
      <c r="AH122" s="186">
        <f>employees!AI86</f>
        <v>0</v>
      </c>
      <c r="AI122" s="186">
        <f>employees!AJ86</f>
        <v>0</v>
      </c>
      <c r="AJ122" s="186">
        <f>employees!AK86</f>
        <v>0</v>
      </c>
      <c r="AK122" s="186">
        <f>employees!AL86</f>
        <v>0</v>
      </c>
      <c r="AL122" s="186">
        <f>employees!AM86</f>
        <v>0</v>
      </c>
      <c r="AM122" s="186">
        <f>employees!AN86</f>
        <v>0</v>
      </c>
      <c r="AN122" s="186">
        <f>employees!AO86</f>
        <v>0</v>
      </c>
      <c r="AO122" s="186">
        <f>employees!AP86</f>
        <v>0</v>
      </c>
      <c r="AP122" s="186">
        <f>employees!AQ86</f>
        <v>0</v>
      </c>
      <c r="AQ122" s="186">
        <f>employees!AR86</f>
        <v>0</v>
      </c>
      <c r="AR122" s="186">
        <f>employees!AS86</f>
        <v>0</v>
      </c>
      <c r="AS122" s="187">
        <f>SUM(AG122:AR122)</f>
        <v>0</v>
      </c>
    </row>
    <row r="123" spans="1:45" s="108" customFormat="1">
      <c r="A123" s="56" t="s">
        <v>402</v>
      </c>
      <c r="B123" s="57" t="str">
        <f>'P&amp;L$'!B124</f>
        <v>Medical</v>
      </c>
      <c r="C123" s="186">
        <f>employees!D87</f>
        <v>13500</v>
      </c>
      <c r="D123" s="186">
        <f>employees!E87</f>
        <v>13500</v>
      </c>
      <c r="E123" s="186">
        <f>employees!F87</f>
        <v>13500</v>
      </c>
      <c r="F123" s="186">
        <f>employees!G87</f>
        <v>13500</v>
      </c>
      <c r="G123" s="186">
        <f>employees!H87</f>
        <v>13500</v>
      </c>
      <c r="H123" s="186">
        <f>employees!I87</f>
        <v>13500</v>
      </c>
      <c r="I123" s="186">
        <f>employees!J87</f>
        <v>13500</v>
      </c>
      <c r="J123" s="186">
        <f>employees!K87</f>
        <v>13500</v>
      </c>
      <c r="K123" s="186">
        <f>employees!L87</f>
        <v>13500</v>
      </c>
      <c r="L123" s="186">
        <f>employees!M87</f>
        <v>13500</v>
      </c>
      <c r="M123" s="186">
        <f>employees!N87</f>
        <v>13500</v>
      </c>
      <c r="N123" s="186">
        <f>employees!O87</f>
        <v>13500</v>
      </c>
      <c r="O123" s="187">
        <f>SUM(C123:N123)</f>
        <v>162000</v>
      </c>
      <c r="Q123" s="57"/>
      <c r="R123" s="186">
        <f>employees!T87</f>
        <v>13140</v>
      </c>
      <c r="S123" s="186">
        <f>employees!U87</f>
        <v>13140</v>
      </c>
      <c r="T123" s="186">
        <f>employees!V87</f>
        <v>13140</v>
      </c>
      <c r="U123" s="186">
        <f>employees!W87</f>
        <v>13140</v>
      </c>
      <c r="V123" s="186">
        <f>employees!X87</f>
        <v>13140</v>
      </c>
      <c r="W123" s="186">
        <f>employees!Y87</f>
        <v>13140</v>
      </c>
      <c r="X123" s="186">
        <f>employees!Z87</f>
        <v>13140</v>
      </c>
      <c r="Y123" s="186">
        <f>employees!AA87</f>
        <v>13140</v>
      </c>
      <c r="Z123" s="186">
        <f>employees!AB87</f>
        <v>13140</v>
      </c>
      <c r="AA123" s="186">
        <f>employees!AC87</f>
        <v>13140</v>
      </c>
      <c r="AB123" s="186">
        <f>employees!AD87</f>
        <v>13140</v>
      </c>
      <c r="AC123" s="186">
        <f>employees!AE87</f>
        <v>13140</v>
      </c>
      <c r="AD123" s="187">
        <f>SUM(R123:AC123)</f>
        <v>157680</v>
      </c>
      <c r="AF123" s="57"/>
      <c r="AG123" s="186">
        <f>employees!AH87</f>
        <v>0</v>
      </c>
      <c r="AH123" s="186">
        <f>employees!AI87</f>
        <v>0</v>
      </c>
      <c r="AI123" s="186">
        <f>employees!AJ87</f>
        <v>0</v>
      </c>
      <c r="AJ123" s="186">
        <f>employees!AK87</f>
        <v>0</v>
      </c>
      <c r="AK123" s="186">
        <f>employees!AL87</f>
        <v>0</v>
      </c>
      <c r="AL123" s="186">
        <f>employees!AM87</f>
        <v>0</v>
      </c>
      <c r="AM123" s="186">
        <f>employees!AN87</f>
        <v>0</v>
      </c>
      <c r="AN123" s="186">
        <f>employees!AO87</f>
        <v>0</v>
      </c>
      <c r="AO123" s="186">
        <f>employees!AP87</f>
        <v>0</v>
      </c>
      <c r="AP123" s="186">
        <f>employees!AQ87</f>
        <v>0</v>
      </c>
      <c r="AQ123" s="186">
        <f>employees!AR87</f>
        <v>0</v>
      </c>
      <c r="AR123" s="186">
        <f>employees!AS87</f>
        <v>0</v>
      </c>
      <c r="AS123" s="187">
        <f>SUM(AG123:AR123)</f>
        <v>0</v>
      </c>
    </row>
    <row r="124" spans="1:45" s="108" customFormat="1">
      <c r="A124" s="56" t="s">
        <v>404</v>
      </c>
      <c r="B124" s="57" t="str">
        <f>'P&amp;L$'!B125</f>
        <v>Social Fund</v>
      </c>
      <c r="C124" s="186">
        <f>employees!D88</f>
        <v>2500</v>
      </c>
      <c r="D124" s="186">
        <f>employees!E88</f>
        <v>2500</v>
      </c>
      <c r="E124" s="186">
        <f>employees!F88</f>
        <v>2500</v>
      </c>
      <c r="F124" s="186">
        <f>employees!G88</f>
        <v>2500</v>
      </c>
      <c r="G124" s="186">
        <f>employees!H88</f>
        <v>2500</v>
      </c>
      <c r="H124" s="186">
        <f>employees!I88</f>
        <v>2500</v>
      </c>
      <c r="I124" s="186">
        <f>employees!J88</f>
        <v>2500</v>
      </c>
      <c r="J124" s="186">
        <f>employees!K88</f>
        <v>2500</v>
      </c>
      <c r="K124" s="186">
        <f>employees!L88</f>
        <v>2500</v>
      </c>
      <c r="L124" s="186">
        <f>employees!M88</f>
        <v>2500</v>
      </c>
      <c r="M124" s="186">
        <f>employees!N88</f>
        <v>2500</v>
      </c>
      <c r="N124" s="186">
        <f>employees!O88</f>
        <v>2500</v>
      </c>
      <c r="O124" s="187">
        <f>SUM(C124:N124)</f>
        <v>30000</v>
      </c>
      <c r="Q124" s="65"/>
      <c r="R124" s="186">
        <f>employees!T88</f>
        <v>1000</v>
      </c>
      <c r="S124" s="186">
        <f>employees!U88</f>
        <v>1000</v>
      </c>
      <c r="T124" s="186">
        <f>employees!V88</f>
        <v>1000</v>
      </c>
      <c r="U124" s="186">
        <f>employees!W88</f>
        <v>1000</v>
      </c>
      <c r="V124" s="186">
        <f>employees!X88</f>
        <v>1000</v>
      </c>
      <c r="W124" s="186">
        <f>employees!Y88</f>
        <v>1000</v>
      </c>
      <c r="X124" s="186">
        <f>employees!Z88</f>
        <v>1000</v>
      </c>
      <c r="Y124" s="186">
        <f>employees!AA88</f>
        <v>1000</v>
      </c>
      <c r="Z124" s="186">
        <f>employees!AB88</f>
        <v>1000</v>
      </c>
      <c r="AA124" s="186">
        <f>employees!AC88</f>
        <v>1000</v>
      </c>
      <c r="AB124" s="186">
        <f>employees!AD88</f>
        <v>1000</v>
      </c>
      <c r="AC124" s="186">
        <f>employees!AE88</f>
        <v>1000</v>
      </c>
      <c r="AD124" s="187">
        <f>SUM(R124:AC124)</f>
        <v>12000</v>
      </c>
      <c r="AF124" s="65"/>
      <c r="AG124" s="186">
        <f>employees!AH88</f>
        <v>0</v>
      </c>
      <c r="AH124" s="186">
        <f>employees!AI88</f>
        <v>0</v>
      </c>
      <c r="AI124" s="186">
        <f>employees!AJ88</f>
        <v>0</v>
      </c>
      <c r="AJ124" s="186">
        <f>employees!AK88</f>
        <v>0</v>
      </c>
      <c r="AK124" s="186">
        <f>employees!AL88</f>
        <v>0</v>
      </c>
      <c r="AL124" s="186">
        <f>employees!AM88</f>
        <v>0</v>
      </c>
      <c r="AM124" s="186">
        <f>employees!AN88</f>
        <v>0</v>
      </c>
      <c r="AN124" s="186">
        <f>employees!AO88</f>
        <v>0</v>
      </c>
      <c r="AO124" s="186">
        <f>employees!AP88</f>
        <v>0</v>
      </c>
      <c r="AP124" s="186">
        <f>employees!AQ88</f>
        <v>0</v>
      </c>
      <c r="AQ124" s="186">
        <f>employees!AR88</f>
        <v>0</v>
      </c>
      <c r="AR124" s="186">
        <f>employees!AS88</f>
        <v>0</v>
      </c>
      <c r="AS124" s="187">
        <f>SUM(AG124:AR124)</f>
        <v>0</v>
      </c>
    </row>
    <row r="125" spans="1:45" s="108" customFormat="1">
      <c r="A125" s="56" t="s">
        <v>406</v>
      </c>
      <c r="B125" s="57" t="str">
        <f>'P&amp;L$'!B126</f>
        <v>Training</v>
      </c>
      <c r="C125" s="186">
        <f>employees!D89</f>
        <v>11000</v>
      </c>
      <c r="D125" s="186">
        <f>employees!E89</f>
        <v>11000</v>
      </c>
      <c r="E125" s="186">
        <f>employees!F89</f>
        <v>11000</v>
      </c>
      <c r="F125" s="186">
        <f>employees!G89</f>
        <v>11000</v>
      </c>
      <c r="G125" s="186">
        <f>employees!H89</f>
        <v>11000</v>
      </c>
      <c r="H125" s="186">
        <f>employees!I89</f>
        <v>11000</v>
      </c>
      <c r="I125" s="186">
        <f>employees!J89</f>
        <v>11000</v>
      </c>
      <c r="J125" s="186">
        <f>employees!K89</f>
        <v>11000</v>
      </c>
      <c r="K125" s="186">
        <f>employees!L89</f>
        <v>11000</v>
      </c>
      <c r="L125" s="186">
        <f>employees!M89</f>
        <v>11000</v>
      </c>
      <c r="M125" s="186">
        <f>employees!N89</f>
        <v>11000</v>
      </c>
      <c r="N125" s="186">
        <f>employees!O89</f>
        <v>11000</v>
      </c>
      <c r="O125" s="187">
        <f>SUM(C125:N125)</f>
        <v>132000</v>
      </c>
      <c r="Q125" s="57"/>
      <c r="R125" s="186">
        <f>employees!T89</f>
        <v>5000</v>
      </c>
      <c r="S125" s="186">
        <f>employees!U89</f>
        <v>5000</v>
      </c>
      <c r="T125" s="186">
        <f>employees!V89</f>
        <v>5000</v>
      </c>
      <c r="U125" s="186">
        <f>employees!W89</f>
        <v>5000</v>
      </c>
      <c r="V125" s="186">
        <f>employees!X89</f>
        <v>5000</v>
      </c>
      <c r="W125" s="186">
        <f>employees!Y89</f>
        <v>5000</v>
      </c>
      <c r="X125" s="186">
        <f>employees!Z89</f>
        <v>5000</v>
      </c>
      <c r="Y125" s="186">
        <f>employees!AA89</f>
        <v>5000</v>
      </c>
      <c r="Z125" s="186">
        <f>employees!AB89</f>
        <v>5000</v>
      </c>
      <c r="AA125" s="186">
        <f>employees!AC89</f>
        <v>5000</v>
      </c>
      <c r="AB125" s="186">
        <f>employees!AD89</f>
        <v>5000</v>
      </c>
      <c r="AC125" s="186">
        <f>employees!AE89</f>
        <v>5000</v>
      </c>
      <c r="AD125" s="187">
        <f>SUM(R125:AC125)</f>
        <v>60000</v>
      </c>
      <c r="AF125" s="57"/>
      <c r="AG125" s="186">
        <f>employees!AH89</f>
        <v>0</v>
      </c>
      <c r="AH125" s="186">
        <f>employees!AI89</f>
        <v>0</v>
      </c>
      <c r="AI125" s="186">
        <f>employees!AJ89</f>
        <v>0</v>
      </c>
      <c r="AJ125" s="186">
        <f>employees!AK89</f>
        <v>0</v>
      </c>
      <c r="AK125" s="186">
        <f>employees!AL89</f>
        <v>0</v>
      </c>
      <c r="AL125" s="186">
        <f>employees!AM89</f>
        <v>0</v>
      </c>
      <c r="AM125" s="186">
        <f>employees!AN89</f>
        <v>0</v>
      </c>
      <c r="AN125" s="186">
        <f>employees!AO89</f>
        <v>0</v>
      </c>
      <c r="AO125" s="186">
        <f>employees!AP89</f>
        <v>0</v>
      </c>
      <c r="AP125" s="186">
        <f>employees!AQ89</f>
        <v>0</v>
      </c>
      <c r="AQ125" s="186">
        <f>employees!AR89</f>
        <v>0</v>
      </c>
      <c r="AR125" s="186">
        <f>employees!AS89</f>
        <v>0</v>
      </c>
      <c r="AS125" s="187">
        <f>SUM(AG125:AR125)</f>
        <v>0</v>
      </c>
    </row>
    <row r="126" spans="1:45" s="108" customFormat="1">
      <c r="A126" s="56" t="s">
        <v>408</v>
      </c>
      <c r="B126" s="57" t="str">
        <f>'P&amp;L$'!B127</f>
        <v>Other</v>
      </c>
      <c r="C126" s="186">
        <f>employees!D90</f>
        <v>1000</v>
      </c>
      <c r="D126" s="186">
        <f>employees!E90</f>
        <v>1000</v>
      </c>
      <c r="E126" s="186">
        <f>employees!F90</f>
        <v>1000</v>
      </c>
      <c r="F126" s="186">
        <f>employees!G90</f>
        <v>1000</v>
      </c>
      <c r="G126" s="186">
        <f>employees!H90</f>
        <v>1000</v>
      </c>
      <c r="H126" s="186">
        <f>employees!I90</f>
        <v>1000</v>
      </c>
      <c r="I126" s="186">
        <f>employees!J90</f>
        <v>1000</v>
      </c>
      <c r="J126" s="186">
        <f>employees!K90</f>
        <v>1000</v>
      </c>
      <c r="K126" s="186">
        <f>employees!L90</f>
        <v>1000</v>
      </c>
      <c r="L126" s="186">
        <f>employees!M90</f>
        <v>1000</v>
      </c>
      <c r="M126" s="186">
        <f>employees!N90</f>
        <v>1000</v>
      </c>
      <c r="N126" s="186">
        <f>employees!O90</f>
        <v>1000</v>
      </c>
      <c r="O126" s="187">
        <f>SUM(C126:N126)</f>
        <v>12000</v>
      </c>
      <c r="Q126" s="57"/>
      <c r="R126" s="186">
        <f>employees!T90</f>
        <v>1000</v>
      </c>
      <c r="S126" s="186">
        <f>employees!U90</f>
        <v>1000</v>
      </c>
      <c r="T126" s="186">
        <f>employees!V90</f>
        <v>1000</v>
      </c>
      <c r="U126" s="186">
        <f>employees!W90</f>
        <v>1000</v>
      </c>
      <c r="V126" s="186">
        <f>employees!X90</f>
        <v>1000</v>
      </c>
      <c r="W126" s="186">
        <f>employees!Y90</f>
        <v>1000</v>
      </c>
      <c r="X126" s="186">
        <f>employees!Z90</f>
        <v>1000</v>
      </c>
      <c r="Y126" s="186">
        <f>employees!AA90</f>
        <v>1000</v>
      </c>
      <c r="Z126" s="186">
        <f>employees!AB90</f>
        <v>1000</v>
      </c>
      <c r="AA126" s="186">
        <f>employees!AC90</f>
        <v>1000</v>
      </c>
      <c r="AB126" s="186">
        <f>employees!AD90</f>
        <v>1000</v>
      </c>
      <c r="AC126" s="186">
        <f>employees!AE90</f>
        <v>1000</v>
      </c>
      <c r="AD126" s="187">
        <f>SUM(R126:AC126)</f>
        <v>12000</v>
      </c>
      <c r="AF126" s="57"/>
      <c r="AG126" s="186">
        <f>employees!AH90</f>
        <v>0</v>
      </c>
      <c r="AH126" s="186">
        <f>employees!AI90</f>
        <v>0</v>
      </c>
      <c r="AI126" s="186">
        <f>employees!AJ90</f>
        <v>0</v>
      </c>
      <c r="AJ126" s="186">
        <f>employees!AK90</f>
        <v>0</v>
      </c>
      <c r="AK126" s="186">
        <f>employees!AL90</f>
        <v>0</v>
      </c>
      <c r="AL126" s="186">
        <f>employees!AM90</f>
        <v>0</v>
      </c>
      <c r="AM126" s="186">
        <f>employees!AN90</f>
        <v>0</v>
      </c>
      <c r="AN126" s="186">
        <f>employees!AO90</f>
        <v>0</v>
      </c>
      <c r="AO126" s="186">
        <f>employees!AP90</f>
        <v>0</v>
      </c>
      <c r="AP126" s="186">
        <f>employees!AQ90</f>
        <v>0</v>
      </c>
      <c r="AQ126" s="186">
        <f>employees!AR90</f>
        <v>0</v>
      </c>
      <c r="AR126" s="186">
        <f>employees!AS90</f>
        <v>0</v>
      </c>
      <c r="AS126" s="187">
        <f>SUM(AG126:AR126)</f>
        <v>0</v>
      </c>
    </row>
    <row r="127" spans="1:45" ht="13.5" thickBot="1">
      <c r="A127" s="56"/>
      <c r="B127" s="136" t="s">
        <v>97</v>
      </c>
      <c r="C127" s="19">
        <f t="shared" ref="C127:O127" si="45">SUM(C122:C126)</f>
        <v>34300</v>
      </c>
      <c r="D127" s="19">
        <f t="shared" si="45"/>
        <v>34300</v>
      </c>
      <c r="E127" s="19">
        <f t="shared" si="45"/>
        <v>34300</v>
      </c>
      <c r="F127" s="19">
        <f t="shared" si="45"/>
        <v>34300</v>
      </c>
      <c r="G127" s="19">
        <f t="shared" si="45"/>
        <v>34300</v>
      </c>
      <c r="H127" s="19">
        <f t="shared" si="45"/>
        <v>34300</v>
      </c>
      <c r="I127" s="19">
        <f t="shared" si="45"/>
        <v>34300</v>
      </c>
      <c r="J127" s="19">
        <f t="shared" si="45"/>
        <v>34300</v>
      </c>
      <c r="K127" s="19">
        <f t="shared" si="45"/>
        <v>34300</v>
      </c>
      <c r="L127" s="19">
        <f t="shared" si="45"/>
        <v>34300</v>
      </c>
      <c r="M127" s="19">
        <f t="shared" si="45"/>
        <v>34300</v>
      </c>
      <c r="N127" s="19">
        <f t="shared" si="45"/>
        <v>34300</v>
      </c>
      <c r="O127" s="19">
        <f t="shared" si="45"/>
        <v>411600</v>
      </c>
      <c r="Q127" s="57"/>
      <c r="R127" s="19">
        <f t="shared" ref="R127:AD127" si="46">SUM(R122:R126)</f>
        <v>26440</v>
      </c>
      <c r="S127" s="53">
        <f t="shared" si="46"/>
        <v>26440</v>
      </c>
      <c r="T127" s="53">
        <f t="shared" si="46"/>
        <v>26440</v>
      </c>
      <c r="U127" s="53">
        <f t="shared" si="46"/>
        <v>26440</v>
      </c>
      <c r="V127" s="53">
        <f t="shared" si="46"/>
        <v>26440</v>
      </c>
      <c r="W127" s="53">
        <f t="shared" si="46"/>
        <v>26440</v>
      </c>
      <c r="X127" s="53">
        <f t="shared" si="46"/>
        <v>26440</v>
      </c>
      <c r="Y127" s="53">
        <f t="shared" si="46"/>
        <v>26440</v>
      </c>
      <c r="Z127" s="53">
        <f t="shared" si="46"/>
        <v>26440</v>
      </c>
      <c r="AA127" s="53">
        <f t="shared" si="46"/>
        <v>26440</v>
      </c>
      <c r="AB127" s="53">
        <f t="shared" si="46"/>
        <v>26440</v>
      </c>
      <c r="AC127" s="53">
        <f t="shared" si="46"/>
        <v>26440</v>
      </c>
      <c r="AD127" s="53">
        <f t="shared" si="46"/>
        <v>317280</v>
      </c>
      <c r="AF127" s="57"/>
      <c r="AG127" s="19">
        <f t="shared" ref="AG127:AS127" si="47">SUM(AG122:AG126)</f>
        <v>0</v>
      </c>
      <c r="AH127" s="53">
        <f t="shared" si="47"/>
        <v>0</v>
      </c>
      <c r="AI127" s="53">
        <f t="shared" si="47"/>
        <v>0</v>
      </c>
      <c r="AJ127" s="53">
        <f t="shared" si="47"/>
        <v>0</v>
      </c>
      <c r="AK127" s="53">
        <f t="shared" si="47"/>
        <v>0</v>
      </c>
      <c r="AL127" s="53">
        <f t="shared" si="47"/>
        <v>0</v>
      </c>
      <c r="AM127" s="53">
        <f t="shared" si="47"/>
        <v>0</v>
      </c>
      <c r="AN127" s="53">
        <f t="shared" si="47"/>
        <v>0</v>
      </c>
      <c r="AO127" s="53">
        <f t="shared" si="47"/>
        <v>0</v>
      </c>
      <c r="AP127" s="53">
        <f t="shared" si="47"/>
        <v>0</v>
      </c>
      <c r="AQ127" s="53">
        <f t="shared" si="47"/>
        <v>0</v>
      </c>
      <c r="AR127" s="53">
        <f t="shared" si="47"/>
        <v>0</v>
      </c>
      <c r="AS127" s="53">
        <f t="shared" si="47"/>
        <v>0</v>
      </c>
    </row>
    <row r="128" spans="1:45" ht="13.5" thickTop="1">
      <c r="A128" s="56"/>
      <c r="B128" s="60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Q128" s="57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F128" s="57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</row>
    <row r="129" spans="1:45">
      <c r="A129" s="54" t="s">
        <v>410</v>
      </c>
      <c r="B129" s="60" t="str">
        <f>'P&amp;L$'!B130</f>
        <v>INSURANCES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Q129" s="55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F129" s="5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spans="1:45">
      <c r="A130" s="56" t="s">
        <v>411</v>
      </c>
      <c r="B130" s="59" t="str">
        <f>'P&amp;L$'!B131</f>
        <v>Plant Insurance</v>
      </c>
      <c r="C130" s="21">
        <f>Oheads!C71</f>
        <v>181140</v>
      </c>
      <c r="D130" s="21">
        <f>Oheads!D71</f>
        <v>181140</v>
      </c>
      <c r="E130" s="21">
        <f>Oheads!E71</f>
        <v>181140</v>
      </c>
      <c r="F130" s="21">
        <f>Oheads!F71</f>
        <v>181140</v>
      </c>
      <c r="G130" s="21">
        <f>Oheads!G71</f>
        <v>181140</v>
      </c>
      <c r="H130" s="21">
        <f>Oheads!H71</f>
        <v>181140</v>
      </c>
      <c r="I130" s="21">
        <f>Oheads!I71</f>
        <v>199254.00000000003</v>
      </c>
      <c r="J130" s="21">
        <f>Oheads!J71</f>
        <v>199254.00000000003</v>
      </c>
      <c r="K130" s="21">
        <f>Oheads!K71</f>
        <v>199254.00000000003</v>
      </c>
      <c r="L130" s="21">
        <f>Oheads!L71</f>
        <v>199254.00000000003</v>
      </c>
      <c r="M130" s="21">
        <f>Oheads!M71</f>
        <v>199254.00000000003</v>
      </c>
      <c r="N130" s="21">
        <f>Oheads!N71</f>
        <v>199254.00000000003</v>
      </c>
      <c r="O130" s="21">
        <f>SUM(C130:N130)</f>
        <v>2282364</v>
      </c>
      <c r="Q130" s="57"/>
      <c r="R130" s="21">
        <f>Oheads!Q71</f>
        <v>172000</v>
      </c>
      <c r="S130" s="21">
        <f>Oheads!R71</f>
        <v>172000</v>
      </c>
      <c r="T130" s="21">
        <f>Oheads!S71</f>
        <v>172000</v>
      </c>
      <c r="U130" s="21">
        <f>Oheads!T71</f>
        <v>172000</v>
      </c>
      <c r="V130" s="21">
        <f>Oheads!U71</f>
        <v>172000</v>
      </c>
      <c r="W130" s="21">
        <f>Oheads!V71</f>
        <v>172000</v>
      </c>
      <c r="X130" s="21">
        <f>Oheads!W71</f>
        <v>189200.00000000003</v>
      </c>
      <c r="Y130" s="21">
        <f>Oheads!X71</f>
        <v>189200.00000000003</v>
      </c>
      <c r="Z130" s="21">
        <f>Oheads!Y71</f>
        <v>189200.00000000003</v>
      </c>
      <c r="AA130" s="21">
        <f>Oheads!Z71</f>
        <v>189200.00000000003</v>
      </c>
      <c r="AB130" s="21">
        <f>Oheads!AA71</f>
        <v>189200.00000000003</v>
      </c>
      <c r="AC130" s="21">
        <f>Oheads!AB71</f>
        <v>189200.00000000003</v>
      </c>
      <c r="AD130" s="21">
        <f>SUM(R130:AC130)</f>
        <v>2167200</v>
      </c>
      <c r="AF130" s="57"/>
      <c r="AG130" s="21">
        <f>Oheads!AE71</f>
        <v>172000</v>
      </c>
      <c r="AH130" s="21">
        <f>Oheads!AF71</f>
        <v>172000</v>
      </c>
      <c r="AI130" s="21">
        <f>Oheads!AG71</f>
        <v>172000</v>
      </c>
      <c r="AJ130" s="21">
        <f>Oheads!AH71</f>
        <v>172000</v>
      </c>
      <c r="AK130" s="21">
        <f>Oheads!AI71</f>
        <v>172000</v>
      </c>
      <c r="AL130" s="21">
        <f>Oheads!AJ71</f>
        <v>172000</v>
      </c>
      <c r="AM130" s="21">
        <f>Oheads!AK71</f>
        <v>189200.00000000003</v>
      </c>
      <c r="AN130" s="21">
        <f>Oheads!AL71</f>
        <v>189200.00000000003</v>
      </c>
      <c r="AO130" s="21">
        <f>Oheads!AM71</f>
        <v>189200.00000000003</v>
      </c>
      <c r="AP130" s="21">
        <f>Oheads!AN71</f>
        <v>189200.00000000003</v>
      </c>
      <c r="AQ130" s="21">
        <f>Oheads!AO71</f>
        <v>189200.00000000003</v>
      </c>
      <c r="AR130" s="21">
        <f>Oheads!AP71</f>
        <v>189200.00000000003</v>
      </c>
      <c r="AS130" s="21">
        <f>SUM(AG130:AR130)</f>
        <v>2167200</v>
      </c>
    </row>
    <row r="131" spans="1:45">
      <c r="A131" s="56" t="s">
        <v>413</v>
      </c>
      <c r="B131" s="59" t="str">
        <f>'P&amp;L$'!B132</f>
        <v>Vehicle Insurance</v>
      </c>
      <c r="C131" s="21">
        <f>Oheads!C73</f>
        <v>1700</v>
      </c>
      <c r="D131" s="21">
        <f>Oheads!D73</f>
        <v>1700</v>
      </c>
      <c r="E131" s="21">
        <f>Oheads!E73</f>
        <v>1700</v>
      </c>
      <c r="F131" s="21">
        <f>Oheads!F73</f>
        <v>1700</v>
      </c>
      <c r="G131" s="21">
        <f>Oheads!G73</f>
        <v>1700</v>
      </c>
      <c r="H131" s="21">
        <f>Oheads!H73</f>
        <v>1700</v>
      </c>
      <c r="I131" s="21">
        <f>Oheads!I73</f>
        <v>1870.0000000000002</v>
      </c>
      <c r="J131" s="21">
        <f>Oheads!J73</f>
        <v>1870.0000000000002</v>
      </c>
      <c r="K131" s="21">
        <f>Oheads!K73</f>
        <v>1870.0000000000002</v>
      </c>
      <c r="L131" s="21">
        <f>Oheads!L73</f>
        <v>1870.0000000000002</v>
      </c>
      <c r="M131" s="21">
        <f>Oheads!M73</f>
        <v>1870.0000000000002</v>
      </c>
      <c r="N131" s="21">
        <f>Oheads!N73</f>
        <v>1870.0000000000002</v>
      </c>
      <c r="O131" s="21">
        <f>SUM(C131:N131)</f>
        <v>21420</v>
      </c>
      <c r="Q131" s="65"/>
      <c r="R131" s="21">
        <f>Oheads!Q73</f>
        <v>1700</v>
      </c>
      <c r="S131" s="21">
        <f>Oheads!R73</f>
        <v>1700</v>
      </c>
      <c r="T131" s="21">
        <f>Oheads!S73</f>
        <v>1700</v>
      </c>
      <c r="U131" s="21">
        <f>Oheads!T73</f>
        <v>1700</v>
      </c>
      <c r="V131" s="21">
        <f>Oheads!U73</f>
        <v>1700</v>
      </c>
      <c r="W131" s="21">
        <f>Oheads!V73</f>
        <v>1700</v>
      </c>
      <c r="X131" s="21">
        <f>Oheads!W73</f>
        <v>1870.0000000000002</v>
      </c>
      <c r="Y131" s="21">
        <f>Oheads!X73</f>
        <v>1870.0000000000002</v>
      </c>
      <c r="Z131" s="21">
        <f>Oheads!Y73</f>
        <v>1870.0000000000002</v>
      </c>
      <c r="AA131" s="21">
        <f>Oheads!Z73</f>
        <v>1870.0000000000002</v>
      </c>
      <c r="AB131" s="21">
        <f>Oheads!AA73</f>
        <v>1870.0000000000002</v>
      </c>
      <c r="AC131" s="21">
        <f>Oheads!AB73</f>
        <v>1870.0000000000002</v>
      </c>
      <c r="AD131" s="21">
        <f>SUM(R131:AC131)</f>
        <v>21420</v>
      </c>
      <c r="AF131" s="65"/>
      <c r="AG131" s="21">
        <f>Oheads!AE73</f>
        <v>1700</v>
      </c>
      <c r="AH131" s="21">
        <f>Oheads!AF73</f>
        <v>1700</v>
      </c>
      <c r="AI131" s="21">
        <f>Oheads!AG73</f>
        <v>1700</v>
      </c>
      <c r="AJ131" s="21">
        <f>Oheads!AH73</f>
        <v>1700</v>
      </c>
      <c r="AK131" s="21">
        <f>Oheads!AI73</f>
        <v>1700</v>
      </c>
      <c r="AL131" s="21">
        <f>Oheads!AJ73</f>
        <v>1700</v>
      </c>
      <c r="AM131" s="21">
        <f>Oheads!AK73</f>
        <v>1870.0000000000002</v>
      </c>
      <c r="AN131" s="21">
        <f>Oheads!AL73</f>
        <v>1870.0000000000002</v>
      </c>
      <c r="AO131" s="21">
        <f>Oheads!AM73</f>
        <v>1870.0000000000002</v>
      </c>
      <c r="AP131" s="21">
        <f>Oheads!AN73</f>
        <v>1870.0000000000002</v>
      </c>
      <c r="AQ131" s="21">
        <f>Oheads!AO73</f>
        <v>1870.0000000000002</v>
      </c>
      <c r="AR131" s="21">
        <f>Oheads!AP73</f>
        <v>1870.0000000000002</v>
      </c>
      <c r="AS131" s="21">
        <f>SUM(AG131:AR131)</f>
        <v>21420</v>
      </c>
    </row>
    <row r="132" spans="1:45" hidden="1">
      <c r="A132" s="56" t="s">
        <v>415</v>
      </c>
      <c r="B132" s="60" t="s">
        <v>416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>
        <f>SUM(C132:N132)</f>
        <v>0</v>
      </c>
      <c r="Q132" s="65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>
        <f>SUM(R132:AC132)</f>
        <v>0</v>
      </c>
      <c r="AF132" s="65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>
        <f>SUM(AG132:AR132)</f>
        <v>0</v>
      </c>
    </row>
    <row r="133" spans="1:45" ht="13.5" thickBot="1">
      <c r="A133" s="56"/>
      <c r="B133" s="136" t="s">
        <v>97</v>
      </c>
      <c r="C133" s="19">
        <f>SUM(C130:C132)</f>
        <v>182840</v>
      </c>
      <c r="D133" s="19">
        <f t="shared" ref="D133:O133" si="48">SUM(D130:D132)</f>
        <v>182840</v>
      </c>
      <c r="E133" s="19">
        <f t="shared" si="48"/>
        <v>182840</v>
      </c>
      <c r="F133" s="19">
        <f t="shared" si="48"/>
        <v>182840</v>
      </c>
      <c r="G133" s="19">
        <f t="shared" si="48"/>
        <v>182840</v>
      </c>
      <c r="H133" s="19">
        <f t="shared" si="48"/>
        <v>182840</v>
      </c>
      <c r="I133" s="19">
        <f t="shared" si="48"/>
        <v>201124.00000000003</v>
      </c>
      <c r="J133" s="19">
        <f t="shared" si="48"/>
        <v>201124.00000000003</v>
      </c>
      <c r="K133" s="19">
        <f t="shared" si="48"/>
        <v>201124.00000000003</v>
      </c>
      <c r="L133" s="19">
        <f t="shared" si="48"/>
        <v>201124.00000000003</v>
      </c>
      <c r="M133" s="19">
        <f t="shared" si="48"/>
        <v>201124.00000000003</v>
      </c>
      <c r="N133" s="19">
        <f t="shared" si="48"/>
        <v>201124.00000000003</v>
      </c>
      <c r="O133" s="19">
        <f t="shared" si="48"/>
        <v>2303784</v>
      </c>
      <c r="Q133" s="57"/>
      <c r="R133" s="19">
        <f t="shared" ref="R133:AD133" si="49">SUM(R130:R132)</f>
        <v>173700</v>
      </c>
      <c r="S133" s="53">
        <f t="shared" si="49"/>
        <v>173700</v>
      </c>
      <c r="T133" s="53">
        <f t="shared" si="49"/>
        <v>173700</v>
      </c>
      <c r="U133" s="53">
        <f t="shared" si="49"/>
        <v>173700</v>
      </c>
      <c r="V133" s="53">
        <f t="shared" si="49"/>
        <v>173700</v>
      </c>
      <c r="W133" s="53">
        <f t="shared" si="49"/>
        <v>173700</v>
      </c>
      <c r="X133" s="53">
        <f t="shared" si="49"/>
        <v>191070.00000000003</v>
      </c>
      <c r="Y133" s="53">
        <f t="shared" si="49"/>
        <v>191070.00000000003</v>
      </c>
      <c r="Z133" s="53">
        <f t="shared" si="49"/>
        <v>191070.00000000003</v>
      </c>
      <c r="AA133" s="53">
        <f t="shared" si="49"/>
        <v>191070.00000000003</v>
      </c>
      <c r="AB133" s="53">
        <f t="shared" si="49"/>
        <v>191070.00000000003</v>
      </c>
      <c r="AC133" s="53">
        <f t="shared" si="49"/>
        <v>191070.00000000003</v>
      </c>
      <c r="AD133" s="53">
        <f t="shared" si="49"/>
        <v>2188620</v>
      </c>
      <c r="AF133" s="57"/>
      <c r="AG133" s="19">
        <f t="shared" ref="AG133:AS133" si="50">SUM(AG130:AG132)</f>
        <v>173700</v>
      </c>
      <c r="AH133" s="53">
        <f t="shared" si="50"/>
        <v>173700</v>
      </c>
      <c r="AI133" s="53">
        <f t="shared" si="50"/>
        <v>173700</v>
      </c>
      <c r="AJ133" s="53">
        <f t="shared" si="50"/>
        <v>173700</v>
      </c>
      <c r="AK133" s="53">
        <f t="shared" si="50"/>
        <v>173700</v>
      </c>
      <c r="AL133" s="53">
        <f t="shared" si="50"/>
        <v>173700</v>
      </c>
      <c r="AM133" s="53">
        <f t="shared" si="50"/>
        <v>191070.00000000003</v>
      </c>
      <c r="AN133" s="53">
        <f t="shared" si="50"/>
        <v>191070.00000000003</v>
      </c>
      <c r="AO133" s="53">
        <f t="shared" si="50"/>
        <v>191070.00000000003</v>
      </c>
      <c r="AP133" s="53">
        <f t="shared" si="50"/>
        <v>191070.00000000003</v>
      </c>
      <c r="AQ133" s="53">
        <f t="shared" si="50"/>
        <v>191070.00000000003</v>
      </c>
      <c r="AR133" s="53">
        <f t="shared" si="50"/>
        <v>191070.00000000003</v>
      </c>
      <c r="AS133" s="53">
        <f t="shared" si="50"/>
        <v>2188620</v>
      </c>
    </row>
    <row r="134" spans="1:45" ht="13.5" thickTop="1">
      <c r="A134" s="56"/>
      <c r="B134" s="55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0"/>
      <c r="Q134" s="57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0"/>
      <c r="AF134" s="57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0"/>
    </row>
    <row r="135" spans="1:45">
      <c r="A135" s="54" t="s">
        <v>417</v>
      </c>
      <c r="B135" s="55" t="str">
        <f>'P&amp;L$'!B136</f>
        <v>OFFICE MATERIALS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0"/>
      <c r="Q135" s="55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0"/>
      <c r="AF135" s="55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0"/>
    </row>
    <row r="136" spans="1:45">
      <c r="A136" s="56" t="s">
        <v>418</v>
      </c>
      <c r="B136" s="57" t="str">
        <f>'P&amp;L$'!B137</f>
        <v>Office Materials</v>
      </c>
      <c r="C136" s="21">
        <f>Oheads!C64</f>
        <v>16200</v>
      </c>
      <c r="D136" s="21">
        <f>Oheads!D64</f>
        <v>16200</v>
      </c>
      <c r="E136" s="21">
        <f>Oheads!E64</f>
        <v>16200</v>
      </c>
      <c r="F136" s="21">
        <f>Oheads!F64</f>
        <v>16200</v>
      </c>
      <c r="G136" s="21">
        <f>Oheads!G64</f>
        <v>16200</v>
      </c>
      <c r="H136" s="21">
        <f>Oheads!H64</f>
        <v>16200</v>
      </c>
      <c r="I136" s="21">
        <f>Oheads!I64</f>
        <v>16200</v>
      </c>
      <c r="J136" s="21">
        <f>Oheads!J64</f>
        <v>16200</v>
      </c>
      <c r="K136" s="21">
        <f>Oheads!K64</f>
        <v>16200</v>
      </c>
      <c r="L136" s="21">
        <f>Oheads!L64</f>
        <v>16200</v>
      </c>
      <c r="M136" s="21">
        <f>Oheads!M64</f>
        <v>16200</v>
      </c>
      <c r="N136" s="21">
        <f>Oheads!N64</f>
        <v>16200</v>
      </c>
      <c r="O136" s="21">
        <f>SUM(C136:N136)</f>
        <v>194400</v>
      </c>
      <c r="Q136" s="57"/>
      <c r="R136" s="21">
        <f>Oheads!Q64</f>
        <v>16848</v>
      </c>
      <c r="S136" s="21">
        <f>Oheads!R64</f>
        <v>16848</v>
      </c>
      <c r="T136" s="21">
        <f>Oheads!S64</f>
        <v>16848</v>
      </c>
      <c r="U136" s="21">
        <f>Oheads!T64</f>
        <v>16848</v>
      </c>
      <c r="V136" s="21">
        <f>Oheads!U64</f>
        <v>16848</v>
      </c>
      <c r="W136" s="21">
        <f>Oheads!V64</f>
        <v>16848</v>
      </c>
      <c r="X136" s="21">
        <f>Oheads!W64</f>
        <v>16848</v>
      </c>
      <c r="Y136" s="21">
        <f>Oheads!X64</f>
        <v>16848</v>
      </c>
      <c r="Z136" s="21">
        <f>Oheads!Y64</f>
        <v>16848</v>
      </c>
      <c r="AA136" s="21">
        <f>Oheads!Z64</f>
        <v>16848</v>
      </c>
      <c r="AB136" s="21">
        <f>Oheads!AA64</f>
        <v>16848</v>
      </c>
      <c r="AC136" s="21">
        <f>Oheads!AB64</f>
        <v>16848</v>
      </c>
      <c r="AD136" s="21">
        <f>SUM(R136:AC136)</f>
        <v>202176</v>
      </c>
      <c r="AF136" s="57"/>
      <c r="AG136" s="21">
        <f>Oheads!AE64</f>
        <v>17858.88</v>
      </c>
      <c r="AH136" s="21">
        <f>Oheads!AF64</f>
        <v>17858.88</v>
      </c>
      <c r="AI136" s="21">
        <f>Oheads!AG64</f>
        <v>17858.88</v>
      </c>
      <c r="AJ136" s="21">
        <f>Oheads!AH64</f>
        <v>17858.88</v>
      </c>
      <c r="AK136" s="21">
        <f>Oheads!AI64</f>
        <v>17858.88</v>
      </c>
      <c r="AL136" s="21">
        <f>Oheads!AJ64</f>
        <v>17858.88</v>
      </c>
      <c r="AM136" s="21">
        <f>Oheads!AK64</f>
        <v>17858.88</v>
      </c>
      <c r="AN136" s="21">
        <f>Oheads!AL64</f>
        <v>17858.88</v>
      </c>
      <c r="AO136" s="21">
        <f>Oheads!AM64</f>
        <v>17858.88</v>
      </c>
      <c r="AP136" s="21">
        <f>Oheads!AN64</f>
        <v>17858.88</v>
      </c>
      <c r="AQ136" s="21">
        <f>Oheads!AO64</f>
        <v>17858.88</v>
      </c>
      <c r="AR136" s="21">
        <f>Oheads!AP64</f>
        <v>17858.88</v>
      </c>
      <c r="AS136" s="21">
        <f>SUM(AG136:AR136)</f>
        <v>214306.56000000003</v>
      </c>
    </row>
    <row r="137" spans="1:45" hidden="1">
      <c r="A137" s="56" t="s">
        <v>419</v>
      </c>
      <c r="B137" s="55" t="str">
        <f>'P&amp;L$'!B138</f>
        <v>Materiały Gospodarcze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>
        <f>SUM(C137:N137)</f>
        <v>0</v>
      </c>
      <c r="Q137" s="57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>
        <f>SUM(R137:AC137)</f>
        <v>0</v>
      </c>
      <c r="AF137" s="57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>
        <f>SUM(AG137:AR137)</f>
        <v>0</v>
      </c>
    </row>
    <row r="138" spans="1:45" hidden="1">
      <c r="A138" s="56" t="s">
        <v>421</v>
      </c>
      <c r="B138" s="55" t="str">
        <f>'P&amp;L$'!B139</f>
        <v>Środki czystości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>
        <f>SUM(C138:N138)</f>
        <v>0</v>
      </c>
      <c r="Q138" s="57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>
        <f>SUM(R138:AC138)</f>
        <v>0</v>
      </c>
      <c r="AF138" s="57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>
        <f>SUM(AG138:AR138)</f>
        <v>0</v>
      </c>
    </row>
    <row r="139" spans="1:45" hidden="1">
      <c r="A139" s="56" t="s">
        <v>423</v>
      </c>
      <c r="B139" s="55" t="str">
        <f>'P&amp;L$'!B140</f>
        <v>Wyposażenie biura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>
        <f>SUM(C139:N139)</f>
        <v>0</v>
      </c>
      <c r="Q139" s="57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>
        <f>SUM(R139:AC139)</f>
        <v>0</v>
      </c>
      <c r="AF139" s="57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>
        <f>SUM(AG139:AR139)</f>
        <v>0</v>
      </c>
    </row>
    <row r="140" spans="1:45" ht="13.5" thickBot="1">
      <c r="A140" s="56"/>
      <c r="B140" s="136" t="s">
        <v>97</v>
      </c>
      <c r="C140" s="19">
        <f>SUM(C136:C139)</f>
        <v>16200</v>
      </c>
      <c r="D140" s="19">
        <f t="shared" ref="D140:O140" si="51">SUM(D136:D139)</f>
        <v>16200</v>
      </c>
      <c r="E140" s="19">
        <f t="shared" si="51"/>
        <v>16200</v>
      </c>
      <c r="F140" s="19">
        <f t="shared" si="51"/>
        <v>16200</v>
      </c>
      <c r="G140" s="19">
        <f t="shared" si="51"/>
        <v>16200</v>
      </c>
      <c r="H140" s="19">
        <f t="shared" si="51"/>
        <v>16200</v>
      </c>
      <c r="I140" s="19">
        <f t="shared" si="51"/>
        <v>16200</v>
      </c>
      <c r="J140" s="19">
        <f t="shared" si="51"/>
        <v>16200</v>
      </c>
      <c r="K140" s="19">
        <f t="shared" si="51"/>
        <v>16200</v>
      </c>
      <c r="L140" s="19">
        <f t="shared" si="51"/>
        <v>16200</v>
      </c>
      <c r="M140" s="19">
        <f t="shared" si="51"/>
        <v>16200</v>
      </c>
      <c r="N140" s="19">
        <f t="shared" si="51"/>
        <v>16200</v>
      </c>
      <c r="O140" s="19">
        <f t="shared" si="51"/>
        <v>194400</v>
      </c>
      <c r="Q140" s="57"/>
      <c r="R140" s="19">
        <f t="shared" ref="R140:AD140" si="52">SUM(R136:R139)</f>
        <v>16848</v>
      </c>
      <c r="S140" s="53">
        <f t="shared" si="52"/>
        <v>16848</v>
      </c>
      <c r="T140" s="53">
        <f t="shared" si="52"/>
        <v>16848</v>
      </c>
      <c r="U140" s="53">
        <f t="shared" si="52"/>
        <v>16848</v>
      </c>
      <c r="V140" s="53">
        <f t="shared" si="52"/>
        <v>16848</v>
      </c>
      <c r="W140" s="53">
        <f t="shared" si="52"/>
        <v>16848</v>
      </c>
      <c r="X140" s="53">
        <f t="shared" si="52"/>
        <v>16848</v>
      </c>
      <c r="Y140" s="53">
        <f t="shared" si="52"/>
        <v>16848</v>
      </c>
      <c r="Z140" s="53">
        <f t="shared" si="52"/>
        <v>16848</v>
      </c>
      <c r="AA140" s="53">
        <f t="shared" si="52"/>
        <v>16848</v>
      </c>
      <c r="AB140" s="53">
        <f t="shared" si="52"/>
        <v>16848</v>
      </c>
      <c r="AC140" s="53">
        <f t="shared" si="52"/>
        <v>16848</v>
      </c>
      <c r="AD140" s="53">
        <f t="shared" si="52"/>
        <v>202176</v>
      </c>
      <c r="AF140" s="57"/>
      <c r="AG140" s="19">
        <f t="shared" ref="AG140:AS140" si="53">SUM(AG136:AG139)</f>
        <v>17858.88</v>
      </c>
      <c r="AH140" s="53">
        <f t="shared" si="53"/>
        <v>17858.88</v>
      </c>
      <c r="AI140" s="53">
        <f t="shared" si="53"/>
        <v>17858.88</v>
      </c>
      <c r="AJ140" s="53">
        <f t="shared" si="53"/>
        <v>17858.88</v>
      </c>
      <c r="AK140" s="53">
        <f t="shared" si="53"/>
        <v>17858.88</v>
      </c>
      <c r="AL140" s="53">
        <f t="shared" si="53"/>
        <v>17858.88</v>
      </c>
      <c r="AM140" s="53">
        <f t="shared" si="53"/>
        <v>17858.88</v>
      </c>
      <c r="AN140" s="53">
        <f t="shared" si="53"/>
        <v>17858.88</v>
      </c>
      <c r="AO140" s="53">
        <f t="shared" si="53"/>
        <v>17858.88</v>
      </c>
      <c r="AP140" s="53">
        <f t="shared" si="53"/>
        <v>17858.88</v>
      </c>
      <c r="AQ140" s="53">
        <f t="shared" si="53"/>
        <v>17858.88</v>
      </c>
      <c r="AR140" s="53">
        <f t="shared" si="53"/>
        <v>17858.88</v>
      </c>
      <c r="AS140" s="53">
        <f t="shared" si="53"/>
        <v>214306.56000000003</v>
      </c>
    </row>
    <row r="141" spans="1:45" ht="13.5" thickTop="1">
      <c r="A141" s="56"/>
      <c r="B141" s="55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Q141" s="57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F141" s="57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</row>
    <row r="142" spans="1:45">
      <c r="A142" s="54" t="s">
        <v>425</v>
      </c>
      <c r="B142" s="55" t="str">
        <f>'P&amp;L$'!B143</f>
        <v>COMPANY VEHICLES</v>
      </c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Q142" s="55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F142" s="55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</row>
    <row r="143" spans="1:45">
      <c r="A143" s="56" t="s">
        <v>426</v>
      </c>
      <c r="B143" s="57" t="str">
        <f>'P&amp;L$'!B144</f>
        <v>Fuel</v>
      </c>
      <c r="C143" s="21">
        <f>Oheads!C78</f>
        <v>8500</v>
      </c>
      <c r="D143" s="21">
        <f>Oheads!D78</f>
        <v>8500</v>
      </c>
      <c r="E143" s="21">
        <f>Oheads!E78</f>
        <v>8500</v>
      </c>
      <c r="F143" s="21">
        <f>Oheads!F78</f>
        <v>8500</v>
      </c>
      <c r="G143" s="21">
        <f>Oheads!G78</f>
        <v>8500</v>
      </c>
      <c r="H143" s="21">
        <f>Oheads!H78</f>
        <v>8500</v>
      </c>
      <c r="I143" s="21">
        <f>Oheads!I78</f>
        <v>8500</v>
      </c>
      <c r="J143" s="21">
        <f>Oheads!J78</f>
        <v>8500</v>
      </c>
      <c r="K143" s="21">
        <f>Oheads!K78</f>
        <v>8500</v>
      </c>
      <c r="L143" s="21">
        <f>Oheads!L78</f>
        <v>8500</v>
      </c>
      <c r="M143" s="21">
        <f>Oheads!M78</f>
        <v>8500</v>
      </c>
      <c r="N143" s="21">
        <f>Oheads!N78</f>
        <v>8500</v>
      </c>
      <c r="O143" s="21">
        <f>SUM(C143:N143)</f>
        <v>102000</v>
      </c>
      <c r="Q143" s="57"/>
      <c r="R143" s="21">
        <f>Oheads!Q78</f>
        <v>8500</v>
      </c>
      <c r="S143" s="21">
        <f>Oheads!R78</f>
        <v>8500</v>
      </c>
      <c r="T143" s="21">
        <f>Oheads!S78</f>
        <v>8500</v>
      </c>
      <c r="U143" s="21">
        <f>Oheads!T78</f>
        <v>8500</v>
      </c>
      <c r="V143" s="21">
        <f>Oheads!U78</f>
        <v>8500</v>
      </c>
      <c r="W143" s="21">
        <f>Oheads!V78</f>
        <v>8500</v>
      </c>
      <c r="X143" s="21">
        <f>Oheads!W78</f>
        <v>8500</v>
      </c>
      <c r="Y143" s="21">
        <f>Oheads!X78</f>
        <v>8500</v>
      </c>
      <c r="Z143" s="21">
        <f>Oheads!Y78</f>
        <v>8500</v>
      </c>
      <c r="AA143" s="21">
        <f>Oheads!Z78</f>
        <v>8500</v>
      </c>
      <c r="AB143" s="21">
        <f>Oheads!AA78</f>
        <v>8500</v>
      </c>
      <c r="AC143" s="21">
        <f>Oheads!AB78</f>
        <v>8500</v>
      </c>
      <c r="AD143" s="21">
        <f>SUM(R143:AC143)</f>
        <v>102000</v>
      </c>
      <c r="AF143" s="57"/>
      <c r="AG143" s="21">
        <f>Oheads!AE78</f>
        <v>8500</v>
      </c>
      <c r="AH143" s="21">
        <f>Oheads!AF78</f>
        <v>8500</v>
      </c>
      <c r="AI143" s="21">
        <f>Oheads!AG78</f>
        <v>8500</v>
      </c>
      <c r="AJ143" s="21">
        <f>Oheads!AH78</f>
        <v>8500</v>
      </c>
      <c r="AK143" s="21">
        <f>Oheads!AI78</f>
        <v>8500</v>
      </c>
      <c r="AL143" s="21">
        <f>Oheads!AJ78</f>
        <v>8500</v>
      </c>
      <c r="AM143" s="21">
        <f>Oheads!AK78</f>
        <v>8500</v>
      </c>
      <c r="AN143" s="21">
        <f>Oheads!AL78</f>
        <v>8500</v>
      </c>
      <c r="AO143" s="21">
        <f>Oheads!AM78</f>
        <v>8500</v>
      </c>
      <c r="AP143" s="21">
        <f>Oheads!AN78</f>
        <v>8500</v>
      </c>
      <c r="AQ143" s="21">
        <f>Oheads!AO78</f>
        <v>8500</v>
      </c>
      <c r="AR143" s="21">
        <f>Oheads!AP78</f>
        <v>8500</v>
      </c>
      <c r="AS143" s="21">
        <f>SUM(AG143:AR143)</f>
        <v>102000</v>
      </c>
    </row>
    <row r="144" spans="1:45">
      <c r="A144" s="56" t="s">
        <v>428</v>
      </c>
      <c r="B144" s="57" t="str">
        <f>'P&amp;L$'!B145</f>
        <v>Repair/Maintenace</v>
      </c>
      <c r="C144" s="21">
        <f>Oheads!C79</f>
        <v>5200</v>
      </c>
      <c r="D144" s="21">
        <f>Oheads!D79</f>
        <v>5200</v>
      </c>
      <c r="E144" s="21">
        <f>Oheads!E79</f>
        <v>5200</v>
      </c>
      <c r="F144" s="21">
        <f>Oheads!F79</f>
        <v>5200</v>
      </c>
      <c r="G144" s="21">
        <f>Oheads!G79</f>
        <v>5200</v>
      </c>
      <c r="H144" s="21">
        <f>Oheads!H79</f>
        <v>5200</v>
      </c>
      <c r="I144" s="21">
        <f>Oheads!I79</f>
        <v>5200</v>
      </c>
      <c r="J144" s="21">
        <f>Oheads!J79</f>
        <v>5200</v>
      </c>
      <c r="K144" s="21">
        <f>Oheads!K79</f>
        <v>5200</v>
      </c>
      <c r="L144" s="21">
        <f>Oheads!L79</f>
        <v>5200</v>
      </c>
      <c r="M144" s="21">
        <f>Oheads!M79</f>
        <v>5200</v>
      </c>
      <c r="N144" s="21">
        <f>Oheads!N79</f>
        <v>5200</v>
      </c>
      <c r="O144" s="21">
        <f>SUM(C144:N144)</f>
        <v>62400</v>
      </c>
      <c r="Q144" s="57"/>
      <c r="R144" s="21">
        <f>Oheads!Q79</f>
        <v>5200</v>
      </c>
      <c r="S144" s="21">
        <f>Oheads!R79</f>
        <v>5200</v>
      </c>
      <c r="T144" s="21">
        <f>Oheads!S79</f>
        <v>5200</v>
      </c>
      <c r="U144" s="21">
        <f>Oheads!T79</f>
        <v>5200</v>
      </c>
      <c r="V144" s="21">
        <f>Oheads!U79</f>
        <v>5200</v>
      </c>
      <c r="W144" s="21">
        <f>Oheads!V79</f>
        <v>5200</v>
      </c>
      <c r="X144" s="21">
        <f>Oheads!W79</f>
        <v>5200</v>
      </c>
      <c r="Y144" s="21">
        <f>Oheads!X79</f>
        <v>5200</v>
      </c>
      <c r="Z144" s="21">
        <f>Oheads!Y79</f>
        <v>5200</v>
      </c>
      <c r="AA144" s="21">
        <f>Oheads!Z79</f>
        <v>5200</v>
      </c>
      <c r="AB144" s="21">
        <f>Oheads!AA79</f>
        <v>5200</v>
      </c>
      <c r="AC144" s="21">
        <f>Oheads!AB79</f>
        <v>5200</v>
      </c>
      <c r="AD144" s="21">
        <f>SUM(R144:AC144)</f>
        <v>62400</v>
      </c>
      <c r="AF144" s="57"/>
      <c r="AG144" s="21">
        <f>Oheads!AE79</f>
        <v>5200</v>
      </c>
      <c r="AH144" s="21">
        <f>Oheads!AF79</f>
        <v>5200</v>
      </c>
      <c r="AI144" s="21">
        <f>Oheads!AG79</f>
        <v>5200</v>
      </c>
      <c r="AJ144" s="21">
        <f>Oheads!AH79</f>
        <v>5200</v>
      </c>
      <c r="AK144" s="21">
        <f>Oheads!AI79</f>
        <v>5200</v>
      </c>
      <c r="AL144" s="21">
        <f>Oheads!AJ79</f>
        <v>5200</v>
      </c>
      <c r="AM144" s="21">
        <f>Oheads!AK79</f>
        <v>5200</v>
      </c>
      <c r="AN144" s="21">
        <f>Oheads!AL79</f>
        <v>5200</v>
      </c>
      <c r="AO144" s="21">
        <f>Oheads!AM79</f>
        <v>5200</v>
      </c>
      <c r="AP144" s="21">
        <f>Oheads!AN79</f>
        <v>5200</v>
      </c>
      <c r="AQ144" s="21">
        <f>Oheads!AO79</f>
        <v>5200</v>
      </c>
      <c r="AR144" s="21">
        <f>Oheads!AP79</f>
        <v>5200</v>
      </c>
      <c r="AS144" s="21">
        <f>SUM(AG144:AR144)</f>
        <v>62400</v>
      </c>
    </row>
    <row r="145" spans="1:45" ht="13.5" thickBot="1">
      <c r="A145" s="56"/>
      <c r="B145" s="136" t="s">
        <v>97</v>
      </c>
      <c r="C145" s="19">
        <f>SUM(C143:C144)</f>
        <v>13700</v>
      </c>
      <c r="D145" s="19">
        <f t="shared" ref="D145:O145" si="54">SUM(D143:D144)</f>
        <v>13700</v>
      </c>
      <c r="E145" s="19">
        <f t="shared" si="54"/>
        <v>13700</v>
      </c>
      <c r="F145" s="19">
        <f t="shared" si="54"/>
        <v>13700</v>
      </c>
      <c r="G145" s="19">
        <f t="shared" si="54"/>
        <v>13700</v>
      </c>
      <c r="H145" s="19">
        <f t="shared" si="54"/>
        <v>13700</v>
      </c>
      <c r="I145" s="19">
        <f t="shared" si="54"/>
        <v>13700</v>
      </c>
      <c r="J145" s="19">
        <f t="shared" si="54"/>
        <v>13700</v>
      </c>
      <c r="K145" s="19">
        <f t="shared" si="54"/>
        <v>13700</v>
      </c>
      <c r="L145" s="19">
        <f t="shared" si="54"/>
        <v>13700</v>
      </c>
      <c r="M145" s="19">
        <f t="shared" si="54"/>
        <v>13700</v>
      </c>
      <c r="N145" s="19">
        <f t="shared" si="54"/>
        <v>13700</v>
      </c>
      <c r="O145" s="19">
        <f t="shared" si="54"/>
        <v>164400</v>
      </c>
      <c r="Q145" s="57"/>
      <c r="R145" s="19">
        <f t="shared" ref="R145:AD145" si="55">SUM(R143:R144)</f>
        <v>13700</v>
      </c>
      <c r="S145" s="53">
        <f t="shared" si="55"/>
        <v>13700</v>
      </c>
      <c r="T145" s="53">
        <f t="shared" si="55"/>
        <v>13700</v>
      </c>
      <c r="U145" s="53">
        <f t="shared" si="55"/>
        <v>13700</v>
      </c>
      <c r="V145" s="53">
        <f t="shared" si="55"/>
        <v>13700</v>
      </c>
      <c r="W145" s="53">
        <f t="shared" si="55"/>
        <v>13700</v>
      </c>
      <c r="X145" s="53">
        <f t="shared" si="55"/>
        <v>13700</v>
      </c>
      <c r="Y145" s="53">
        <f t="shared" si="55"/>
        <v>13700</v>
      </c>
      <c r="Z145" s="53">
        <f t="shared" si="55"/>
        <v>13700</v>
      </c>
      <c r="AA145" s="53">
        <f t="shared" si="55"/>
        <v>13700</v>
      </c>
      <c r="AB145" s="53">
        <f t="shared" si="55"/>
        <v>13700</v>
      </c>
      <c r="AC145" s="53">
        <f t="shared" si="55"/>
        <v>13700</v>
      </c>
      <c r="AD145" s="53">
        <f t="shared" si="55"/>
        <v>164400</v>
      </c>
      <c r="AF145" s="57"/>
      <c r="AG145" s="19">
        <f t="shared" ref="AG145:AS145" si="56">SUM(AG143:AG144)</f>
        <v>13700</v>
      </c>
      <c r="AH145" s="53">
        <f t="shared" si="56"/>
        <v>13700</v>
      </c>
      <c r="AI145" s="53">
        <f t="shared" si="56"/>
        <v>13700</v>
      </c>
      <c r="AJ145" s="53">
        <f t="shared" si="56"/>
        <v>13700</v>
      </c>
      <c r="AK145" s="53">
        <f t="shared" si="56"/>
        <v>13700</v>
      </c>
      <c r="AL145" s="53">
        <f t="shared" si="56"/>
        <v>13700</v>
      </c>
      <c r="AM145" s="53">
        <f t="shared" si="56"/>
        <v>13700</v>
      </c>
      <c r="AN145" s="53">
        <f t="shared" si="56"/>
        <v>13700</v>
      </c>
      <c r="AO145" s="53">
        <f t="shared" si="56"/>
        <v>13700</v>
      </c>
      <c r="AP145" s="53">
        <f t="shared" si="56"/>
        <v>13700</v>
      </c>
      <c r="AQ145" s="53">
        <f t="shared" si="56"/>
        <v>13700</v>
      </c>
      <c r="AR145" s="53">
        <f t="shared" si="56"/>
        <v>13700</v>
      </c>
      <c r="AS145" s="53">
        <f t="shared" si="56"/>
        <v>164400</v>
      </c>
    </row>
    <row r="146" spans="1:45" ht="13.5" thickTop="1">
      <c r="A146" s="56"/>
      <c r="B146" s="55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0"/>
      <c r="Q146" s="57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0"/>
      <c r="AF146" s="57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0"/>
    </row>
    <row r="147" spans="1:45">
      <c r="A147" s="54" t="s">
        <v>430</v>
      </c>
      <c r="B147" s="55" t="str">
        <f>'P&amp;L$'!B148</f>
        <v>BUSINESS TRAVELS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0"/>
      <c r="Q147" s="55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0"/>
      <c r="AF147" s="55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0"/>
    </row>
    <row r="148" spans="1:45">
      <c r="A148" s="56" t="s">
        <v>432</v>
      </c>
      <c r="B148" s="57" t="str">
        <f>'P&amp;L$'!B149</f>
        <v>Domestic Travel</v>
      </c>
      <c r="C148" s="21">
        <f>Oheads!C83</f>
        <v>5800</v>
      </c>
      <c r="D148" s="21">
        <f>Oheads!D83</f>
        <v>5800</v>
      </c>
      <c r="E148" s="21">
        <f>Oheads!E83</f>
        <v>5800</v>
      </c>
      <c r="F148" s="21">
        <f>Oheads!F83</f>
        <v>5800</v>
      </c>
      <c r="G148" s="21">
        <f>Oheads!G83</f>
        <v>5800</v>
      </c>
      <c r="H148" s="21">
        <f>Oheads!H83</f>
        <v>5800</v>
      </c>
      <c r="I148" s="21">
        <f>Oheads!I83</f>
        <v>5800</v>
      </c>
      <c r="J148" s="21">
        <f>Oheads!J83</f>
        <v>5800</v>
      </c>
      <c r="K148" s="21">
        <f>Oheads!K83</f>
        <v>5800</v>
      </c>
      <c r="L148" s="21">
        <f>Oheads!L83</f>
        <v>5800</v>
      </c>
      <c r="M148" s="21">
        <f>Oheads!M83</f>
        <v>5800</v>
      </c>
      <c r="N148" s="21">
        <f>Oheads!N83</f>
        <v>5800</v>
      </c>
      <c r="O148" s="21">
        <f>SUM(C148:N148)</f>
        <v>69600</v>
      </c>
      <c r="Q148" s="65"/>
      <c r="R148" s="21">
        <f>Oheads!Q83</f>
        <v>5800</v>
      </c>
      <c r="S148" s="21">
        <f>Oheads!R83</f>
        <v>5800</v>
      </c>
      <c r="T148" s="21">
        <f>Oheads!S83</f>
        <v>5800</v>
      </c>
      <c r="U148" s="21">
        <f>Oheads!T83</f>
        <v>5800</v>
      </c>
      <c r="V148" s="21">
        <f>Oheads!U83</f>
        <v>5800</v>
      </c>
      <c r="W148" s="21">
        <f>Oheads!V83</f>
        <v>5800</v>
      </c>
      <c r="X148" s="21">
        <f>Oheads!W83</f>
        <v>5800</v>
      </c>
      <c r="Y148" s="21">
        <f>Oheads!X83</f>
        <v>5800</v>
      </c>
      <c r="Z148" s="21">
        <f>Oheads!Y83</f>
        <v>5800</v>
      </c>
      <c r="AA148" s="21">
        <f>Oheads!Z83</f>
        <v>5800</v>
      </c>
      <c r="AB148" s="21">
        <f>Oheads!AA83</f>
        <v>5800</v>
      </c>
      <c r="AC148" s="21">
        <f>Oheads!AB83</f>
        <v>5800</v>
      </c>
      <c r="AD148" s="21">
        <f>SUM(R148:AC148)</f>
        <v>69600</v>
      </c>
      <c r="AF148" s="65"/>
      <c r="AG148" s="21">
        <f>Oheads!AE83</f>
        <v>5800</v>
      </c>
      <c r="AH148" s="21">
        <f>Oheads!AF83</f>
        <v>5800</v>
      </c>
      <c r="AI148" s="21">
        <f>Oheads!AG83</f>
        <v>5800</v>
      </c>
      <c r="AJ148" s="21">
        <f>Oheads!AH83</f>
        <v>5800</v>
      </c>
      <c r="AK148" s="21">
        <f>Oheads!AI83</f>
        <v>5800</v>
      </c>
      <c r="AL148" s="21">
        <f>Oheads!AJ83</f>
        <v>5800</v>
      </c>
      <c r="AM148" s="21">
        <f>Oheads!AK83</f>
        <v>5800</v>
      </c>
      <c r="AN148" s="21">
        <f>Oheads!AL83</f>
        <v>5800</v>
      </c>
      <c r="AO148" s="21">
        <f>Oheads!AM83</f>
        <v>5800</v>
      </c>
      <c r="AP148" s="21">
        <f>Oheads!AN83</f>
        <v>5800</v>
      </c>
      <c r="AQ148" s="21">
        <f>Oheads!AO83</f>
        <v>5800</v>
      </c>
      <c r="AR148" s="21">
        <f>Oheads!AP83</f>
        <v>5800</v>
      </c>
      <c r="AS148" s="21">
        <f>SUM(AG148:AR148)</f>
        <v>69600</v>
      </c>
    </row>
    <row r="149" spans="1:45">
      <c r="A149" s="56" t="s">
        <v>434</v>
      </c>
      <c r="B149" s="57" t="str">
        <f>'P&amp;L$'!B150</f>
        <v>Foreign travel</v>
      </c>
      <c r="C149" s="21">
        <f>Oheads!C84</f>
        <v>2100</v>
      </c>
      <c r="D149" s="21">
        <f>Oheads!D84</f>
        <v>2100</v>
      </c>
      <c r="E149" s="21">
        <f>Oheads!E84</f>
        <v>2100</v>
      </c>
      <c r="F149" s="21">
        <f>Oheads!F84</f>
        <v>2100</v>
      </c>
      <c r="G149" s="21">
        <f>Oheads!G84</f>
        <v>2100</v>
      </c>
      <c r="H149" s="21">
        <f>Oheads!H84</f>
        <v>2100</v>
      </c>
      <c r="I149" s="21">
        <f>Oheads!I84</f>
        <v>2100</v>
      </c>
      <c r="J149" s="21">
        <f>Oheads!J84</f>
        <v>2100</v>
      </c>
      <c r="K149" s="21">
        <f>Oheads!K84</f>
        <v>2100</v>
      </c>
      <c r="L149" s="21">
        <f>Oheads!L84</f>
        <v>2100</v>
      </c>
      <c r="M149" s="21">
        <f>Oheads!M84</f>
        <v>2100</v>
      </c>
      <c r="N149" s="21">
        <f>Oheads!N84</f>
        <v>2100</v>
      </c>
      <c r="O149" s="21">
        <f>SUM(C149:N149)</f>
        <v>25200</v>
      </c>
      <c r="Q149" s="65"/>
      <c r="R149" s="21">
        <f>Oheads!Q84</f>
        <v>2100</v>
      </c>
      <c r="S149" s="21">
        <f>Oheads!R84</f>
        <v>2100</v>
      </c>
      <c r="T149" s="21">
        <f>Oheads!S84</f>
        <v>2100</v>
      </c>
      <c r="U149" s="21">
        <f>Oheads!T84</f>
        <v>2100</v>
      </c>
      <c r="V149" s="21">
        <f>Oheads!U84</f>
        <v>2100</v>
      </c>
      <c r="W149" s="21">
        <f>Oheads!V84</f>
        <v>2100</v>
      </c>
      <c r="X149" s="21">
        <f>Oheads!W84</f>
        <v>2100</v>
      </c>
      <c r="Y149" s="21">
        <f>Oheads!X84</f>
        <v>2100</v>
      </c>
      <c r="Z149" s="21">
        <f>Oheads!Y84</f>
        <v>2100</v>
      </c>
      <c r="AA149" s="21">
        <f>Oheads!Z84</f>
        <v>2100</v>
      </c>
      <c r="AB149" s="21">
        <f>Oheads!AA84</f>
        <v>2100</v>
      </c>
      <c r="AC149" s="21">
        <f>Oheads!AB84</f>
        <v>2100</v>
      </c>
      <c r="AD149" s="21">
        <f>SUM(R149:AC149)</f>
        <v>25200</v>
      </c>
      <c r="AF149" s="65"/>
      <c r="AG149" s="21">
        <f>Oheads!AE84</f>
        <v>2100</v>
      </c>
      <c r="AH149" s="21">
        <f>Oheads!AF84</f>
        <v>2100</v>
      </c>
      <c r="AI149" s="21">
        <f>Oheads!AG84</f>
        <v>2100</v>
      </c>
      <c r="AJ149" s="21">
        <f>Oheads!AH84</f>
        <v>2100</v>
      </c>
      <c r="AK149" s="21">
        <f>Oheads!AI84</f>
        <v>2100</v>
      </c>
      <c r="AL149" s="21">
        <f>Oheads!AJ84</f>
        <v>2100</v>
      </c>
      <c r="AM149" s="21">
        <f>Oheads!AK84</f>
        <v>2100</v>
      </c>
      <c r="AN149" s="21">
        <f>Oheads!AL84</f>
        <v>2100</v>
      </c>
      <c r="AO149" s="21">
        <f>Oheads!AM84</f>
        <v>2100</v>
      </c>
      <c r="AP149" s="21">
        <f>Oheads!AN84</f>
        <v>2100</v>
      </c>
      <c r="AQ149" s="21">
        <f>Oheads!AO84</f>
        <v>2100</v>
      </c>
      <c r="AR149" s="21">
        <f>Oheads!AP84</f>
        <v>2100</v>
      </c>
      <c r="AS149" s="21">
        <f>SUM(AG149:AR149)</f>
        <v>25200</v>
      </c>
    </row>
    <row r="150" spans="1:45" hidden="1">
      <c r="A150" s="56" t="s">
        <v>436</v>
      </c>
      <c r="B150" s="60" t="s">
        <v>437</v>
      </c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>
        <f>SUM(C150:N150)</f>
        <v>0</v>
      </c>
      <c r="Q150" s="65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>
        <f>SUM(R150:AC150)</f>
        <v>0</v>
      </c>
      <c r="AF150" s="65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>
        <f>SUM(AG150:AR150)</f>
        <v>0</v>
      </c>
    </row>
    <row r="151" spans="1:45" ht="13.5" thickBot="1">
      <c r="A151" s="56"/>
      <c r="B151" s="136" t="s">
        <v>97</v>
      </c>
      <c r="C151" s="19">
        <f>SUM(C148:C150)</f>
        <v>7900</v>
      </c>
      <c r="D151" s="19">
        <f t="shared" ref="D151:O151" si="57">SUM(D148:D150)</f>
        <v>7900</v>
      </c>
      <c r="E151" s="19">
        <f t="shared" si="57"/>
        <v>7900</v>
      </c>
      <c r="F151" s="19">
        <f t="shared" si="57"/>
        <v>7900</v>
      </c>
      <c r="G151" s="19">
        <f t="shared" si="57"/>
        <v>7900</v>
      </c>
      <c r="H151" s="19">
        <f t="shared" si="57"/>
        <v>7900</v>
      </c>
      <c r="I151" s="19">
        <f t="shared" si="57"/>
        <v>7900</v>
      </c>
      <c r="J151" s="19">
        <f t="shared" si="57"/>
        <v>7900</v>
      </c>
      <c r="K151" s="19">
        <f t="shared" si="57"/>
        <v>7900</v>
      </c>
      <c r="L151" s="19">
        <f t="shared" si="57"/>
        <v>7900</v>
      </c>
      <c r="M151" s="19">
        <f t="shared" si="57"/>
        <v>7900</v>
      </c>
      <c r="N151" s="19">
        <f t="shared" si="57"/>
        <v>7900</v>
      </c>
      <c r="O151" s="19">
        <f t="shared" si="57"/>
        <v>94800</v>
      </c>
      <c r="Q151" s="57"/>
      <c r="R151" s="19">
        <f t="shared" ref="R151:AD151" si="58">SUM(R148:R150)</f>
        <v>7900</v>
      </c>
      <c r="S151" s="19">
        <f t="shared" si="58"/>
        <v>7900</v>
      </c>
      <c r="T151" s="19">
        <f t="shared" si="58"/>
        <v>7900</v>
      </c>
      <c r="U151" s="19">
        <f t="shared" si="58"/>
        <v>7900</v>
      </c>
      <c r="V151" s="19">
        <f t="shared" si="58"/>
        <v>7900</v>
      </c>
      <c r="W151" s="19">
        <f t="shared" si="58"/>
        <v>7900</v>
      </c>
      <c r="X151" s="19">
        <f t="shared" si="58"/>
        <v>7900</v>
      </c>
      <c r="Y151" s="19">
        <f t="shared" si="58"/>
        <v>7900</v>
      </c>
      <c r="Z151" s="19">
        <f t="shared" si="58"/>
        <v>7900</v>
      </c>
      <c r="AA151" s="19">
        <f t="shared" si="58"/>
        <v>7900</v>
      </c>
      <c r="AB151" s="19">
        <f t="shared" si="58"/>
        <v>7900</v>
      </c>
      <c r="AC151" s="19">
        <f t="shared" si="58"/>
        <v>7900</v>
      </c>
      <c r="AD151" s="19">
        <f t="shared" si="58"/>
        <v>94800</v>
      </c>
      <c r="AF151" s="57"/>
      <c r="AG151" s="19">
        <f t="shared" ref="AG151:AS151" si="59">SUM(AG148:AG150)</f>
        <v>7900</v>
      </c>
      <c r="AH151" s="19">
        <f t="shared" si="59"/>
        <v>7900</v>
      </c>
      <c r="AI151" s="19">
        <f t="shared" si="59"/>
        <v>7900</v>
      </c>
      <c r="AJ151" s="19">
        <f t="shared" si="59"/>
        <v>7900</v>
      </c>
      <c r="AK151" s="19">
        <f t="shared" si="59"/>
        <v>7900</v>
      </c>
      <c r="AL151" s="19">
        <f t="shared" si="59"/>
        <v>7900</v>
      </c>
      <c r="AM151" s="19">
        <f t="shared" si="59"/>
        <v>7900</v>
      </c>
      <c r="AN151" s="19">
        <f t="shared" si="59"/>
        <v>7900</v>
      </c>
      <c r="AO151" s="19">
        <f t="shared" si="59"/>
        <v>7900</v>
      </c>
      <c r="AP151" s="19">
        <f t="shared" si="59"/>
        <v>7900</v>
      </c>
      <c r="AQ151" s="19">
        <f t="shared" si="59"/>
        <v>7900</v>
      </c>
      <c r="AR151" s="19">
        <f t="shared" si="59"/>
        <v>7900</v>
      </c>
      <c r="AS151" s="19">
        <f t="shared" si="59"/>
        <v>94800</v>
      </c>
    </row>
    <row r="152" spans="1:45" ht="13.5" thickTop="1">
      <c r="A152" s="56"/>
      <c r="B152" s="55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0"/>
      <c r="Q152" s="57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0"/>
      <c r="AF152" s="57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0"/>
    </row>
    <row r="153" spans="1:45">
      <c r="A153" s="54" t="s">
        <v>438</v>
      </c>
      <c r="B153" s="55" t="str">
        <f>'P&amp;L$'!B154</f>
        <v>REPRESENTATION AND ADVERTISING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0"/>
      <c r="Q153" s="55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0"/>
      <c r="AF153" s="55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0"/>
    </row>
    <row r="154" spans="1:45">
      <c r="A154" s="56" t="s">
        <v>440</v>
      </c>
      <c r="B154" s="57" t="str">
        <f>'P&amp;L$'!B155</f>
        <v>Representation &amp; Adverising</v>
      </c>
      <c r="C154" s="3">
        <f>Oheads!C88</f>
        <v>9000</v>
      </c>
      <c r="D154" s="3">
        <f>Oheads!D88</f>
        <v>9000</v>
      </c>
      <c r="E154" s="3">
        <f>Oheads!E88</f>
        <v>9000</v>
      </c>
      <c r="F154" s="3">
        <f>Oheads!F88</f>
        <v>9000</v>
      </c>
      <c r="G154" s="3">
        <f>Oheads!G88</f>
        <v>9000</v>
      </c>
      <c r="H154" s="3">
        <f>Oheads!H88</f>
        <v>9000</v>
      </c>
      <c r="I154" s="3">
        <f>Oheads!I88</f>
        <v>9000</v>
      </c>
      <c r="J154" s="3">
        <f>Oheads!J88</f>
        <v>9000</v>
      </c>
      <c r="K154" s="3">
        <f>Oheads!K88</f>
        <v>9000</v>
      </c>
      <c r="L154" s="3">
        <f>Oheads!L88</f>
        <v>9000</v>
      </c>
      <c r="M154" s="3">
        <f>Oheads!M88</f>
        <v>9000</v>
      </c>
      <c r="N154" s="3">
        <f>Oheads!N88</f>
        <v>9000</v>
      </c>
      <c r="O154" s="21">
        <f>SUM(C154:N154)</f>
        <v>108000</v>
      </c>
      <c r="Q154" s="57"/>
      <c r="R154" s="3">
        <f>Oheads!Q88</f>
        <v>9000</v>
      </c>
      <c r="S154" s="3">
        <f>Oheads!R88</f>
        <v>9000</v>
      </c>
      <c r="T154" s="3">
        <f>Oheads!S88</f>
        <v>9000</v>
      </c>
      <c r="U154" s="3">
        <f>Oheads!T88</f>
        <v>9000</v>
      </c>
      <c r="V154" s="3">
        <f>Oheads!U88</f>
        <v>9000</v>
      </c>
      <c r="W154" s="3">
        <f>Oheads!V88</f>
        <v>9000</v>
      </c>
      <c r="X154" s="3">
        <f>Oheads!W88</f>
        <v>9000</v>
      </c>
      <c r="Y154" s="3">
        <f>Oheads!X88</f>
        <v>9000</v>
      </c>
      <c r="Z154" s="3">
        <f>Oheads!Y88</f>
        <v>9000</v>
      </c>
      <c r="AA154" s="3">
        <f>Oheads!Z88</f>
        <v>9000</v>
      </c>
      <c r="AB154" s="3">
        <f>Oheads!AA88</f>
        <v>9000</v>
      </c>
      <c r="AC154" s="3">
        <f>Oheads!AB88</f>
        <v>9000</v>
      </c>
      <c r="AD154" s="21">
        <f>SUM(R154:AC154)</f>
        <v>108000</v>
      </c>
      <c r="AF154" s="57"/>
      <c r="AG154" s="3">
        <f>Oheads!AE88</f>
        <v>9000</v>
      </c>
      <c r="AH154" s="3">
        <f>Oheads!AF88</f>
        <v>9000</v>
      </c>
      <c r="AI154" s="3">
        <f>Oheads!AG88</f>
        <v>9000</v>
      </c>
      <c r="AJ154" s="3">
        <f>Oheads!AH88</f>
        <v>9000</v>
      </c>
      <c r="AK154" s="3">
        <f>Oheads!AI88</f>
        <v>9000</v>
      </c>
      <c r="AL154" s="3">
        <f>Oheads!AJ88</f>
        <v>9000</v>
      </c>
      <c r="AM154" s="3">
        <f>Oheads!AK88</f>
        <v>9000</v>
      </c>
      <c r="AN154" s="3">
        <f>Oheads!AL88</f>
        <v>9000</v>
      </c>
      <c r="AO154" s="3">
        <f>Oheads!AM88</f>
        <v>9000</v>
      </c>
      <c r="AP154" s="3">
        <f>Oheads!AN88</f>
        <v>9000</v>
      </c>
      <c r="AQ154" s="3">
        <f>Oheads!AO88</f>
        <v>9000</v>
      </c>
      <c r="AR154" s="3">
        <f>Oheads!AP88</f>
        <v>9000</v>
      </c>
      <c r="AS154" s="21">
        <f>SUM(AG154:AR154)</f>
        <v>108000</v>
      </c>
    </row>
    <row r="155" spans="1:45" ht="13.5" thickBot="1">
      <c r="A155" s="56"/>
      <c r="B155" s="137" t="s">
        <v>97</v>
      </c>
      <c r="C155" s="19">
        <f>C154</f>
        <v>9000</v>
      </c>
      <c r="D155" s="19">
        <f t="shared" ref="D155:O155" si="60">D154</f>
        <v>9000</v>
      </c>
      <c r="E155" s="19">
        <f t="shared" si="60"/>
        <v>9000</v>
      </c>
      <c r="F155" s="19">
        <f t="shared" si="60"/>
        <v>9000</v>
      </c>
      <c r="G155" s="19">
        <f t="shared" si="60"/>
        <v>9000</v>
      </c>
      <c r="H155" s="19">
        <f t="shared" si="60"/>
        <v>9000</v>
      </c>
      <c r="I155" s="19">
        <f t="shared" si="60"/>
        <v>9000</v>
      </c>
      <c r="J155" s="19">
        <f t="shared" si="60"/>
        <v>9000</v>
      </c>
      <c r="K155" s="19">
        <f t="shared" si="60"/>
        <v>9000</v>
      </c>
      <c r="L155" s="19">
        <f t="shared" si="60"/>
        <v>9000</v>
      </c>
      <c r="M155" s="19">
        <f t="shared" si="60"/>
        <v>9000</v>
      </c>
      <c r="N155" s="19">
        <f t="shared" si="60"/>
        <v>9000</v>
      </c>
      <c r="O155" s="19">
        <f t="shared" si="60"/>
        <v>108000</v>
      </c>
      <c r="Q155" s="57"/>
      <c r="R155" s="19">
        <f t="shared" ref="R155:AD155" si="61">R154</f>
        <v>9000</v>
      </c>
      <c r="S155" s="19">
        <f t="shared" si="61"/>
        <v>9000</v>
      </c>
      <c r="T155" s="19">
        <f t="shared" si="61"/>
        <v>9000</v>
      </c>
      <c r="U155" s="19">
        <f t="shared" si="61"/>
        <v>9000</v>
      </c>
      <c r="V155" s="19">
        <f t="shared" si="61"/>
        <v>9000</v>
      </c>
      <c r="W155" s="19">
        <f t="shared" si="61"/>
        <v>9000</v>
      </c>
      <c r="X155" s="19">
        <f t="shared" si="61"/>
        <v>9000</v>
      </c>
      <c r="Y155" s="19">
        <f t="shared" si="61"/>
        <v>9000</v>
      </c>
      <c r="Z155" s="19">
        <f t="shared" si="61"/>
        <v>9000</v>
      </c>
      <c r="AA155" s="19">
        <f t="shared" si="61"/>
        <v>9000</v>
      </c>
      <c r="AB155" s="19">
        <f t="shared" si="61"/>
        <v>9000</v>
      </c>
      <c r="AC155" s="19">
        <f t="shared" si="61"/>
        <v>9000</v>
      </c>
      <c r="AD155" s="19">
        <f t="shared" si="61"/>
        <v>108000</v>
      </c>
      <c r="AF155" s="57"/>
      <c r="AG155" s="19">
        <f t="shared" ref="AG155:AS155" si="62">AG154</f>
        <v>9000</v>
      </c>
      <c r="AH155" s="19">
        <f t="shared" si="62"/>
        <v>9000</v>
      </c>
      <c r="AI155" s="19">
        <f t="shared" si="62"/>
        <v>9000</v>
      </c>
      <c r="AJ155" s="19">
        <f t="shared" si="62"/>
        <v>9000</v>
      </c>
      <c r="AK155" s="19">
        <f t="shared" si="62"/>
        <v>9000</v>
      </c>
      <c r="AL155" s="19">
        <f t="shared" si="62"/>
        <v>9000</v>
      </c>
      <c r="AM155" s="19">
        <f t="shared" si="62"/>
        <v>9000</v>
      </c>
      <c r="AN155" s="19">
        <f t="shared" si="62"/>
        <v>9000</v>
      </c>
      <c r="AO155" s="19">
        <f t="shared" si="62"/>
        <v>9000</v>
      </c>
      <c r="AP155" s="19">
        <f t="shared" si="62"/>
        <v>9000</v>
      </c>
      <c r="AQ155" s="19">
        <f t="shared" si="62"/>
        <v>9000</v>
      </c>
      <c r="AR155" s="19">
        <f t="shared" si="62"/>
        <v>9000</v>
      </c>
      <c r="AS155" s="19">
        <f t="shared" si="62"/>
        <v>108000</v>
      </c>
    </row>
    <row r="156" spans="1:45" ht="13.5" thickTop="1">
      <c r="A156" s="56"/>
      <c r="B156" s="57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Q156" s="57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F156" s="57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</row>
    <row r="157" spans="1:45">
      <c r="A157" s="20"/>
      <c r="B157" s="19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Q157" s="20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F157" s="20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</row>
    <row r="158" spans="1:45" ht="13.5" thickBot="1">
      <c r="A158" s="20"/>
      <c r="B158" s="136" t="str">
        <f>'P&amp;L$'!B159</f>
        <v>TOTAL COSTS</v>
      </c>
      <c r="C158" s="10">
        <f t="shared" ref="C158:O158" si="63">C31+C36+C39+C49+C57+C63+C74+C94+C111+C119+C127+C133+C140+C145+C151+C155</f>
        <v>15854030.165553961</v>
      </c>
      <c r="D158" s="10">
        <f t="shared" si="63"/>
        <v>14471861.02059819</v>
      </c>
      <c r="E158" s="10">
        <f t="shared" si="63"/>
        <v>15338302.179895392</v>
      </c>
      <c r="F158" s="10">
        <f t="shared" si="63"/>
        <v>14411915.875607742</v>
      </c>
      <c r="G158" s="10">
        <f t="shared" si="63"/>
        <v>14700719.17311836</v>
      </c>
      <c r="H158" s="10">
        <f t="shared" si="63"/>
        <v>14324637.919933559</v>
      </c>
      <c r="I158" s="10">
        <f t="shared" si="63"/>
        <v>15320549.589290446</v>
      </c>
      <c r="J158" s="10">
        <f t="shared" si="63"/>
        <v>15010231.020418366</v>
      </c>
      <c r="K158" s="10">
        <f t="shared" si="63"/>
        <v>14907561.665342925</v>
      </c>
      <c r="L158" s="10">
        <f t="shared" si="63"/>
        <v>16176635.028200861</v>
      </c>
      <c r="M158" s="10">
        <f t="shared" si="63"/>
        <v>15164764.347544191</v>
      </c>
      <c r="N158" s="10">
        <f t="shared" si="63"/>
        <v>15408354.635205895</v>
      </c>
      <c r="O158" s="10">
        <f t="shared" si="63"/>
        <v>181089562.6207099</v>
      </c>
      <c r="P158" s="3"/>
      <c r="Q158" s="20"/>
      <c r="R158" s="21">
        <f t="shared" ref="R158:AC158" si="64">R31+R36+R39+R49+R57+R63+R74+R94+R111+R119+R127+R133+R140+R145+R151+R155</f>
        <v>13754645.009499356</v>
      </c>
      <c r="S158" s="21">
        <f t="shared" si="64"/>
        <v>12727860.421496255</v>
      </c>
      <c r="T158" s="21">
        <f t="shared" si="64"/>
        <v>13647481.582459232</v>
      </c>
      <c r="U158" s="21">
        <f t="shared" si="64"/>
        <v>12793922.326205106</v>
      </c>
      <c r="V158" s="21">
        <f t="shared" si="64"/>
        <v>12906633.86266306</v>
      </c>
      <c r="W158" s="21">
        <f t="shared" si="64"/>
        <v>12749575.931060061</v>
      </c>
      <c r="X158" s="21">
        <f t="shared" si="64"/>
        <v>13541985.188123129</v>
      </c>
      <c r="Y158" s="21">
        <f t="shared" si="64"/>
        <v>13249741.063490575</v>
      </c>
      <c r="Z158" s="21">
        <f t="shared" si="64"/>
        <v>13062301.985446295</v>
      </c>
      <c r="AA158" s="21">
        <f t="shared" si="64"/>
        <v>14627752.1540673</v>
      </c>
      <c r="AB158" s="21">
        <f t="shared" si="64"/>
        <v>13793863.630175449</v>
      </c>
      <c r="AC158" s="21">
        <f t="shared" si="64"/>
        <v>14208278.589152345</v>
      </c>
      <c r="AD158" s="21">
        <f>SUM(R158:AC158)</f>
        <v>161064041.74383813</v>
      </c>
      <c r="AF158" s="20"/>
      <c r="AG158" s="21">
        <f t="shared" ref="AG158:AR158" si="65">AG31+AG36+AG39+AG49+AG57+AG63+AG74+AG94+AG111+AG119+AG127+AG133+AG140+AG145+AG151+AG155</f>
        <v>14045962.502855401</v>
      </c>
      <c r="AH158" s="21">
        <f t="shared" si="65"/>
        <v>12967758.501981402</v>
      </c>
      <c r="AI158" s="21">
        <f t="shared" si="65"/>
        <v>13943713.391351247</v>
      </c>
      <c r="AJ158" s="21">
        <f t="shared" si="65"/>
        <v>13049012.232096719</v>
      </c>
      <c r="AK158" s="21">
        <f t="shared" si="65"/>
        <v>13156412.963854691</v>
      </c>
      <c r="AL158" s="21">
        <f t="shared" si="65"/>
        <v>12991663.128770512</v>
      </c>
      <c r="AM158" s="21">
        <f t="shared" si="65"/>
        <v>13823555.825449483</v>
      </c>
      <c r="AN158" s="21">
        <f t="shared" si="65"/>
        <v>13516741.730328551</v>
      </c>
      <c r="AO158" s="21">
        <f t="shared" si="65"/>
        <v>13311292.32466316</v>
      </c>
      <c r="AP158" s="21">
        <f t="shared" si="65"/>
        <v>14954952.380909676</v>
      </c>
      <c r="AQ158" s="21">
        <f t="shared" si="65"/>
        <v>14868700.90830026</v>
      </c>
      <c r="AR158" s="21">
        <f t="shared" si="65"/>
        <v>14310014.680182289</v>
      </c>
      <c r="AS158" s="21">
        <f>SUM(AG158:AR158)</f>
        <v>164939780.57074335</v>
      </c>
    </row>
    <row r="159" spans="1:45" ht="13.5" thickTop="1">
      <c r="A159" s="20"/>
      <c r="B159" s="19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3"/>
      <c r="Q159" s="20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F159" s="20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 s="140" customFormat="1" ht="16.5" thickBot="1">
      <c r="A160" s="204"/>
      <c r="B160" s="313" t="str">
        <f>'P&amp;L$'!B161</f>
        <v>OPERATING PROFIT</v>
      </c>
      <c r="C160" s="207">
        <f t="shared" ref="C160:N160" si="66">C12-C158</f>
        <v>70550.178164390847</v>
      </c>
      <c r="D160" s="207">
        <f t="shared" si="66"/>
        <v>537239.33388219215</v>
      </c>
      <c r="E160" s="207">
        <f t="shared" si="66"/>
        <v>172815.77140876837</v>
      </c>
      <c r="F160" s="207">
        <f t="shared" si="66"/>
        <v>167953.54022025876</v>
      </c>
      <c r="G160" s="207">
        <f t="shared" si="66"/>
        <v>-626923.36910345592</v>
      </c>
      <c r="H160" s="207">
        <f t="shared" si="66"/>
        <v>-427812.65600785613</v>
      </c>
      <c r="I160" s="207">
        <f t="shared" si="66"/>
        <v>2056063.0277266894</v>
      </c>
      <c r="J160" s="207">
        <f t="shared" si="66"/>
        <v>2067673.3685127664</v>
      </c>
      <c r="K160" s="207">
        <f t="shared" si="66"/>
        <v>2144347.8235457446</v>
      </c>
      <c r="L160" s="207">
        <f t="shared" si="66"/>
        <v>2416556.4480698518</v>
      </c>
      <c r="M160" s="207">
        <f t="shared" si="66"/>
        <v>2715729.7813679334</v>
      </c>
      <c r="N160" s="207">
        <f t="shared" si="66"/>
        <v>2849146.8637201972</v>
      </c>
      <c r="O160" s="207">
        <f>SUM(C160:N160)</f>
        <v>14143340.111507481</v>
      </c>
      <c r="P160" s="206"/>
      <c r="Q160" s="204"/>
      <c r="R160" s="205">
        <f t="shared" ref="R160:AC160" si="67">R12-R158</f>
        <v>3227561.8235458769</v>
      </c>
      <c r="S160" s="205">
        <f t="shared" si="67"/>
        <v>3268918.9667874873</v>
      </c>
      <c r="T160" s="205">
        <f t="shared" si="67"/>
        <v>2897115.8516650256</v>
      </c>
      <c r="U160" s="205">
        <f t="shared" si="67"/>
        <v>2480712.2532240059</v>
      </c>
      <c r="V160" s="205">
        <f t="shared" si="67"/>
        <v>1982061.3370611705</v>
      </c>
      <c r="W160" s="205">
        <f t="shared" si="67"/>
        <v>-143268.94137662463</v>
      </c>
      <c r="X160" s="205">
        <f t="shared" si="67"/>
        <v>4697914.3281450719</v>
      </c>
      <c r="Y160" s="205">
        <f t="shared" si="67"/>
        <v>4504866.3690745179</v>
      </c>
      <c r="Z160" s="205">
        <f t="shared" si="67"/>
        <v>3411899.5357874874</v>
      </c>
      <c r="AA160" s="205">
        <f t="shared" si="67"/>
        <v>5358565.2807895169</v>
      </c>
      <c r="AB160" s="205">
        <f t="shared" si="67"/>
        <v>5349723.1600174531</v>
      </c>
      <c r="AC160" s="205">
        <f t="shared" si="67"/>
        <v>5754970.0792809036</v>
      </c>
      <c r="AD160" s="205">
        <f>SUM(R160:AC160)</f>
        <v>42791040.044001892</v>
      </c>
      <c r="AF160" s="204"/>
      <c r="AG160" s="205">
        <f t="shared" ref="AG160:AR160" si="68">AG12-AG158</f>
        <v>3348067.7796267606</v>
      </c>
      <c r="AH160" s="205">
        <f t="shared" si="68"/>
        <v>3748055.1851011943</v>
      </c>
      <c r="AI160" s="205">
        <f t="shared" si="68"/>
        <v>3517850.6979438905</v>
      </c>
      <c r="AJ160" s="205">
        <f t="shared" si="68"/>
        <v>2987920.4124085177</v>
      </c>
      <c r="AK160" s="205">
        <f t="shared" si="68"/>
        <v>1731015.5433204193</v>
      </c>
      <c r="AL160" s="205">
        <f t="shared" si="68"/>
        <v>2158530.0165817644</v>
      </c>
      <c r="AM160" s="205">
        <f t="shared" si="68"/>
        <v>5160256.8726647962</v>
      </c>
      <c r="AN160" s="205">
        <f t="shared" si="68"/>
        <v>5474767.4010174666</v>
      </c>
      <c r="AO160" s="205">
        <f t="shared" si="68"/>
        <v>5709700.0509529766</v>
      </c>
      <c r="AP160" s="205">
        <f t="shared" si="68"/>
        <v>5292171.5447466504</v>
      </c>
      <c r="AQ160" s="205">
        <f t="shared" si="68"/>
        <v>5178666.1296109539</v>
      </c>
      <c r="AR160" s="205">
        <f t="shared" si="68"/>
        <v>6762307.1057212874</v>
      </c>
      <c r="AS160" s="205">
        <f>SUM(AG160:AR160)</f>
        <v>51069308.739696681</v>
      </c>
    </row>
    <row r="161" spans="1:45" ht="13.5" thickTop="1"/>
    <row r="164" spans="1:45">
      <c r="A164" s="54" t="s">
        <v>444</v>
      </c>
      <c r="B164" s="55" t="str">
        <f>'P&amp;L$'!B165</f>
        <v>FINANCIAL COSTS</v>
      </c>
      <c r="Q164" s="55"/>
      <c r="AF164" s="55"/>
    </row>
    <row r="165" spans="1:45">
      <c r="A165" s="56" t="s">
        <v>446</v>
      </c>
      <c r="B165" s="57" t="str">
        <f>'P&amp;L$'!B166</f>
        <v>Bank Expenses</v>
      </c>
      <c r="C165" s="3">
        <f>'P&amp;L$'!C166*Factors!C$11</f>
        <v>15843.103884576836</v>
      </c>
      <c r="D165" s="3">
        <f>'P&amp;L$'!D166*Factors!D$11</f>
        <v>14329.906135046491</v>
      </c>
      <c r="E165" s="3">
        <f>'P&amp;L$'!E166*Factors!E$11</f>
        <v>15887.402557311823</v>
      </c>
      <c r="F165" s="3">
        <f>'P&amp;L$'!F166*Factors!F$11</f>
        <v>15396.340542270309</v>
      </c>
      <c r="G165" s="3">
        <f>'P&amp;L$'!G166*Factors!G$11</f>
        <v>15931.701230046812</v>
      </c>
      <c r="H165" s="3">
        <f>'P&amp;L$'!H166*Factors!H$11</f>
        <v>15105.851607045892</v>
      </c>
      <c r="I165" s="3">
        <f>'P&amp;L$'!I166*Factors!I$11</f>
        <v>15631.051088742668</v>
      </c>
      <c r="J165" s="3">
        <f>'P&amp;L$'!J166*Factors!J$11</f>
        <v>15652.722183537915</v>
      </c>
      <c r="K165" s="3">
        <f>'P&amp;L$'!K166*Factors!K$11</f>
        <v>15168.767688709513</v>
      </c>
      <c r="L165" s="3">
        <f>'P&amp;L$'!L166*Factors!L$11</f>
        <v>15696.064373128411</v>
      </c>
      <c r="M165" s="3">
        <f>'P&amp;L$'!M166*Factors!M$11</f>
        <v>15210.711743151927</v>
      </c>
      <c r="N165" s="3">
        <f>'P&amp;L$'!N166*Factors!N$11</f>
        <v>15378.10396414408</v>
      </c>
      <c r="O165" s="3">
        <f>SUM(C165:N165)</f>
        <v>185231.72699771266</v>
      </c>
      <c r="P165" s="3"/>
      <c r="Q165" s="57"/>
      <c r="R165" s="3">
        <f>'P&amp;L$'!R166*Factors!R$11</f>
        <v>15442.179397328015</v>
      </c>
      <c r="S165" s="3">
        <f>'P&amp;L$'!S166*Factors!S$11</f>
        <v>14005.649524333374</v>
      </c>
      <c r="T165" s="3">
        <f>'P&amp;L$'!T166*Factors!T$11</f>
        <v>15570.33026369588</v>
      </c>
      <c r="U165" s="3">
        <f>'P&amp;L$'!U166*Factors!U$11</f>
        <v>15130.070029238532</v>
      </c>
      <c r="V165" s="3">
        <f>'P&amp;L$'!V166*Factors!V$11</f>
        <v>15698.481130063747</v>
      </c>
      <c r="W165" s="3">
        <f>'P&amp;L$'!W166*Factors!W$11</f>
        <v>14881.283526212135</v>
      </c>
      <c r="X165" s="3">
        <f>'P&amp;L$'!X166*Factors!X$11</f>
        <v>15439.835766965625</v>
      </c>
      <c r="Y165" s="3">
        <f>'P&amp;L$'!Y166*Factors!Y$11</f>
        <v>15502.345223512044</v>
      </c>
      <c r="Z165" s="3">
        <f>'P&amp;L$'!Z166*Factors!Z$11</f>
        <v>15062.762593604964</v>
      </c>
      <c r="AA165" s="3">
        <f>'P&amp;L$'!AA166*Factors!AA$11</f>
        <v>15627.364136604881</v>
      </c>
      <c r="AB165" s="3">
        <f>'P&amp;L$'!AB166*Factors!AB$11</f>
        <v>15183.748638533518</v>
      </c>
      <c r="AC165" s="3">
        <f>'P&amp;L$'!AC166*Factors!AC$11</f>
        <v>15341.763088590884</v>
      </c>
      <c r="AD165" s="3">
        <f>SUM(R165:AC165)</f>
        <v>182885.81331868359</v>
      </c>
      <c r="AF165" s="57"/>
      <c r="AG165" s="3">
        <f>'P&amp;L$'!AG166*Factors!AG$11</f>
        <v>15405.687101460011</v>
      </c>
      <c r="AH165" s="3">
        <f>'P&amp;L$'!AH166*Factors!AH$11</f>
        <v>13972.551974232772</v>
      </c>
      <c r="AI165" s="3">
        <f>'P&amp;L$'!AI166*Factors!AI$11</f>
        <v>15533.535127198269</v>
      </c>
      <c r="AJ165" s="3">
        <f>'P&amp;L$'!AJ166*Factors!AJ$11</f>
        <v>15094.315296839419</v>
      </c>
      <c r="AK165" s="3">
        <f>'P&amp;L$'!AK166*Factors!AK$11</f>
        <v>15661.383152936527</v>
      </c>
      <c r="AL165" s="3">
        <f>'P&amp;L$'!AL166*Factors!AL$11</f>
        <v>14794.511433385473</v>
      </c>
      <c r="AM165" s="3">
        <f>'P&amp;L$'!AM166*Factors!AM$11</f>
        <v>15349.806781223924</v>
      </c>
      <c r="AN165" s="3">
        <f>'P&amp;L$'!AN166*Factors!AN$11</f>
        <v>15411.951747949526</v>
      </c>
      <c r="AO165" s="3">
        <f>'P&amp;L$'!AO166*Factors!AO$11</f>
        <v>14974.93230452432</v>
      </c>
      <c r="AP165" s="3">
        <f>'P&amp;L$'!AP166*Factors!AP$11</f>
        <v>15536.241681400734</v>
      </c>
      <c r="AQ165" s="3">
        <f>'P&amp;L$'!AQ166*Factors!AQ$11</f>
        <v>15095.212885283552</v>
      </c>
      <c r="AR165" s="3">
        <f>'P&amp;L$'!AR166*Factors!AR$11</f>
        <v>15194.17879154488</v>
      </c>
      <c r="AS165" s="3">
        <f>SUM(AG165:AR165)</f>
        <v>182024.30827797943</v>
      </c>
    </row>
    <row r="166" spans="1:45">
      <c r="A166" s="56" t="s">
        <v>447</v>
      </c>
      <c r="B166" s="57" t="str">
        <f>'P&amp;L$'!B167</f>
        <v>Agency Fee</v>
      </c>
      <c r="C166" s="3">
        <f>'P&amp;L$'!C167*Factors!C$11</f>
        <v>8965.45075</v>
      </c>
      <c r="D166" s="3">
        <f>'P&amp;L$'!D167*Factors!D$11</f>
        <v>8977.9848333333339</v>
      </c>
      <c r="E166" s="3">
        <f>'P&amp;L$'!E167*Factors!E$11</f>
        <v>8990.5189166666678</v>
      </c>
      <c r="F166" s="3">
        <f>'P&amp;L$'!F167*Factors!F$11</f>
        <v>9003.0530000000017</v>
      </c>
      <c r="G166" s="3">
        <f>'P&amp;L$'!G167*Factors!G$11</f>
        <v>9015.5870833333356</v>
      </c>
      <c r="H166" s="3">
        <f>'P&amp;L$'!H167*Factors!H$11</f>
        <v>9028.1211666666695</v>
      </c>
      <c r="I166" s="3">
        <f>'P&amp;L$'!I167*Factors!I$11</f>
        <v>9040.6552500000034</v>
      </c>
      <c r="J166" s="3">
        <f>'P&amp;L$'!J167*Factors!J$11</f>
        <v>9053.1893333333373</v>
      </c>
      <c r="K166" s="3">
        <f>'P&amp;L$'!K167*Factors!K$11</f>
        <v>9065.7234166666713</v>
      </c>
      <c r="L166" s="3">
        <f>'P&amp;L$'!L167*Factors!L$11</f>
        <v>9078.2575000000052</v>
      </c>
      <c r="M166" s="3">
        <f>'P&amp;L$'!M167*Factors!M$11</f>
        <v>9090.7915833333391</v>
      </c>
      <c r="N166" s="3">
        <f>'P&amp;L$'!N167*Factors!N$11</f>
        <v>9103.325666666673</v>
      </c>
      <c r="O166" s="3">
        <f t="shared" ref="O166:O175" si="69">SUM(C166:N166)</f>
        <v>108412.65850000005</v>
      </c>
      <c r="P166" s="3"/>
      <c r="Q166" s="57"/>
      <c r="R166" s="3">
        <f>'P&amp;L$'!R167*Factors!R$11</f>
        <v>9141.2561902777852</v>
      </c>
      <c r="S166" s="3">
        <f>'P&amp;L$'!S167*Factors!S$11</f>
        <v>9179.1867138888956</v>
      </c>
      <c r="T166" s="3">
        <f>'P&amp;L$'!T167*Factors!T$11</f>
        <v>9217.117237500006</v>
      </c>
      <c r="U166" s="3">
        <f>'P&amp;L$'!U167*Factors!U$11</f>
        <v>9255.0477611111164</v>
      </c>
      <c r="V166" s="3">
        <f>'P&amp;L$'!V167*Factors!V$11</f>
        <v>9292.9782847222286</v>
      </c>
      <c r="W166" s="3">
        <f>'P&amp;L$'!W167*Factors!W$11</f>
        <v>9330.908808333339</v>
      </c>
      <c r="X166" s="3">
        <f>'P&amp;L$'!X167*Factors!X$11</f>
        <v>9368.8393319444494</v>
      </c>
      <c r="Y166" s="3">
        <f>'P&amp;L$'!Y167*Factors!Y$11</f>
        <v>9406.7698555555598</v>
      </c>
      <c r="Z166" s="3">
        <f>'P&amp;L$'!Z167*Factors!Z$11</f>
        <v>9444.7003791666721</v>
      </c>
      <c r="AA166" s="3">
        <f>'P&amp;L$'!AA167*Factors!AA$11</f>
        <v>9482.6309027777825</v>
      </c>
      <c r="AB166" s="3">
        <f>'P&amp;L$'!AB167*Factors!AB$11</f>
        <v>9520.5614263888929</v>
      </c>
      <c r="AC166" s="3">
        <f>'P&amp;L$'!AC167*Factors!AC$11</f>
        <v>9558.4919500000033</v>
      </c>
      <c r="AD166" s="3">
        <f t="shared" ref="AD166:AD175" si="70">SUM(R166:AC166)</f>
        <v>112198.48884166672</v>
      </c>
      <c r="AF166" s="57"/>
      <c r="AG166" s="3">
        <f>'P&amp;L$'!AG167*Factors!AG$11</f>
        <v>9598.3189997916706</v>
      </c>
      <c r="AH166" s="3">
        <f>'P&amp;L$'!AH167*Factors!AH$11</f>
        <v>9638.146049583338</v>
      </c>
      <c r="AI166" s="3">
        <f>'P&amp;L$'!AI167*Factors!AI$11</f>
        <v>9677.9730993750036</v>
      </c>
      <c r="AJ166" s="3">
        <f>'P&amp;L$'!AJ167*Factors!AJ$11</f>
        <v>9717.800149166671</v>
      </c>
      <c r="AK166" s="3">
        <f>'P&amp;L$'!AK167*Factors!AK$11</f>
        <v>9757.6271989583383</v>
      </c>
      <c r="AL166" s="3">
        <f>'P&amp;L$'!AL167*Factors!AL$11</f>
        <v>9797.4542487500039</v>
      </c>
      <c r="AM166" s="3">
        <f>'P&amp;L$'!AM167*Factors!AM$11</f>
        <v>9837.2812985416713</v>
      </c>
      <c r="AN166" s="3">
        <f>'P&amp;L$'!AN167*Factors!AN$11</f>
        <v>9877.1083483333387</v>
      </c>
      <c r="AO166" s="3">
        <f>'P&amp;L$'!AO167*Factors!AO$11</f>
        <v>9916.9353981250042</v>
      </c>
      <c r="AP166" s="3">
        <f>'P&amp;L$'!AP167*Factors!AP$11</f>
        <v>9956.7624479166716</v>
      </c>
      <c r="AQ166" s="3">
        <f>'P&amp;L$'!AQ167*Factors!AQ$11</f>
        <v>9996.589497708339</v>
      </c>
      <c r="AR166" s="3">
        <f>'P&amp;L$'!AR167*Factors!AR$11</f>
        <v>10036.416547500005</v>
      </c>
      <c r="AS166" s="3">
        <f t="shared" ref="AS166:AS175" si="71">SUM(AG166:AR166)</f>
        <v>117808.41328375005</v>
      </c>
    </row>
    <row r="167" spans="1:45">
      <c r="A167" s="56" t="s">
        <v>448</v>
      </c>
      <c r="B167" s="57" t="str">
        <f>'P&amp;L$'!B168</f>
        <v>WestLB Interest</v>
      </c>
      <c r="C167" s="3">
        <f>'P&amp;L$'!C168*Factors!C$11</f>
        <v>1584310.3884576836</v>
      </c>
      <c r="D167" s="3">
        <f>'P&amp;L$'!D168*Factors!D$11</f>
        <v>1432990.6135046491</v>
      </c>
      <c r="E167" s="3">
        <f>'P&amp;L$'!E168*Factors!E$11</f>
        <v>1588740.2557311824</v>
      </c>
      <c r="F167" s="3">
        <f>'P&amp;L$'!F168*Factors!F$11</f>
        <v>1539634.0542270308</v>
      </c>
      <c r="G167" s="3">
        <f>'P&amp;L$'!G168*Factors!G$11</f>
        <v>1593170.1230046812</v>
      </c>
      <c r="H167" s="3">
        <f>'P&amp;L$'!H168*Factors!H$11</f>
        <v>1510585.160704589</v>
      </c>
      <c r="I167" s="3">
        <f>'P&amp;L$'!I168*Factors!I$11</f>
        <v>1563105.1088742667</v>
      </c>
      <c r="J167" s="3">
        <f>'P&amp;L$'!J168*Factors!J$11</f>
        <v>1565272.2183537914</v>
      </c>
      <c r="K167" s="3">
        <f>'P&amp;L$'!K168*Factors!K$11</f>
        <v>1516876.7688709511</v>
      </c>
      <c r="L167" s="3">
        <f>'P&amp;L$'!L168*Factors!L$11</f>
        <v>1569606.4373128409</v>
      </c>
      <c r="M167" s="3">
        <f>'P&amp;L$'!M168*Factors!M$11</f>
        <v>1521071.1743151925</v>
      </c>
      <c r="N167" s="3">
        <f>'P&amp;L$'!N168*Factors!N$11</f>
        <v>1537810.396414408</v>
      </c>
      <c r="O167" s="3">
        <f t="shared" si="69"/>
        <v>18523172.699771266</v>
      </c>
      <c r="P167" s="3"/>
      <c r="Q167" s="57"/>
      <c r="R167" s="3">
        <f>'P&amp;L$'!R168*Factors!R$11</f>
        <v>1544217.9397328014</v>
      </c>
      <c r="S167" s="3">
        <f>'P&amp;L$'!S168*Factors!S$11</f>
        <v>1400564.9524333372</v>
      </c>
      <c r="T167" s="3">
        <f>'P&amp;L$'!T168*Factors!T$11</f>
        <v>1557033.026369588</v>
      </c>
      <c r="U167" s="3">
        <f>'P&amp;L$'!U168*Factors!U$11</f>
        <v>1513007.002923853</v>
      </c>
      <c r="V167" s="3">
        <f>'P&amp;L$'!V168*Factors!V$11</f>
        <v>1569848.1130063748</v>
      </c>
      <c r="W167" s="3">
        <f>'P&amp;L$'!W168*Factors!W$11</f>
        <v>1488128.3526212135</v>
      </c>
      <c r="X167" s="3">
        <f>'P&amp;L$'!X168*Factors!X$11</f>
        <v>1543983.5766965626</v>
      </c>
      <c r="Y167" s="3">
        <f>'P&amp;L$'!Y168*Factors!Y$11</f>
        <v>1550234.5223512044</v>
      </c>
      <c r="Z167" s="3">
        <f>'P&amp;L$'!Z168*Factors!Z$11</f>
        <v>1506276.2593604964</v>
      </c>
      <c r="AA167" s="3">
        <f>'P&amp;L$'!AA168*Factors!AA$11</f>
        <v>1562736.4136604883</v>
      </c>
      <c r="AB167" s="3">
        <f>'P&amp;L$'!AB168*Factors!AB$11</f>
        <v>1518374.8638533517</v>
      </c>
      <c r="AC167" s="3">
        <f>'P&amp;L$'!AC168*Factors!AC$11</f>
        <v>1534176.3088590882</v>
      </c>
      <c r="AD167" s="3">
        <f t="shared" si="70"/>
        <v>18288581.331868362</v>
      </c>
      <c r="AF167" s="57"/>
      <c r="AG167" s="3">
        <f>'P&amp;L$'!AG168*Factors!AG$11</f>
        <v>1540568.7101460011</v>
      </c>
      <c r="AH167" s="3">
        <f>'P&amp;L$'!AH168*Factors!AH$11</f>
        <v>1397255.1974232772</v>
      </c>
      <c r="AI167" s="3">
        <f>'P&amp;L$'!AI168*Factors!AI$11</f>
        <v>1553353.5127198268</v>
      </c>
      <c r="AJ167" s="3">
        <f>'P&amp;L$'!AJ168*Factors!AJ$11</f>
        <v>1509431.5296839417</v>
      </c>
      <c r="AK167" s="3">
        <f>'P&amp;L$'!AK168*Factors!AK$11</f>
        <v>1566138.3152936525</v>
      </c>
      <c r="AL167" s="3">
        <f>'P&amp;L$'!AL168*Factors!AL$11</f>
        <v>1479451.1433385471</v>
      </c>
      <c r="AM167" s="3">
        <f>'P&amp;L$'!AM168*Factors!AM$11</f>
        <v>1534980.6781223924</v>
      </c>
      <c r="AN167" s="3">
        <f>'P&amp;L$'!AN168*Factors!AN$11</f>
        <v>1541195.1747949526</v>
      </c>
      <c r="AO167" s="3">
        <f>'P&amp;L$'!AO168*Factors!AO$11</f>
        <v>1497493.2304524318</v>
      </c>
      <c r="AP167" s="3">
        <f>'P&amp;L$'!AP168*Factors!AP$11</f>
        <v>1553624.1681400733</v>
      </c>
      <c r="AQ167" s="3">
        <f>'P&amp;L$'!AQ168*Factors!AQ$11</f>
        <v>1509521.2885283551</v>
      </c>
      <c r="AR167" s="3">
        <f>'P&amp;L$'!AR168*Factors!AR$11</f>
        <v>1519417.879154488</v>
      </c>
      <c r="AS167" s="3">
        <f t="shared" si="71"/>
        <v>18202430.827797938</v>
      </c>
    </row>
    <row r="168" spans="1:45">
      <c r="A168" s="56" t="s">
        <v>449</v>
      </c>
      <c r="B168" s="57" t="str">
        <f>'P&amp;L$'!B169</f>
        <v>EPI Interest</v>
      </c>
      <c r="C168" s="3">
        <f>'P&amp;L$'!C169*Factors!C$11</f>
        <v>75734.450116040025</v>
      </c>
      <c r="D168" s="3">
        <f>'P&amp;L$'!D169*Factors!D$11</f>
        <v>68500.943328959416</v>
      </c>
      <c r="E168" s="3">
        <f>'P&amp;L$'!E169*Factors!E$11</f>
        <v>75946.210112370085</v>
      </c>
      <c r="F168" s="3">
        <f>'P&amp;L$'!F169*Factors!F$11</f>
        <v>73598.796881163027</v>
      </c>
      <c r="G168" s="3">
        <f>'P&amp;L$'!G169*Factors!G$11</f>
        <v>76157.970108700145</v>
      </c>
      <c r="H168" s="3">
        <f>'P&amp;L$'!H169*Factors!H$11</f>
        <v>73803.725909869536</v>
      </c>
      <c r="I168" s="3">
        <f>'P&amp;L$'!I169*Factors!I$11</f>
        <v>76369.730105030205</v>
      </c>
      <c r="J168" s="3">
        <f>'P&amp;L$'!J169*Factors!J$11</f>
        <v>76475.610103195242</v>
      </c>
      <c r="K168" s="3">
        <f>'P&amp;L$'!K169*Factors!K$11</f>
        <v>74111.119452929299</v>
      </c>
      <c r="L168" s="3">
        <f>'P&amp;L$'!L169*Factors!L$11</f>
        <v>76687.370099525302</v>
      </c>
      <c r="M168" s="3">
        <f>'P&amp;L$'!M169*Factors!M$11</f>
        <v>74316.048481635822</v>
      </c>
      <c r="N168" s="3">
        <f>'P&amp;L$'!N169*Factors!N$11</f>
        <v>76899.130095855362</v>
      </c>
      <c r="O168" s="3">
        <f t="shared" si="69"/>
        <v>898601.10479527363</v>
      </c>
      <c r="P168" s="3"/>
      <c r="Q168" s="57"/>
      <c r="R168" s="3">
        <f>'P&amp;L$'!R169*Factors!R$11</f>
        <v>77219.543137921413</v>
      </c>
      <c r="S168" s="3">
        <f>'P&amp;L$'!S169*Factors!S$11</f>
        <v>70036.089452891916</v>
      </c>
      <c r="T168" s="3">
        <f>'P&amp;L$'!T169*Factors!T$11</f>
        <v>77860.369222053545</v>
      </c>
      <c r="U168" s="3">
        <f>'P&amp;L$'!U169*Factors!U$11</f>
        <v>75658.821545922212</v>
      </c>
      <c r="V168" s="3">
        <f>'P&amp;L$'!V169*Factors!V$11</f>
        <v>78501.195306185662</v>
      </c>
      <c r="W168" s="3">
        <f>'P&amp;L$'!W169*Factors!W$11</f>
        <v>76278.97582088878</v>
      </c>
      <c r="X168" s="3">
        <f>'P&amp;L$'!X169*Factors!X$11</f>
        <v>79142.021390317794</v>
      </c>
      <c r="Y168" s="3">
        <f>'P&amp;L$'!Y169*Factors!Y$11</f>
        <v>79462.434432383845</v>
      </c>
      <c r="Z168" s="3">
        <f>'P&amp;L$'!Z169*Factors!Z$11</f>
        <v>77209.207233338646</v>
      </c>
      <c r="AA168" s="3">
        <f>'P&amp;L$'!AA169*Factors!AA$11</f>
        <v>80103.260516515977</v>
      </c>
      <c r="AB168" s="3">
        <f>'P&amp;L$'!AB169*Factors!AB$11</f>
        <v>77829.361508305214</v>
      </c>
      <c r="AC168" s="3">
        <f>'P&amp;L$'!AC169*Factors!AC$11</f>
        <v>80744.086600648094</v>
      </c>
      <c r="AD168" s="3">
        <f t="shared" si="70"/>
        <v>930045.36616737302</v>
      </c>
      <c r="AF168" s="57"/>
      <c r="AG168" s="3">
        <f>'P&amp;L$'!AG169*Factors!AG$11</f>
        <v>81080.52029481747</v>
      </c>
      <c r="AH168" s="3">
        <f>'P&amp;L$'!AH169*Factors!AH$11</f>
        <v>73537.893925536497</v>
      </c>
      <c r="AI168" s="3">
        <f>'P&amp;L$'!AI169*Factors!AI$11</f>
        <v>81753.387683156194</v>
      </c>
      <c r="AJ168" s="3">
        <f>'P&amp;L$'!AJ169*Factors!AJ$11</f>
        <v>79441.76262321831</v>
      </c>
      <c r="AK168" s="3">
        <f>'P&amp;L$'!AK169*Factors!AK$11</f>
        <v>82426.255071494932</v>
      </c>
      <c r="AL168" s="3">
        <f>'P&amp;L$'!AL169*Factors!AL$11</f>
        <v>80092.924611933209</v>
      </c>
      <c r="AM168" s="3">
        <f>'P&amp;L$'!AM169*Factors!AM$11</f>
        <v>83099.12245983367</v>
      </c>
      <c r="AN168" s="3">
        <f>'P&amp;L$'!AN169*Factors!AN$11</f>
        <v>83435.556154003032</v>
      </c>
      <c r="AO168" s="3">
        <f>'P&amp;L$'!AO169*Factors!AO$11</f>
        <v>81069.667595005565</v>
      </c>
      <c r="AP168" s="3">
        <f>'P&amp;L$'!AP169*Factors!AP$11</f>
        <v>84108.42354234177</v>
      </c>
      <c r="AQ168" s="3">
        <f>'P&amp;L$'!AQ169*Factors!AQ$11</f>
        <v>81720.829583720479</v>
      </c>
      <c r="AR168" s="3">
        <f>'P&amp;L$'!AR169*Factors!AR$11</f>
        <v>84781.290930680509</v>
      </c>
      <c r="AS168" s="3">
        <f t="shared" si="71"/>
        <v>976547.63447574154</v>
      </c>
    </row>
    <row r="169" spans="1:45" hidden="1">
      <c r="A169" s="56" t="s">
        <v>450</v>
      </c>
      <c r="B169" s="57" t="str">
        <f>'P&amp;L$'!B170</f>
        <v>Late Payment Interest</v>
      </c>
      <c r="C169" s="3">
        <f>'P&amp;L$'!C170*Factors!C$11</f>
        <v>0</v>
      </c>
      <c r="D169" s="3">
        <f>'P&amp;L$'!D170*Factors!D$11</f>
        <v>0</v>
      </c>
      <c r="E169" s="3">
        <f>'P&amp;L$'!E170*Factors!E$11</f>
        <v>0</v>
      </c>
      <c r="F169" s="3">
        <f>'P&amp;L$'!F170*Factors!F$11</f>
        <v>0</v>
      </c>
      <c r="G169" s="3">
        <f>'P&amp;L$'!G170*Factors!G$11</f>
        <v>0</v>
      </c>
      <c r="H169" s="3">
        <f>'P&amp;L$'!H170*Factors!H$11</f>
        <v>0</v>
      </c>
      <c r="I169" s="3">
        <f>'P&amp;L$'!I170*Factors!I$11</f>
        <v>0</v>
      </c>
      <c r="J169" s="3">
        <f>'P&amp;L$'!J170*Factors!J$11</f>
        <v>0</v>
      </c>
      <c r="K169" s="3">
        <f>'P&amp;L$'!K170*Factors!K$11</f>
        <v>0</v>
      </c>
      <c r="L169" s="3">
        <f>'P&amp;L$'!L170*Factors!L$11</f>
        <v>0</v>
      </c>
      <c r="M169" s="3">
        <f>'P&amp;L$'!M170*Factors!M$11</f>
        <v>0</v>
      </c>
      <c r="N169" s="3">
        <f>'P&amp;L$'!N170*Factors!N$11</f>
        <v>0</v>
      </c>
      <c r="O169" s="3">
        <f t="shared" si="69"/>
        <v>0</v>
      </c>
      <c r="P169" s="3"/>
      <c r="Q169" s="57"/>
      <c r="R169" s="3">
        <f>'P&amp;L$'!R170*Factors!R$11</f>
        <v>0</v>
      </c>
      <c r="S169" s="3">
        <f>'P&amp;L$'!S170*Factors!S$11</f>
        <v>0</v>
      </c>
      <c r="T169" s="3">
        <f>'P&amp;L$'!T170*Factors!T$11</f>
        <v>0</v>
      </c>
      <c r="U169" s="3">
        <f>'P&amp;L$'!U170*Factors!U$11</f>
        <v>0</v>
      </c>
      <c r="V169" s="3">
        <f>'P&amp;L$'!V170*Factors!V$11</f>
        <v>0</v>
      </c>
      <c r="W169" s="3">
        <f>'P&amp;L$'!W170*Factors!W$11</f>
        <v>0</v>
      </c>
      <c r="X169" s="3">
        <f>'P&amp;L$'!X170*Factors!X$11</f>
        <v>0</v>
      </c>
      <c r="Y169" s="3">
        <f>'P&amp;L$'!Y170*Factors!Y$11</f>
        <v>0</v>
      </c>
      <c r="Z169" s="3">
        <f>'P&amp;L$'!Z170*Factors!Z$11</f>
        <v>0</v>
      </c>
      <c r="AA169" s="3">
        <f>'P&amp;L$'!AA170*Factors!AA$11</f>
        <v>0</v>
      </c>
      <c r="AB169" s="3">
        <f>'P&amp;L$'!AB170*Factors!AB$11</f>
        <v>0</v>
      </c>
      <c r="AC169" s="3">
        <f>'P&amp;L$'!AC170*Factors!AC$11</f>
        <v>0</v>
      </c>
      <c r="AD169" s="3">
        <f t="shared" si="70"/>
        <v>0</v>
      </c>
      <c r="AF169" s="57"/>
      <c r="AG169" s="3">
        <f>'P&amp;L$'!AG170*Factors!AG$11</f>
        <v>0</v>
      </c>
      <c r="AH169" s="3">
        <f>'P&amp;L$'!AH170*Factors!AH$11</f>
        <v>0</v>
      </c>
      <c r="AI169" s="3">
        <f>'P&amp;L$'!AI170*Factors!AI$11</f>
        <v>0</v>
      </c>
      <c r="AJ169" s="3">
        <f>'P&amp;L$'!AJ170*Factors!AJ$11</f>
        <v>0</v>
      </c>
      <c r="AK169" s="3">
        <f>'P&amp;L$'!AK170*Factors!AK$11</f>
        <v>0</v>
      </c>
      <c r="AL169" s="3">
        <f>'P&amp;L$'!AL170*Factors!AL$11</f>
        <v>0</v>
      </c>
      <c r="AM169" s="3">
        <f>'P&amp;L$'!AM170*Factors!AM$11</f>
        <v>0</v>
      </c>
      <c r="AN169" s="3">
        <f>'P&amp;L$'!AN170*Factors!AN$11</f>
        <v>0</v>
      </c>
      <c r="AO169" s="3">
        <f>'P&amp;L$'!AO170*Factors!AO$11</f>
        <v>0</v>
      </c>
      <c r="AP169" s="3">
        <f>'P&amp;L$'!AP170*Factors!AP$11</f>
        <v>0</v>
      </c>
      <c r="AQ169" s="3">
        <f>'P&amp;L$'!AQ170*Factors!AQ$11</f>
        <v>0</v>
      </c>
      <c r="AR169" s="3">
        <f>'P&amp;L$'!AR170*Factors!AR$11</f>
        <v>0</v>
      </c>
      <c r="AS169" s="3">
        <f t="shared" si="71"/>
        <v>0</v>
      </c>
    </row>
    <row r="170" spans="1:45">
      <c r="A170" s="56" t="s">
        <v>451</v>
      </c>
      <c r="B170" s="57" t="str">
        <f>'P&amp;L$'!B171</f>
        <v>SWAP costs</v>
      </c>
      <c r="C170" s="3">
        <f>'P&amp;L$'!C171*Factors!C$11</f>
        <v>1417258.2751314456</v>
      </c>
      <c r="D170" s="3">
        <f>'P&amp;L$'!D171*Factors!D$11</f>
        <v>1515220.7039894802</v>
      </c>
      <c r="E170" s="3">
        <f>'P&amp;L$'!E171*Factors!E$11</f>
        <v>1421221.0504164149</v>
      </c>
      <c r="F170" s="3">
        <f>'P&amp;L$'!F171*Factors!F$11</f>
        <v>1421878.9607942435</v>
      </c>
      <c r="G170" s="3">
        <f>'P&amp;L$'!G171*Factors!G$11</f>
        <v>1392468.3271856282</v>
      </c>
      <c r="H170" s="3">
        <f>'P&amp;L$'!H171*Factors!H$11</f>
        <v>1425838.0509794306</v>
      </c>
      <c r="I170" s="3">
        <f>'P&amp;L$'!I171*Factors!I$11</f>
        <v>1396340.1358411594</v>
      </c>
      <c r="J170" s="3">
        <f>'P&amp;L$'!J171*Factors!J$11</f>
        <v>1398276.040168925</v>
      </c>
      <c r="K170" s="3">
        <f>'P&amp;L$'!K171*Factors!K$11</f>
        <v>1431776.686257211</v>
      </c>
      <c r="L170" s="3">
        <f>'P&amp;L$'!L171*Factors!L$11</f>
        <v>1367879.9457726383</v>
      </c>
      <c r="M170" s="3">
        <f>'P&amp;L$'!M171*Factors!M$11</f>
        <v>1400646.9985817734</v>
      </c>
      <c r="N170" s="3">
        <f>'P&amp;L$'!N171*Factors!N$11</f>
        <v>1371657.1290548509</v>
      </c>
      <c r="O170" s="3">
        <f t="shared" si="69"/>
        <v>16960462.304173201</v>
      </c>
      <c r="P170" s="3"/>
      <c r="Q170" s="57"/>
      <c r="R170" s="3">
        <f>'P&amp;L$'!R171*Factors!R$11</f>
        <v>1377372.3670925794</v>
      </c>
      <c r="S170" s="3">
        <f>'P&amp;L$'!S171*Factors!S$11</f>
        <v>1476623.7371273984</v>
      </c>
      <c r="T170" s="3">
        <f>'P&amp;L$'!T171*Factors!T$11</f>
        <v>1388802.8431680365</v>
      </c>
      <c r="U170" s="3">
        <f>'P&amp;L$'!U171*Factors!U$11</f>
        <v>1388796.3499219608</v>
      </c>
      <c r="V170" s="3">
        <f>'P&amp;L$'!V171*Factors!V$11</f>
        <v>1363745.4544176511</v>
      </c>
      <c r="W170" s="3">
        <f>'P&amp;L$'!W171*Factors!W$11</f>
        <v>1400179.9265606655</v>
      </c>
      <c r="X170" s="3">
        <f>'P&amp;L$'!X171*Factors!X$11</f>
        <v>1374878.0703720807</v>
      </c>
      <c r="Y170" s="3">
        <f>'P&amp;L$'!Y171*Factors!Y$11</f>
        <v>1380444.3783492956</v>
      </c>
      <c r="Z170" s="3">
        <f>'P&amp;L$'!Z171*Factors!Z$11</f>
        <v>1417255.2915187222</v>
      </c>
      <c r="AA170" s="3">
        <f>'P&amp;L$'!AA171*Factors!AA$11</f>
        <v>1352848.8598537187</v>
      </c>
      <c r="AB170" s="3">
        <f>'P&amp;L$'!AB171*Factors!AB$11</f>
        <v>1388879.2871978479</v>
      </c>
      <c r="AC170" s="3">
        <f>'P&amp;L$'!AC171*Factors!AC$11</f>
        <v>1363671.6507325484</v>
      </c>
      <c r="AD170" s="3">
        <f t="shared" si="70"/>
        <v>16673498.216312503</v>
      </c>
      <c r="AF170" s="57"/>
      <c r="AG170" s="3">
        <f>'P&amp;L$'!AG171*Factors!AG$11</f>
        <v>1369353.6159439341</v>
      </c>
      <c r="AH170" s="3">
        <f>'P&amp;L$'!AH171*Factors!AH$11</f>
        <v>1468027.1668962112</v>
      </c>
      <c r="AI170" s="3">
        <f>'P&amp;L$'!AI171*Factors!AI$11</f>
        <v>1380717.5463667053</v>
      </c>
      <c r="AJ170" s="3">
        <f>'P&amp;L$'!AJ171*Factors!AJ$11</f>
        <v>1375437.1840940083</v>
      </c>
      <c r="AK170" s="3">
        <f>'P&amp;L$'!AK171*Factors!AK$11</f>
        <v>1350627.2591734701</v>
      </c>
      <c r="AL170" s="3">
        <f>'P&amp;L$'!AL171*Factors!AL$11</f>
        <v>1386711.2593734674</v>
      </c>
      <c r="AM170" s="3">
        <f>'P&amp;L$'!AM171*Factors!AM$11</f>
        <v>1361652.7878197841</v>
      </c>
      <c r="AN170" s="3">
        <f>'P&amp;L$'!AN171*Factors!AN$11</f>
        <v>1367165.5521429412</v>
      </c>
      <c r="AO170" s="3">
        <f>'P&amp;L$'!AO171*Factors!AO$11</f>
        <v>1403622.372292656</v>
      </c>
      <c r="AP170" s="3">
        <f>'P&amp;L$'!AP171*Factors!AP$11</f>
        <v>1334191.5461965625</v>
      </c>
      <c r="AQ170" s="3">
        <f>'P&amp;L$'!AQ171*Factors!AQ$11</f>
        <v>1369725.0732555904</v>
      </c>
      <c r="AR170" s="3">
        <f>'P&amp;L$'!AR171*Factors!AR$11</f>
        <v>1344865.0785661349</v>
      </c>
      <c r="AS170" s="3">
        <f t="shared" si="71"/>
        <v>16512096.442121465</v>
      </c>
    </row>
    <row r="171" spans="1:45" hidden="1">
      <c r="A171" s="56" t="s">
        <v>452</v>
      </c>
      <c r="B171" s="57" t="str">
        <f>'P&amp;L$'!B172</f>
        <v>Odsetki Karne Urzędowe</v>
      </c>
      <c r="C171" s="3">
        <f>'P&amp;L$'!C172*Factors!C$11</f>
        <v>0</v>
      </c>
      <c r="D171" s="3">
        <f>'P&amp;L$'!D172*Factors!D$11</f>
        <v>0</v>
      </c>
      <c r="E171" s="3">
        <f>'P&amp;L$'!E172*Factors!E$11</f>
        <v>0</v>
      </c>
      <c r="F171" s="3">
        <f>'P&amp;L$'!F172*Factors!F$11</f>
        <v>0</v>
      </c>
      <c r="G171" s="3">
        <f>'P&amp;L$'!G172*Factors!G$11</f>
        <v>0</v>
      </c>
      <c r="H171" s="3">
        <f>'P&amp;L$'!H172*Factors!H$11</f>
        <v>0</v>
      </c>
      <c r="I171" s="3">
        <f>'P&amp;L$'!I172*Factors!I$11</f>
        <v>0</v>
      </c>
      <c r="J171" s="3">
        <f>'P&amp;L$'!J172*Factors!J$11</f>
        <v>0</v>
      </c>
      <c r="K171" s="3">
        <f>'P&amp;L$'!K172*Factors!K$11</f>
        <v>0</v>
      </c>
      <c r="L171" s="3">
        <f>'P&amp;L$'!L172*Factors!L$11</f>
        <v>0</v>
      </c>
      <c r="M171" s="3">
        <f>'P&amp;L$'!M172*Factors!M$11</f>
        <v>0</v>
      </c>
      <c r="N171" s="3">
        <f>'P&amp;L$'!N172*Factors!N$11</f>
        <v>0</v>
      </c>
      <c r="O171" s="3">
        <f t="shared" si="69"/>
        <v>0</v>
      </c>
      <c r="P171" s="3"/>
      <c r="Q171" s="57"/>
      <c r="R171" s="3">
        <f>'P&amp;L$'!R172*Factors!R$11</f>
        <v>0</v>
      </c>
      <c r="S171" s="3">
        <f>'P&amp;L$'!S172*Factors!S$11</f>
        <v>0</v>
      </c>
      <c r="T171" s="3">
        <f>'P&amp;L$'!T172*Factors!T$11</f>
        <v>0</v>
      </c>
      <c r="U171" s="3">
        <f>'P&amp;L$'!U172*Factors!U$11</f>
        <v>0</v>
      </c>
      <c r="V171" s="3">
        <f>'P&amp;L$'!V172*Factors!V$11</f>
        <v>0</v>
      </c>
      <c r="W171" s="3">
        <f>'P&amp;L$'!W172*Factors!W$11</f>
        <v>0</v>
      </c>
      <c r="X171" s="3">
        <f>'P&amp;L$'!X172*Factors!X$11</f>
        <v>0</v>
      </c>
      <c r="Y171" s="3">
        <f>'P&amp;L$'!Y172*Factors!Y$11</f>
        <v>0</v>
      </c>
      <c r="Z171" s="3">
        <f>'P&amp;L$'!Z172*Factors!Z$11</f>
        <v>0</v>
      </c>
      <c r="AA171" s="3">
        <f>'P&amp;L$'!AA172*Factors!AA$11</f>
        <v>0</v>
      </c>
      <c r="AB171" s="3">
        <f>'P&amp;L$'!AB172*Factors!AB$11</f>
        <v>0</v>
      </c>
      <c r="AC171" s="3">
        <f>'P&amp;L$'!AC172*Factors!AC$11</f>
        <v>0</v>
      </c>
      <c r="AD171" s="3">
        <f t="shared" si="70"/>
        <v>0</v>
      </c>
      <c r="AF171" s="57"/>
      <c r="AG171" s="3">
        <f>'P&amp;L$'!AG172*Factors!AG$11</f>
        <v>0</v>
      </c>
      <c r="AH171" s="3">
        <f>'P&amp;L$'!AH172*Factors!AH$11</f>
        <v>0</v>
      </c>
      <c r="AI171" s="3">
        <f>'P&amp;L$'!AI172*Factors!AI$11</f>
        <v>0</v>
      </c>
      <c r="AJ171" s="3">
        <f>'P&amp;L$'!AJ172*Factors!AJ$11</f>
        <v>0</v>
      </c>
      <c r="AK171" s="3">
        <f>'P&amp;L$'!AK172*Factors!AK$11</f>
        <v>0</v>
      </c>
      <c r="AL171" s="3">
        <f>'P&amp;L$'!AL172*Factors!AL$11</f>
        <v>0</v>
      </c>
      <c r="AM171" s="3">
        <f>'P&amp;L$'!AM172*Factors!AM$11</f>
        <v>0</v>
      </c>
      <c r="AN171" s="3">
        <f>'P&amp;L$'!AN172*Factors!AN$11</f>
        <v>0</v>
      </c>
      <c r="AO171" s="3">
        <f>'P&amp;L$'!AO172*Factors!AO$11</f>
        <v>0</v>
      </c>
      <c r="AP171" s="3">
        <f>'P&amp;L$'!AP172*Factors!AP$11</f>
        <v>0</v>
      </c>
      <c r="AQ171" s="3">
        <f>'P&amp;L$'!AQ172*Factors!AQ$11</f>
        <v>0</v>
      </c>
      <c r="AR171" s="3">
        <f>'P&amp;L$'!AR172*Factors!AR$11</f>
        <v>0</v>
      </c>
      <c r="AS171" s="3">
        <f t="shared" si="71"/>
        <v>0</v>
      </c>
    </row>
    <row r="172" spans="1:45">
      <c r="A172" s="56" t="s">
        <v>454</v>
      </c>
      <c r="B172" s="57" t="s">
        <v>1239</v>
      </c>
      <c r="C172" s="3">
        <f>Swap!C40</f>
        <v>10098.109067017213</v>
      </c>
      <c r="D172" s="3">
        <f>Swap!D40</f>
        <v>13464.145422689617</v>
      </c>
      <c r="E172" s="3">
        <f>Swap!E40</f>
        <v>16830.181778363883</v>
      </c>
      <c r="F172" s="3">
        <f>Swap!F40</f>
        <v>0</v>
      </c>
      <c r="G172" s="3">
        <f>Swap!G40</f>
        <v>3288.7680374309421</v>
      </c>
      <c r="H172" s="3">
        <f>Swap!H40</f>
        <v>6577.5360748600215</v>
      </c>
      <c r="I172" s="3">
        <f>Swap!I40</f>
        <v>9866.3041122909635</v>
      </c>
      <c r="J172" s="3">
        <f>Swap!J40</f>
        <v>13155.072149723768</v>
      </c>
      <c r="K172" s="3">
        <f>Swap!K40</f>
        <v>16443.840187150985</v>
      </c>
      <c r="L172" s="3">
        <f>Swap!L40</f>
        <v>0</v>
      </c>
      <c r="M172" s="3">
        <f>Swap!M40</f>
        <v>3208.3919313289225</v>
      </c>
      <c r="N172" s="3">
        <f>Swap!N40</f>
        <v>6416.7838626587763</v>
      </c>
      <c r="O172" s="3">
        <f t="shared" si="69"/>
        <v>99349.132623515092</v>
      </c>
      <c r="P172" s="3"/>
      <c r="Q172" s="57"/>
      <c r="R172" s="3">
        <f>Swap!Q40</f>
        <v>0</v>
      </c>
      <c r="S172" s="3">
        <f>Swap!R40</f>
        <v>38836.820425899699</v>
      </c>
      <c r="T172" s="3">
        <f>Swap!S40</f>
        <v>48546.025532376021</v>
      </c>
      <c r="U172" s="3">
        <f>Swap!T40</f>
        <v>0</v>
      </c>
      <c r="V172" s="3">
        <f>Swap!U40</f>
        <v>9456.1985834734514</v>
      </c>
      <c r="W172" s="3">
        <f>Swap!V40</f>
        <v>18912.397166948766</v>
      </c>
      <c r="X172" s="3">
        <f>Swap!W40</f>
        <v>28368.595750421286</v>
      </c>
      <c r="Y172" s="3">
        <f>Swap!X40</f>
        <v>37824.794333897531</v>
      </c>
      <c r="Z172" s="3">
        <f>Swap!Y40</f>
        <v>47280.992917371914</v>
      </c>
      <c r="AA172" s="3">
        <f>Swap!Z40</f>
        <v>0</v>
      </c>
      <c r="AB172" s="3">
        <f>Swap!AA40</f>
        <v>9193.0288619091734</v>
      </c>
      <c r="AC172" s="3">
        <f>Swap!AB40</f>
        <v>18386.05772382021</v>
      </c>
      <c r="AD172" s="3">
        <f t="shared" si="70"/>
        <v>256804.91129611805</v>
      </c>
      <c r="AF172" s="57"/>
      <c r="AG172" s="3">
        <f>Swap!AE40</f>
        <v>56537.127500742674</v>
      </c>
      <c r="AH172" s="3">
        <f>Swap!AF40</f>
        <v>-96526.803050050512</v>
      </c>
      <c r="AI172" s="3">
        <f>Swap!AG40</f>
        <v>0</v>
      </c>
      <c r="AJ172" s="3">
        <f>Swap!AH40</f>
        <v>-18730.474273810163</v>
      </c>
      <c r="AK172" s="3">
        <f>Swap!AI40</f>
        <v>-37460.948547620326</v>
      </c>
      <c r="AL172" s="3">
        <f>Swap!AJ40</f>
        <v>-56191.422821431421</v>
      </c>
      <c r="AM172" s="3">
        <f>Swap!AK40</f>
        <v>-74921.897095242515</v>
      </c>
      <c r="AN172" s="3">
        <f>Swap!AL40</f>
        <v>-93652.371369054541</v>
      </c>
      <c r="AO172" s="3">
        <f>Swap!AM40</f>
        <v>0</v>
      </c>
      <c r="AP172" s="3">
        <f>Swap!AN40</f>
        <v>-18132.493222970981</v>
      </c>
      <c r="AQ172" s="3">
        <f>Swap!AO40</f>
        <v>-36264.986445941962</v>
      </c>
      <c r="AR172" s="3">
        <f>Swap!AP40</f>
        <v>-54397.479668911546</v>
      </c>
      <c r="AS172" s="3">
        <f t="shared" si="71"/>
        <v>-429741.74899429129</v>
      </c>
    </row>
    <row r="173" spans="1:45">
      <c r="A173" s="56" t="s">
        <v>456</v>
      </c>
      <c r="B173" s="57" t="s">
        <v>1240</v>
      </c>
      <c r="C173" s="3">
        <f>IF(Balance!C95,0,loans!B37+loans!B45)</f>
        <v>0</v>
      </c>
      <c r="D173" s="3">
        <f>IF(Balance!D95,0,loans!C37+loans!C45)</f>
        <v>0</v>
      </c>
      <c r="E173" s="3">
        <f>IF(Balance!E95,0,loans!D37+loans!D45)</f>
        <v>0</v>
      </c>
      <c r="F173" s="3">
        <f>IF(Balance!F95,0,loans!E37+loans!E45)</f>
        <v>0</v>
      </c>
      <c r="G173" s="3">
        <f>IF(Balance!G95,0,loans!F37+loans!F45)</f>
        <v>0</v>
      </c>
      <c r="H173" s="3">
        <f>IF(Balance!H95,0,loans!G37+loans!G45)</f>
        <v>0</v>
      </c>
      <c r="I173" s="3">
        <f>IF(Balance!I95,0,loans!H37+loans!H45)</f>
        <v>0</v>
      </c>
      <c r="J173" s="3">
        <f>IF(Balance!J95,0,loans!I37+loans!I45)</f>
        <v>0</v>
      </c>
      <c r="K173" s="3">
        <f>IF(Balance!K95,0,loans!J37+loans!J45)</f>
        <v>0</v>
      </c>
      <c r="L173" s="3">
        <f>IF(Balance!L95,0,loans!K37+loans!K45)</f>
        <v>670256.44529501349</v>
      </c>
      <c r="M173" s="3">
        <f>IF(Balance!M95,0,loans!L37+loans!L45)</f>
        <v>670256.44529495761</v>
      </c>
      <c r="N173" s="3">
        <f>IF(Balance!N95,0,loans!M37+loans!M45)</f>
        <v>670256.44529494271</v>
      </c>
      <c r="O173" s="3">
        <f t="shared" si="69"/>
        <v>2010769.3358849138</v>
      </c>
      <c r="P173" s="3"/>
      <c r="Q173" s="57"/>
      <c r="R173" s="3">
        <f>loans!P37+loans!P45</f>
        <v>1981762.9188795201</v>
      </c>
      <c r="S173" s="3">
        <f>loans!Q37+loans!Q45</f>
        <v>1981762.9188795201</v>
      </c>
      <c r="T173" s="3">
        <f>loans!R37+loans!R45</f>
        <v>1981762.9188794605</v>
      </c>
      <c r="U173" s="3">
        <f>loans!S37+loans!S45</f>
        <v>1981762.9188795201</v>
      </c>
      <c r="V173" s="3">
        <f>loans!T37+loans!T45</f>
        <v>1981762.9188794643</v>
      </c>
      <c r="W173" s="3">
        <f>loans!U37+loans!U45</f>
        <v>1931490.2216383275</v>
      </c>
      <c r="X173" s="3">
        <f>loans!V37+loans!V45</f>
        <v>1933329.4666593447</v>
      </c>
      <c r="Y173" s="3">
        <f>loans!W37+loans!W45</f>
        <v>1933329.4666592851</v>
      </c>
      <c r="Z173" s="3">
        <f>loans!X37+loans!X45</f>
        <v>1933329.4666593485</v>
      </c>
      <c r="AA173" s="3">
        <f>loans!Y37+loans!Y45</f>
        <v>1933329.4666593447</v>
      </c>
      <c r="AB173" s="3">
        <f>loans!Z37+loans!Z45</f>
        <v>1933329.4666592851</v>
      </c>
      <c r="AC173" s="3">
        <f>loans!AA37+loans!AA45</f>
        <v>1881004.0423069615</v>
      </c>
      <c r="AD173" s="3">
        <f t="shared" si="70"/>
        <v>23387956.191639379</v>
      </c>
      <c r="AF173" s="57"/>
      <c r="AG173" s="3">
        <f>loans!AD37+loans!AD45</f>
        <v>1977080.2528174818</v>
      </c>
      <c r="AH173" s="3">
        <f>loans!AE37+loans!AE45</f>
        <v>1977080.2528174818</v>
      </c>
      <c r="AI173" s="3">
        <f>loans!AF37+loans!AF45</f>
        <v>1977080.2528175414</v>
      </c>
      <c r="AJ173" s="3">
        <f>loans!AG37+loans!AG45</f>
        <v>1977080.2528174818</v>
      </c>
      <c r="AK173" s="3">
        <f>loans!AH37+loans!AH45</f>
        <v>1977080.2528175376</v>
      </c>
      <c r="AL173" s="3">
        <f>loans!AI37+loans!AI45</f>
        <v>1864943.9729172904</v>
      </c>
      <c r="AM173" s="3">
        <f>loans!AJ37+loans!AJ45</f>
        <v>1922056.8608167656</v>
      </c>
      <c r="AN173" s="3">
        <f>loans!AK37+loans!AK45</f>
        <v>1922056.8608167693</v>
      </c>
      <c r="AO173" s="3">
        <f>loans!AL37+loans!AL45</f>
        <v>1922056.8608167656</v>
      </c>
      <c r="AP173" s="3">
        <f>loans!AM37+loans!AM45</f>
        <v>1922056.8608167693</v>
      </c>
      <c r="AQ173" s="3">
        <f>loans!AN37+loans!AN45</f>
        <v>1922056.8608167656</v>
      </c>
      <c r="AR173" s="3">
        <f>loans!AO37+loans!AO45</f>
        <v>1805410.0145918073</v>
      </c>
      <c r="AS173" s="3">
        <f t="shared" si="71"/>
        <v>23166039.555680458</v>
      </c>
    </row>
    <row r="174" spans="1:45">
      <c r="A174" s="56" t="s">
        <v>458</v>
      </c>
      <c r="B174" s="57" t="s">
        <v>1241</v>
      </c>
      <c r="C174" s="3">
        <f>IF(Balance!C95,0,loans!B52)</f>
        <v>0</v>
      </c>
      <c r="D174" s="3">
        <f>IF(Balance!D95,0,loans!C52)</f>
        <v>0</v>
      </c>
      <c r="E174" s="3">
        <f>IF(Balance!E95,0,loans!D52)</f>
        <v>0</v>
      </c>
      <c r="F174" s="3">
        <f>IF(Balance!F95,0,loans!E52)</f>
        <v>0</v>
      </c>
      <c r="G174" s="3">
        <f>IF(Balance!G95,0,loans!F52)</f>
        <v>0</v>
      </c>
      <c r="H174" s="3">
        <f>IF(Balance!H95,0,loans!G52)</f>
        <v>0</v>
      </c>
      <c r="I174" s="3">
        <f>IF(Balance!I95,0,loans!H52)</f>
        <v>0</v>
      </c>
      <c r="J174" s="3">
        <f>IF(Balance!J95,0,loans!I52)</f>
        <v>0</v>
      </c>
      <c r="K174" s="3">
        <f>IF(Balance!K95,0,loans!J52)</f>
        <v>0</v>
      </c>
      <c r="L174" s="3">
        <f>IF(Balance!L95,0,loans!K52)</f>
        <v>32788.64459304139</v>
      </c>
      <c r="M174" s="3">
        <f>IF(Balance!M95,0,loans!L52)</f>
        <v>32788.64459304139</v>
      </c>
      <c r="N174" s="3">
        <f>IF(Balance!N95,0,loans!M52)</f>
        <v>32788.64459304139</v>
      </c>
      <c r="O174" s="3">
        <f t="shared" si="69"/>
        <v>98365.933779124171</v>
      </c>
      <c r="P174" s="3"/>
      <c r="Q174" s="57"/>
      <c r="R174" s="3">
        <f>loans!P52</f>
        <v>99224.683994650841</v>
      </c>
      <c r="S174" s="3">
        <f>loans!Q52</f>
        <v>99224.683994650841</v>
      </c>
      <c r="T174" s="3">
        <f>loans!R52</f>
        <v>99224.683994650841</v>
      </c>
      <c r="U174" s="3">
        <f>loans!S52</f>
        <v>99224.683994654566</v>
      </c>
      <c r="V174" s="3">
        <f>loans!T52</f>
        <v>99224.683994650841</v>
      </c>
      <c r="W174" s="3">
        <f>loans!U52</f>
        <v>99224.683994650841</v>
      </c>
      <c r="X174" s="3">
        <f>loans!V52</f>
        <v>99224.683994650841</v>
      </c>
      <c r="Y174" s="3">
        <f>loans!W52</f>
        <v>99224.683994650841</v>
      </c>
      <c r="Z174" s="3">
        <f>loans!X52</f>
        <v>99224.683994650841</v>
      </c>
      <c r="AA174" s="3">
        <f>loans!Y52</f>
        <v>99224.683994650841</v>
      </c>
      <c r="AB174" s="3">
        <f>loans!Z52</f>
        <v>99224.683994654566</v>
      </c>
      <c r="AC174" s="3">
        <f>loans!AA52</f>
        <v>99224.683994650841</v>
      </c>
      <c r="AD174" s="3">
        <f t="shared" si="70"/>
        <v>1190696.2079358175</v>
      </c>
      <c r="AF174" s="57"/>
      <c r="AG174" s="3">
        <f>loans!AD52</f>
        <v>104185.91819438338</v>
      </c>
      <c r="AH174" s="3">
        <f>loans!AE52</f>
        <v>104185.91819438338</v>
      </c>
      <c r="AI174" s="3">
        <f>loans!AF52</f>
        <v>104185.91819438711</v>
      </c>
      <c r="AJ174" s="3">
        <f>loans!AG52</f>
        <v>104185.91819438338</v>
      </c>
      <c r="AK174" s="3">
        <f>loans!AH52</f>
        <v>104185.91819438711</v>
      </c>
      <c r="AL174" s="3">
        <f>loans!AI52</f>
        <v>104185.91819438338</v>
      </c>
      <c r="AM174" s="3">
        <f>loans!AJ52</f>
        <v>104185.91819438338</v>
      </c>
      <c r="AN174" s="3">
        <f>loans!AK52</f>
        <v>104185.91819438711</v>
      </c>
      <c r="AO174" s="3">
        <f>loans!AL52</f>
        <v>104185.91819438338</v>
      </c>
      <c r="AP174" s="3">
        <f>loans!AM52</f>
        <v>104185.91819438711</v>
      </c>
      <c r="AQ174" s="3">
        <f>loans!AN52</f>
        <v>104185.91819438338</v>
      </c>
      <c r="AR174" s="3">
        <f>loans!AO52</f>
        <v>104185.91819438338</v>
      </c>
      <c r="AS174" s="3">
        <f t="shared" si="71"/>
        <v>1250231.0183326155</v>
      </c>
    </row>
    <row r="175" spans="1:45" hidden="1">
      <c r="A175" s="56" t="s">
        <v>460</v>
      </c>
      <c r="B175" s="55" t="str">
        <f>'P&amp;L$'!B176</f>
        <v>Inne</v>
      </c>
      <c r="C175" s="3">
        <f>'P&amp;L$'!C176*Factors!C$11</f>
        <v>0</v>
      </c>
      <c r="D175" s="3">
        <f>'P&amp;L$'!D176*Factors!D$11</f>
        <v>0</v>
      </c>
      <c r="E175" s="3">
        <f>'P&amp;L$'!E176*Factors!E$11</f>
        <v>0</v>
      </c>
      <c r="F175" s="3">
        <f>'P&amp;L$'!F176*Factors!F$11</f>
        <v>0</v>
      </c>
      <c r="G175" s="3">
        <f>'P&amp;L$'!G176*Factors!G$11</f>
        <v>0</v>
      </c>
      <c r="H175" s="3">
        <f>'P&amp;L$'!H176*Factors!H$11</f>
        <v>0</v>
      </c>
      <c r="I175" s="3">
        <f>'P&amp;L$'!I176*Factors!I$11</f>
        <v>0</v>
      </c>
      <c r="J175" s="3">
        <f>'P&amp;L$'!J176*Factors!J$11</f>
        <v>0</v>
      </c>
      <c r="K175" s="3">
        <f>'P&amp;L$'!K176*Factors!K$11</f>
        <v>0</v>
      </c>
      <c r="L175" s="3">
        <f>'P&amp;L$'!L176*Factors!L$11</f>
        <v>0</v>
      </c>
      <c r="M175" s="3">
        <f>'P&amp;L$'!M176*Factors!M$11</f>
        <v>0</v>
      </c>
      <c r="N175" s="3">
        <f>'P&amp;L$'!N176*Factors!N$11</f>
        <v>0</v>
      </c>
      <c r="O175" s="3">
        <f t="shared" si="69"/>
        <v>0</v>
      </c>
      <c r="P175" s="3"/>
      <c r="Q175" s="57"/>
      <c r="R175" s="3">
        <f>'P&amp;L$'!R176*Factors!R$11</f>
        <v>0</v>
      </c>
      <c r="S175" s="3">
        <f>'P&amp;L$'!S176*Factors!S$11</f>
        <v>0</v>
      </c>
      <c r="T175" s="3">
        <f>'P&amp;L$'!T176*Factors!T$11</f>
        <v>0</v>
      </c>
      <c r="U175" s="3">
        <f>'P&amp;L$'!U176*Factors!U$11</f>
        <v>0</v>
      </c>
      <c r="V175" s="3">
        <f>'P&amp;L$'!V176*Factors!V$11</f>
        <v>0</v>
      </c>
      <c r="W175" s="3">
        <f>'P&amp;L$'!W176*Factors!W$11</f>
        <v>0</v>
      </c>
      <c r="X175" s="3">
        <f>'P&amp;L$'!X176*Factors!X$11</f>
        <v>0</v>
      </c>
      <c r="Y175" s="3">
        <f>'P&amp;L$'!Y176*Factors!Y$11</f>
        <v>0</v>
      </c>
      <c r="Z175" s="3">
        <f>'P&amp;L$'!Z176*Factors!Z$11</f>
        <v>0</v>
      </c>
      <c r="AA175" s="3">
        <f>'P&amp;L$'!AA176*Factors!AA$11</f>
        <v>0</v>
      </c>
      <c r="AB175" s="3">
        <f>'P&amp;L$'!AB176*Factors!AB$11</f>
        <v>0</v>
      </c>
      <c r="AC175" s="3">
        <f>'P&amp;L$'!AC176*Factors!AC$11</f>
        <v>0</v>
      </c>
      <c r="AD175" s="3">
        <f t="shared" si="70"/>
        <v>0</v>
      </c>
      <c r="AF175" s="57"/>
      <c r="AG175" s="3">
        <f>'P&amp;L$'!AG176*Factors!AG$11</f>
        <v>0</v>
      </c>
      <c r="AH175" s="3">
        <f>'P&amp;L$'!AH176*Factors!AH$11</f>
        <v>0</v>
      </c>
      <c r="AI175" s="3">
        <f>'P&amp;L$'!AI176*Factors!AI$11</f>
        <v>0</v>
      </c>
      <c r="AJ175" s="3">
        <f>'P&amp;L$'!AJ176*Factors!AJ$11</f>
        <v>0</v>
      </c>
      <c r="AK175" s="3">
        <f>'P&amp;L$'!AK176*Factors!AK$11</f>
        <v>0</v>
      </c>
      <c r="AL175" s="3">
        <f>'P&amp;L$'!AL176*Factors!AL$11</f>
        <v>0</v>
      </c>
      <c r="AM175" s="3">
        <f>'P&amp;L$'!AM176*Factors!AM$11</f>
        <v>0</v>
      </c>
      <c r="AN175" s="3">
        <f>'P&amp;L$'!AN176*Factors!AN$11</f>
        <v>0</v>
      </c>
      <c r="AO175" s="3">
        <f>'P&amp;L$'!AO176*Factors!AO$11</f>
        <v>0</v>
      </c>
      <c r="AP175" s="3">
        <f>'P&amp;L$'!AP176*Factors!AP$11</f>
        <v>0</v>
      </c>
      <c r="AQ175" s="3">
        <f>'P&amp;L$'!AQ176*Factors!AQ$11</f>
        <v>0</v>
      </c>
      <c r="AR175" s="3">
        <f>'P&amp;L$'!AR176*Factors!AR$11</f>
        <v>0</v>
      </c>
      <c r="AS175" s="3">
        <f t="shared" si="71"/>
        <v>0</v>
      </c>
    </row>
    <row r="176" spans="1:45" ht="13.5" thickBot="1">
      <c r="A176" s="56"/>
      <c r="B176" s="136" t="s">
        <v>97</v>
      </c>
      <c r="C176" s="19">
        <f>SUM(C165:C175)</f>
        <v>3112209.7774067633</v>
      </c>
      <c r="D176" s="19">
        <f t="shared" ref="D176:O176" si="72">SUM(D165:D175)</f>
        <v>3053484.2972141579</v>
      </c>
      <c r="E176" s="19">
        <f t="shared" si="72"/>
        <v>3127615.6195123098</v>
      </c>
      <c r="F176" s="19">
        <f t="shared" si="72"/>
        <v>3059511.2054447075</v>
      </c>
      <c r="G176" s="19">
        <f t="shared" si="72"/>
        <v>3090032.4766498208</v>
      </c>
      <c r="H176" s="19">
        <f t="shared" si="72"/>
        <v>3040938.4464424616</v>
      </c>
      <c r="I176" s="19">
        <f t="shared" si="72"/>
        <v>3070352.9852714902</v>
      </c>
      <c r="J176" s="19">
        <f t="shared" si="72"/>
        <v>3077884.852292507</v>
      </c>
      <c r="K176" s="19">
        <f t="shared" si="72"/>
        <v>3063442.905873619</v>
      </c>
      <c r="L176" s="19">
        <f t="shared" si="72"/>
        <v>3741993.1649461878</v>
      </c>
      <c r="M176" s="19">
        <f t="shared" si="72"/>
        <v>3726589.2065244149</v>
      </c>
      <c r="N176" s="19">
        <f t="shared" si="72"/>
        <v>3720309.958946568</v>
      </c>
      <c r="O176" s="19">
        <f t="shared" si="72"/>
        <v>38884364.89652501</v>
      </c>
      <c r="P176" s="3"/>
      <c r="Q176" s="57"/>
      <c r="R176" s="19">
        <f t="shared" ref="R176:AD176" si="73">SUM(R165:R175)</f>
        <v>5104380.8884250792</v>
      </c>
      <c r="S176" s="19">
        <f t="shared" si="73"/>
        <v>5090234.0385519201</v>
      </c>
      <c r="T176" s="19">
        <f t="shared" si="73"/>
        <v>5178017.3146673609</v>
      </c>
      <c r="U176" s="19">
        <f t="shared" si="73"/>
        <v>5082834.8950562607</v>
      </c>
      <c r="V176" s="19">
        <f t="shared" si="73"/>
        <v>5127530.0236025862</v>
      </c>
      <c r="W176" s="19">
        <f t="shared" si="73"/>
        <v>5038426.7501372406</v>
      </c>
      <c r="X176" s="19">
        <f t="shared" si="73"/>
        <v>5083735.0899622878</v>
      </c>
      <c r="Y176" s="19">
        <f t="shared" si="73"/>
        <v>5105429.395199785</v>
      </c>
      <c r="Z176" s="19">
        <f t="shared" si="73"/>
        <v>5105083.3646566998</v>
      </c>
      <c r="AA176" s="19">
        <f t="shared" si="73"/>
        <v>5053352.679724101</v>
      </c>
      <c r="AB176" s="19">
        <f t="shared" si="73"/>
        <v>5051535.0021402761</v>
      </c>
      <c r="AC176" s="19">
        <f t="shared" si="73"/>
        <v>5002107.0852563083</v>
      </c>
      <c r="AD176" s="19">
        <f t="shared" si="73"/>
        <v>61022666.527379908</v>
      </c>
      <c r="AF176" s="57"/>
      <c r="AG176" s="19">
        <f t="shared" ref="AG176:AS176" si="74">SUM(AG165:AG175)</f>
        <v>5153810.1509986119</v>
      </c>
      <c r="AH176" s="19">
        <f t="shared" si="74"/>
        <v>4947170.324230656</v>
      </c>
      <c r="AI176" s="19">
        <f t="shared" si="74"/>
        <v>5122302.1260081902</v>
      </c>
      <c r="AJ176" s="19">
        <f t="shared" si="74"/>
        <v>5051658.2885852298</v>
      </c>
      <c r="AK176" s="19">
        <f t="shared" si="74"/>
        <v>5068416.0623548171</v>
      </c>
      <c r="AL176" s="19">
        <f t="shared" si="74"/>
        <v>4883785.7612963254</v>
      </c>
      <c r="AM176" s="19">
        <f t="shared" si="74"/>
        <v>4956240.5583976824</v>
      </c>
      <c r="AN176" s="19">
        <f t="shared" si="74"/>
        <v>4949675.7508302815</v>
      </c>
      <c r="AO176" s="19">
        <f t="shared" si="74"/>
        <v>5033319.9170538913</v>
      </c>
      <c r="AP176" s="19">
        <f t="shared" si="74"/>
        <v>5005527.4277964802</v>
      </c>
      <c r="AQ176" s="19">
        <f t="shared" si="74"/>
        <v>4976036.7863158649</v>
      </c>
      <c r="AR176" s="19">
        <f t="shared" si="74"/>
        <v>4829493.2971076276</v>
      </c>
      <c r="AS176" s="19">
        <f t="shared" si="74"/>
        <v>59977436.450975657</v>
      </c>
    </row>
    <row r="177" spans="1:45" ht="13.5" thickTop="1">
      <c r="A177" s="56"/>
      <c r="B177" s="5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57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F177" s="57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>
      <c r="A178" s="54" t="s">
        <v>462</v>
      </c>
      <c r="B178" s="55" t="str">
        <f>'P&amp;L$'!B179</f>
        <v>FINANCIAL REVENUES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55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F178" s="55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>
      <c r="A179" s="56" t="s">
        <v>464</v>
      </c>
      <c r="B179" s="57" t="str">
        <f>'P&amp;L$'!B180</f>
        <v>Interest Received</v>
      </c>
      <c r="C179" s="3">
        <f>Interest!C70</f>
        <v>-30370.75</v>
      </c>
      <c r="D179" s="3">
        <f>Interest!D70</f>
        <v>-31836.170135774995</v>
      </c>
      <c r="E179" s="3">
        <f>Interest!E70</f>
        <v>-35486.802679538479</v>
      </c>
      <c r="F179" s="3">
        <f>Interest!F70</f>
        <v>-22226.649997995399</v>
      </c>
      <c r="G179" s="3">
        <f>Interest!G70</f>
        <v>-24844.16785610142</v>
      </c>
      <c r="H179" s="3">
        <f>Interest!H70</f>
        <v>-26942.588602986776</v>
      </c>
      <c r="I179" s="3">
        <f>Interest!I70</f>
        <v>-18071.932988126064</v>
      </c>
      <c r="J179" s="3">
        <f>Interest!J70</f>
        <v>-18390.957196397925</v>
      </c>
      <c r="K179" s="3">
        <f>Interest!K70</f>
        <v>-22643.931107240362</v>
      </c>
      <c r="L179" s="3">
        <f>Interest!L70</f>
        <v>-11411.887563679804</v>
      </c>
      <c r="M179" s="3">
        <f>Interest!M70</f>
        <v>-14030.254206356218</v>
      </c>
      <c r="N179" s="3">
        <f>Interest!N70</f>
        <v>-19209.843541206657</v>
      </c>
      <c r="O179" s="3">
        <f>SUM(C179:N179)</f>
        <v>-275465.93587540404</v>
      </c>
      <c r="P179" s="3"/>
      <c r="Q179" s="57"/>
      <c r="R179" s="3">
        <f>Interest!Q70</f>
        <v>-85000</v>
      </c>
      <c r="S179" s="3">
        <f>Interest!R70</f>
        <v>-85000</v>
      </c>
      <c r="T179" s="3">
        <f>Interest!S70</f>
        <v>-85000</v>
      </c>
      <c r="U179" s="3">
        <f>Interest!T70</f>
        <v>-85000</v>
      </c>
      <c r="V179" s="3">
        <f>Interest!U70</f>
        <v>-85000</v>
      </c>
      <c r="W179" s="3">
        <f>Interest!V70</f>
        <v>-85000</v>
      </c>
      <c r="X179" s="3">
        <f>Interest!W70</f>
        <v>-85000</v>
      </c>
      <c r="Y179" s="3">
        <f>Interest!X70</f>
        <v>-85000</v>
      </c>
      <c r="Z179" s="3">
        <f>Interest!Y70</f>
        <v>-85000</v>
      </c>
      <c r="AA179" s="3">
        <f>Interest!Z70</f>
        <v>-85000</v>
      </c>
      <c r="AB179" s="3">
        <f>Interest!AA70</f>
        <v>-85000</v>
      </c>
      <c r="AC179" s="3">
        <f>Interest!AB70</f>
        <v>-85000</v>
      </c>
      <c r="AD179" s="3">
        <f>SUM(R179:AC179)</f>
        <v>-1020000</v>
      </c>
      <c r="AF179" s="57"/>
      <c r="AG179" s="3">
        <f>Interest!AE70</f>
        <v>-85000</v>
      </c>
      <c r="AH179" s="3">
        <f>Interest!AF70</f>
        <v>-85000</v>
      </c>
      <c r="AI179" s="3">
        <f>Interest!AG70</f>
        <v>-85000</v>
      </c>
      <c r="AJ179" s="3">
        <f>Interest!AH70</f>
        <v>-85000</v>
      </c>
      <c r="AK179" s="3">
        <f>Interest!AI70</f>
        <v>-85000</v>
      </c>
      <c r="AL179" s="3">
        <f>Interest!AJ70</f>
        <v>-85000</v>
      </c>
      <c r="AM179" s="3">
        <f>Interest!AK70</f>
        <v>-85000</v>
      </c>
      <c r="AN179" s="3">
        <f>Interest!AL70</f>
        <v>-85000</v>
      </c>
      <c r="AO179" s="3">
        <f>Interest!AM70</f>
        <v>-85000</v>
      </c>
      <c r="AP179" s="3">
        <f>Interest!AN70</f>
        <v>-85000</v>
      </c>
      <c r="AQ179" s="3">
        <f>Interest!AO70</f>
        <v>-85000</v>
      </c>
      <c r="AR179" s="3">
        <f>Interest!AP70</f>
        <v>-85000</v>
      </c>
      <c r="AS179" s="3">
        <f>SUM(AG179:AR179)</f>
        <v>-1020000</v>
      </c>
    </row>
    <row r="180" spans="1:45" hidden="1">
      <c r="A180" s="56" t="s">
        <v>466</v>
      </c>
      <c r="B180" s="57" t="s">
        <v>467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>
        <f>SUM(C180:N180)</f>
        <v>0</v>
      </c>
      <c r="P180" s="3"/>
      <c r="Q180" s="57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>
        <f>SUM(R180:AC180)</f>
        <v>0</v>
      </c>
      <c r="AF180" s="57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>
        <f>SUM(AG180:AR180)</f>
        <v>0</v>
      </c>
    </row>
    <row r="181" spans="1:45" hidden="1">
      <c r="A181" s="56" t="s">
        <v>468</v>
      </c>
      <c r="B181" s="57" t="s">
        <v>469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>
        <f>SUM(C181:N181)</f>
        <v>0</v>
      </c>
      <c r="P181" s="3"/>
      <c r="Q181" s="57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>
        <f>SUM(R181:AC181)</f>
        <v>0</v>
      </c>
      <c r="AF181" s="57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>
        <f>SUM(AG181:AR181)</f>
        <v>0</v>
      </c>
    </row>
    <row r="182" spans="1:45" hidden="1">
      <c r="A182" s="56" t="s">
        <v>470</v>
      </c>
      <c r="B182" s="57" t="s">
        <v>471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>
        <f>SUM(C182:N182)</f>
        <v>0</v>
      </c>
      <c r="P182" s="3"/>
      <c r="Q182" s="57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>
        <f>SUM(R182:AC182)</f>
        <v>0</v>
      </c>
      <c r="AF182" s="57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>
        <f>SUM(AG182:AR182)</f>
        <v>0</v>
      </c>
    </row>
    <row r="183" spans="1:45" hidden="1">
      <c r="A183" s="56" t="s">
        <v>472</v>
      </c>
      <c r="B183" s="57" t="s">
        <v>461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>
        <f>SUM(C183:N183)</f>
        <v>0</v>
      </c>
      <c r="P183" s="3"/>
      <c r="Q183" s="57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>
        <f>SUM(R183:AC183)</f>
        <v>0</v>
      </c>
      <c r="AF183" s="57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>
        <f>SUM(AG183:AR183)</f>
        <v>0</v>
      </c>
    </row>
    <row r="184" spans="1:45" ht="13.5" thickBot="1">
      <c r="A184" s="56"/>
      <c r="B184" s="136" t="s">
        <v>97</v>
      </c>
      <c r="C184" s="19">
        <f>SUM(C179:C183)</f>
        <v>-30370.75</v>
      </c>
      <c r="D184" s="19">
        <f t="shared" ref="D184:O184" si="75">SUM(D179:D183)</f>
        <v>-31836.170135774995</v>
      </c>
      <c r="E184" s="19">
        <f t="shared" si="75"/>
        <v>-35486.802679538479</v>
      </c>
      <c r="F184" s="19">
        <f t="shared" si="75"/>
        <v>-22226.649997995399</v>
      </c>
      <c r="G184" s="19">
        <f t="shared" si="75"/>
        <v>-24844.16785610142</v>
      </c>
      <c r="H184" s="19">
        <f t="shared" si="75"/>
        <v>-26942.588602986776</v>
      </c>
      <c r="I184" s="19">
        <f t="shared" si="75"/>
        <v>-18071.932988126064</v>
      </c>
      <c r="J184" s="19">
        <f t="shared" si="75"/>
        <v>-18390.957196397925</v>
      </c>
      <c r="K184" s="19">
        <f t="shared" si="75"/>
        <v>-22643.931107240362</v>
      </c>
      <c r="L184" s="19">
        <f t="shared" si="75"/>
        <v>-11411.887563679804</v>
      </c>
      <c r="M184" s="19">
        <f t="shared" si="75"/>
        <v>-14030.254206356218</v>
      </c>
      <c r="N184" s="19">
        <f t="shared" si="75"/>
        <v>-19209.843541206657</v>
      </c>
      <c r="O184" s="19">
        <f t="shared" si="75"/>
        <v>-275465.93587540404</v>
      </c>
      <c r="P184" s="3"/>
      <c r="Q184" s="57"/>
      <c r="R184" s="19">
        <f t="shared" ref="R184:AD184" si="76">SUM(R179:R183)</f>
        <v>-85000</v>
      </c>
      <c r="S184" s="19">
        <f t="shared" si="76"/>
        <v>-85000</v>
      </c>
      <c r="T184" s="19">
        <f t="shared" si="76"/>
        <v>-85000</v>
      </c>
      <c r="U184" s="19">
        <f t="shared" si="76"/>
        <v>-85000</v>
      </c>
      <c r="V184" s="19">
        <f t="shared" si="76"/>
        <v>-85000</v>
      </c>
      <c r="W184" s="19">
        <f t="shared" si="76"/>
        <v>-85000</v>
      </c>
      <c r="X184" s="19">
        <f t="shared" si="76"/>
        <v>-85000</v>
      </c>
      <c r="Y184" s="19">
        <f t="shared" si="76"/>
        <v>-85000</v>
      </c>
      <c r="Z184" s="19">
        <f t="shared" si="76"/>
        <v>-85000</v>
      </c>
      <c r="AA184" s="19">
        <f t="shared" si="76"/>
        <v>-85000</v>
      </c>
      <c r="AB184" s="19">
        <f t="shared" si="76"/>
        <v>-85000</v>
      </c>
      <c r="AC184" s="19">
        <f t="shared" si="76"/>
        <v>-85000</v>
      </c>
      <c r="AD184" s="19">
        <f t="shared" si="76"/>
        <v>-1020000</v>
      </c>
      <c r="AF184" s="57"/>
      <c r="AG184" s="19">
        <f t="shared" ref="AG184:AS184" si="77">SUM(AG179:AG183)</f>
        <v>-85000</v>
      </c>
      <c r="AH184" s="19">
        <f t="shared" si="77"/>
        <v>-85000</v>
      </c>
      <c r="AI184" s="19">
        <f t="shared" si="77"/>
        <v>-85000</v>
      </c>
      <c r="AJ184" s="19">
        <f t="shared" si="77"/>
        <v>-85000</v>
      </c>
      <c r="AK184" s="19">
        <f t="shared" si="77"/>
        <v>-85000</v>
      </c>
      <c r="AL184" s="19">
        <f t="shared" si="77"/>
        <v>-85000</v>
      </c>
      <c r="AM184" s="19">
        <f t="shared" si="77"/>
        <v>-85000</v>
      </c>
      <c r="AN184" s="19">
        <f t="shared" si="77"/>
        <v>-85000</v>
      </c>
      <c r="AO184" s="19">
        <f t="shared" si="77"/>
        <v>-85000</v>
      </c>
      <c r="AP184" s="19">
        <f t="shared" si="77"/>
        <v>-85000</v>
      </c>
      <c r="AQ184" s="19">
        <f t="shared" si="77"/>
        <v>-85000</v>
      </c>
      <c r="AR184" s="19">
        <f t="shared" si="77"/>
        <v>-85000</v>
      </c>
      <c r="AS184" s="19">
        <f t="shared" si="77"/>
        <v>-1020000</v>
      </c>
    </row>
    <row r="185" spans="1:45" ht="13.5" thickTop="1">
      <c r="A185" s="56"/>
      <c r="B185" s="5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57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F185" s="57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>
      <c r="A186" s="54" t="s">
        <v>473</v>
      </c>
      <c r="B186" s="55" t="str">
        <f>'P&amp;L$'!B187</f>
        <v>OTHER OPERATING COSTS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55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F186" s="55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idden="1">
      <c r="A187" s="56" t="s">
        <v>475</v>
      </c>
      <c r="B187" s="57" t="s">
        <v>476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>
        <f t="shared" ref="O187:O192" si="78">SUM(C187:N187)</f>
        <v>0</v>
      </c>
      <c r="P187" s="3"/>
      <c r="Q187" s="57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>
        <f t="shared" ref="AD187:AD192" si="79">SUM(R187:AC187)</f>
        <v>0</v>
      </c>
      <c r="AF187" s="57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>
        <f t="shared" ref="AS187:AS192" si="80">SUM(AG187:AR187)</f>
        <v>0</v>
      </c>
    </row>
    <row r="188" spans="1:45">
      <c r="A188" s="56" t="s">
        <v>477</v>
      </c>
      <c r="B188" s="57" t="str">
        <f>'P&amp;L$'!B189</f>
        <v>Bank Charges</v>
      </c>
      <c r="C188" s="3">
        <f>Interest!C79</f>
        <v>2600</v>
      </c>
      <c r="D188" s="3">
        <f>Interest!D79</f>
        <v>2600</v>
      </c>
      <c r="E188" s="3">
        <f>Interest!E79</f>
        <v>2600</v>
      </c>
      <c r="F188" s="3">
        <f>Interest!F79</f>
        <v>2600</v>
      </c>
      <c r="G188" s="3">
        <f>Interest!G79</f>
        <v>2600</v>
      </c>
      <c r="H188" s="3">
        <f>Interest!H79</f>
        <v>2600</v>
      </c>
      <c r="I188" s="3">
        <f>Interest!I79</f>
        <v>2600</v>
      </c>
      <c r="J188" s="3">
        <f>Interest!J79</f>
        <v>2600</v>
      </c>
      <c r="K188" s="3">
        <f>Interest!K79</f>
        <v>2600</v>
      </c>
      <c r="L188" s="3">
        <f>Interest!L79</f>
        <v>2600</v>
      </c>
      <c r="M188" s="3">
        <f>Interest!M79</f>
        <v>2600</v>
      </c>
      <c r="N188" s="3">
        <f>Interest!N79</f>
        <v>2600</v>
      </c>
      <c r="O188" s="3">
        <f t="shared" si="78"/>
        <v>31200</v>
      </c>
      <c r="P188" s="3"/>
      <c r="Q188" s="57"/>
      <c r="R188" s="3">
        <f>Interest!Q79</f>
        <v>2600</v>
      </c>
      <c r="S188" s="3">
        <f>Interest!R79</f>
        <v>2600</v>
      </c>
      <c r="T188" s="3">
        <f>Interest!S79</f>
        <v>2600</v>
      </c>
      <c r="U188" s="3">
        <f>Interest!T79</f>
        <v>2600</v>
      </c>
      <c r="V188" s="3">
        <f>Interest!U79</f>
        <v>2600</v>
      </c>
      <c r="W188" s="3">
        <f>Interest!V79</f>
        <v>2600</v>
      </c>
      <c r="X188" s="3">
        <f>Interest!W79</f>
        <v>2600</v>
      </c>
      <c r="Y188" s="3">
        <f>Interest!X79</f>
        <v>2600</v>
      </c>
      <c r="Z188" s="3">
        <f>Interest!Y79</f>
        <v>2600</v>
      </c>
      <c r="AA188" s="3">
        <f>Interest!Z79</f>
        <v>2600</v>
      </c>
      <c r="AB188" s="3">
        <f>Interest!AA79</f>
        <v>2600</v>
      </c>
      <c r="AC188" s="3">
        <f>Interest!AB79</f>
        <v>2600</v>
      </c>
      <c r="AD188" s="3">
        <f t="shared" si="79"/>
        <v>31200</v>
      </c>
      <c r="AF188" s="57"/>
      <c r="AG188" s="3">
        <f>Interest!AE79</f>
        <v>2600</v>
      </c>
      <c r="AH188" s="3">
        <f>Interest!AF79</f>
        <v>2600</v>
      </c>
      <c r="AI188" s="3">
        <f>Interest!AG79</f>
        <v>2600</v>
      </c>
      <c r="AJ188" s="3">
        <f>Interest!AH79</f>
        <v>2600</v>
      </c>
      <c r="AK188" s="3">
        <f>Interest!AI79</f>
        <v>2600</v>
      </c>
      <c r="AL188" s="3">
        <f>Interest!AJ79</f>
        <v>2600</v>
      </c>
      <c r="AM188" s="3">
        <f>Interest!AK79</f>
        <v>2600</v>
      </c>
      <c r="AN188" s="3">
        <f>Interest!AL79</f>
        <v>2600</v>
      </c>
      <c r="AO188" s="3">
        <f>Interest!AM79</f>
        <v>2600</v>
      </c>
      <c r="AP188" s="3">
        <f>Interest!AN79</f>
        <v>2600</v>
      </c>
      <c r="AQ188" s="3">
        <f>Interest!AO79</f>
        <v>2600</v>
      </c>
      <c r="AR188" s="3">
        <f>Interest!AP79</f>
        <v>2600</v>
      </c>
      <c r="AS188" s="3">
        <f t="shared" si="80"/>
        <v>31200</v>
      </c>
    </row>
    <row r="189" spans="1:45">
      <c r="A189" s="56" t="s">
        <v>479</v>
      </c>
      <c r="B189" s="57" t="str">
        <f>'P&amp;L$'!B190</f>
        <v>Donations</v>
      </c>
      <c r="C189" s="3">
        <f>Donation!C6</f>
        <v>4500</v>
      </c>
      <c r="D189" s="3">
        <f>Donation!D6</f>
        <v>4500</v>
      </c>
      <c r="E189" s="3">
        <f>Donation!E6</f>
        <v>4500</v>
      </c>
      <c r="F189" s="3">
        <f>Donation!F6</f>
        <v>4500</v>
      </c>
      <c r="G189" s="3">
        <f>Donation!G6</f>
        <v>4500</v>
      </c>
      <c r="H189" s="3">
        <f>Donation!H6</f>
        <v>4500</v>
      </c>
      <c r="I189" s="3">
        <f>Donation!I6</f>
        <v>4500</v>
      </c>
      <c r="J189" s="3">
        <f>Donation!J6</f>
        <v>4500</v>
      </c>
      <c r="K189" s="3">
        <f>Donation!K6</f>
        <v>4500</v>
      </c>
      <c r="L189" s="3">
        <f>Donation!L6</f>
        <v>4500</v>
      </c>
      <c r="M189" s="3">
        <f>Donation!M6</f>
        <v>4500</v>
      </c>
      <c r="N189" s="3">
        <f>Donation!N6</f>
        <v>4500</v>
      </c>
      <c r="O189" s="3">
        <f t="shared" si="78"/>
        <v>54000</v>
      </c>
      <c r="P189" s="3"/>
      <c r="Q189" s="57"/>
      <c r="R189" s="3">
        <f>Donation!Q6</f>
        <v>4500</v>
      </c>
      <c r="S189" s="3">
        <f>Donation!R6</f>
        <v>4500</v>
      </c>
      <c r="T189" s="3">
        <f>Donation!S6</f>
        <v>4500</v>
      </c>
      <c r="U189" s="3">
        <f>Donation!T6</f>
        <v>4500</v>
      </c>
      <c r="V189" s="3">
        <f>Donation!U6</f>
        <v>4500</v>
      </c>
      <c r="W189" s="3">
        <f>Donation!V6</f>
        <v>4500</v>
      </c>
      <c r="X189" s="3">
        <f>Donation!W6</f>
        <v>4500</v>
      </c>
      <c r="Y189" s="3">
        <f>Donation!X6</f>
        <v>4500</v>
      </c>
      <c r="Z189" s="3">
        <f>Donation!Y6</f>
        <v>4500</v>
      </c>
      <c r="AA189" s="3">
        <f>Donation!Z6</f>
        <v>4500</v>
      </c>
      <c r="AB189" s="3">
        <f>Donation!AA6</f>
        <v>4500</v>
      </c>
      <c r="AC189" s="3">
        <f>Donation!AB6</f>
        <v>4500</v>
      </c>
      <c r="AD189" s="3">
        <f t="shared" si="79"/>
        <v>54000</v>
      </c>
      <c r="AF189" s="57"/>
      <c r="AG189" s="3">
        <f>Donation!AE6</f>
        <v>4500</v>
      </c>
      <c r="AH189" s="3">
        <f>Donation!AF6</f>
        <v>4500</v>
      </c>
      <c r="AI189" s="3">
        <f>Donation!AG6</f>
        <v>4500</v>
      </c>
      <c r="AJ189" s="3">
        <f>Donation!AH6</f>
        <v>4500</v>
      </c>
      <c r="AK189" s="3">
        <f>Donation!AI6</f>
        <v>4500</v>
      </c>
      <c r="AL189" s="3">
        <f>Donation!AJ6</f>
        <v>4500</v>
      </c>
      <c r="AM189" s="3">
        <f>Donation!AK6</f>
        <v>4500</v>
      </c>
      <c r="AN189" s="3">
        <f>Donation!AL6</f>
        <v>4500</v>
      </c>
      <c r="AO189" s="3">
        <f>Donation!AM6</f>
        <v>4500</v>
      </c>
      <c r="AP189" s="3">
        <f>Donation!AN6</f>
        <v>4500</v>
      </c>
      <c r="AQ189" s="3">
        <f>Donation!AO6</f>
        <v>4500</v>
      </c>
      <c r="AR189" s="3">
        <f>Donation!AP6</f>
        <v>4500</v>
      </c>
      <c r="AS189" s="3">
        <f t="shared" si="80"/>
        <v>54000</v>
      </c>
    </row>
    <row r="190" spans="1:45" hidden="1">
      <c r="A190" s="56" t="s">
        <v>481</v>
      </c>
      <c r="B190" s="57" t="s">
        <v>482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>
        <f t="shared" si="78"/>
        <v>0</v>
      </c>
      <c r="P190" s="3"/>
      <c r="Q190" s="57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>
        <f t="shared" si="79"/>
        <v>0</v>
      </c>
      <c r="AF190" s="57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>
        <f t="shared" si="80"/>
        <v>0</v>
      </c>
    </row>
    <row r="191" spans="1:45" hidden="1">
      <c r="A191" s="56" t="s">
        <v>483</v>
      </c>
      <c r="B191" s="57" t="s">
        <v>484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>
        <f t="shared" si="78"/>
        <v>0</v>
      </c>
      <c r="P191" s="3"/>
      <c r="Q191" s="57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>
        <f t="shared" si="79"/>
        <v>0</v>
      </c>
      <c r="AF191" s="57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>
        <f t="shared" si="80"/>
        <v>0</v>
      </c>
    </row>
    <row r="192" spans="1:45" hidden="1">
      <c r="A192" s="56" t="s">
        <v>485</v>
      </c>
      <c r="B192" s="57" t="s">
        <v>486</v>
      </c>
      <c r="C192" s="3">
        <f>C9</f>
        <v>0</v>
      </c>
      <c r="D192" s="3">
        <f t="shared" ref="D192:N192" si="81">D9</f>
        <v>0</v>
      </c>
      <c r="E192" s="3">
        <f t="shared" si="81"/>
        <v>0</v>
      </c>
      <c r="F192" s="3">
        <f t="shared" si="81"/>
        <v>0</v>
      </c>
      <c r="G192" s="3">
        <f t="shared" si="81"/>
        <v>0</v>
      </c>
      <c r="H192" s="3">
        <f t="shared" si="81"/>
        <v>0</v>
      </c>
      <c r="I192" s="3">
        <f t="shared" si="81"/>
        <v>0</v>
      </c>
      <c r="J192" s="3">
        <f t="shared" si="81"/>
        <v>0</v>
      </c>
      <c r="K192" s="3">
        <f t="shared" si="81"/>
        <v>0</v>
      </c>
      <c r="L192" s="3">
        <f t="shared" si="81"/>
        <v>0</v>
      </c>
      <c r="M192" s="3">
        <f t="shared" si="81"/>
        <v>0</v>
      </c>
      <c r="N192" s="3">
        <f t="shared" si="81"/>
        <v>0</v>
      </c>
      <c r="O192" s="3">
        <f t="shared" si="78"/>
        <v>0</v>
      </c>
      <c r="P192" s="3"/>
      <c r="Q192" s="57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>
        <f t="shared" si="79"/>
        <v>0</v>
      </c>
      <c r="AF192" s="57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>
        <f t="shared" si="80"/>
        <v>0</v>
      </c>
    </row>
    <row r="193" spans="1:45" ht="13.5" thickBot="1">
      <c r="A193" s="56"/>
      <c r="B193" s="136" t="s">
        <v>97</v>
      </c>
      <c r="C193" s="19">
        <f>SUM(C187:C192)</f>
        <v>7100</v>
      </c>
      <c r="D193" s="19">
        <f t="shared" ref="D193:O193" si="82">SUM(D187:D192)</f>
        <v>7100</v>
      </c>
      <c r="E193" s="19">
        <f t="shared" si="82"/>
        <v>7100</v>
      </c>
      <c r="F193" s="19">
        <f t="shared" si="82"/>
        <v>7100</v>
      </c>
      <c r="G193" s="19">
        <f t="shared" si="82"/>
        <v>7100</v>
      </c>
      <c r="H193" s="19">
        <f t="shared" si="82"/>
        <v>7100</v>
      </c>
      <c r="I193" s="19">
        <f t="shared" si="82"/>
        <v>7100</v>
      </c>
      <c r="J193" s="19">
        <f t="shared" si="82"/>
        <v>7100</v>
      </c>
      <c r="K193" s="19">
        <f t="shared" si="82"/>
        <v>7100</v>
      </c>
      <c r="L193" s="19">
        <f t="shared" si="82"/>
        <v>7100</v>
      </c>
      <c r="M193" s="19">
        <f t="shared" si="82"/>
        <v>7100</v>
      </c>
      <c r="N193" s="19">
        <f t="shared" si="82"/>
        <v>7100</v>
      </c>
      <c r="O193" s="19">
        <f t="shared" si="82"/>
        <v>85200</v>
      </c>
      <c r="P193" s="3"/>
      <c r="Q193" s="57"/>
      <c r="R193" s="19">
        <f t="shared" ref="R193:AD193" si="83">SUM(R187:R192)</f>
        <v>7100</v>
      </c>
      <c r="S193" s="19">
        <f t="shared" si="83"/>
        <v>7100</v>
      </c>
      <c r="T193" s="19">
        <f t="shared" si="83"/>
        <v>7100</v>
      </c>
      <c r="U193" s="19">
        <f t="shared" si="83"/>
        <v>7100</v>
      </c>
      <c r="V193" s="19">
        <f t="shared" si="83"/>
        <v>7100</v>
      </c>
      <c r="W193" s="19">
        <f t="shared" si="83"/>
        <v>7100</v>
      </c>
      <c r="X193" s="19">
        <f t="shared" si="83"/>
        <v>7100</v>
      </c>
      <c r="Y193" s="19">
        <f t="shared" si="83"/>
        <v>7100</v>
      </c>
      <c r="Z193" s="19">
        <f t="shared" si="83"/>
        <v>7100</v>
      </c>
      <c r="AA193" s="19">
        <f t="shared" si="83"/>
        <v>7100</v>
      </c>
      <c r="AB193" s="19">
        <f t="shared" si="83"/>
        <v>7100</v>
      </c>
      <c r="AC193" s="19">
        <f t="shared" si="83"/>
        <v>7100</v>
      </c>
      <c r="AD193" s="19">
        <f t="shared" si="83"/>
        <v>85200</v>
      </c>
      <c r="AF193" s="57"/>
      <c r="AG193" s="19">
        <f t="shared" ref="AG193:AS193" si="84">SUM(AG187:AG192)</f>
        <v>7100</v>
      </c>
      <c r="AH193" s="19">
        <f t="shared" si="84"/>
        <v>7100</v>
      </c>
      <c r="AI193" s="19">
        <f t="shared" si="84"/>
        <v>7100</v>
      </c>
      <c r="AJ193" s="19">
        <f t="shared" si="84"/>
        <v>7100</v>
      </c>
      <c r="AK193" s="19">
        <f t="shared" si="84"/>
        <v>7100</v>
      </c>
      <c r="AL193" s="19">
        <f t="shared" si="84"/>
        <v>7100</v>
      </c>
      <c r="AM193" s="19">
        <f t="shared" si="84"/>
        <v>7100</v>
      </c>
      <c r="AN193" s="19">
        <f t="shared" si="84"/>
        <v>7100</v>
      </c>
      <c r="AO193" s="19">
        <f t="shared" si="84"/>
        <v>7100</v>
      </c>
      <c r="AP193" s="19">
        <f t="shared" si="84"/>
        <v>7100</v>
      </c>
      <c r="AQ193" s="19">
        <f t="shared" si="84"/>
        <v>7100</v>
      </c>
      <c r="AR193" s="19">
        <f t="shared" si="84"/>
        <v>7100</v>
      </c>
      <c r="AS193" s="19">
        <f t="shared" si="84"/>
        <v>85200</v>
      </c>
    </row>
    <row r="194" spans="1:45" ht="13.5" thickTop="1">
      <c r="A194" s="56"/>
      <c r="B194" s="5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57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F194" s="57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idden="1">
      <c r="A195" s="54" t="s">
        <v>487</v>
      </c>
      <c r="B195" s="55" t="s">
        <v>488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55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F195" s="55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idden="1">
      <c r="A196" s="56" t="s">
        <v>489</v>
      </c>
      <c r="B196" s="57" t="s">
        <v>490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>
        <f>SUM(C196:N196)</f>
        <v>0</v>
      </c>
      <c r="P196" s="3"/>
      <c r="Q196" s="57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>
        <f>SUM(R196:AC196)</f>
        <v>0</v>
      </c>
      <c r="AF196" s="57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>
        <f>SUM(AG196:AR196)</f>
        <v>0</v>
      </c>
    </row>
    <row r="197" spans="1:45" hidden="1">
      <c r="A197" s="56" t="s">
        <v>491</v>
      </c>
      <c r="B197" s="57" t="s">
        <v>492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>
        <f>SUM(C197:N197)</f>
        <v>0</v>
      </c>
      <c r="P197" s="3"/>
      <c r="Q197" s="57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>
        <f>SUM(R197:AC197)</f>
        <v>0</v>
      </c>
      <c r="AF197" s="57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>
        <f>SUM(AG197:AR197)</f>
        <v>0</v>
      </c>
    </row>
    <row r="198" spans="1:45" hidden="1">
      <c r="A198" s="56" t="s">
        <v>493</v>
      </c>
      <c r="B198" s="57" t="s">
        <v>494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>
        <f>SUM(C198:N198)</f>
        <v>0</v>
      </c>
      <c r="P198" s="3"/>
      <c r="Q198" s="57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>
        <f>SUM(R198:AC198)</f>
        <v>0</v>
      </c>
      <c r="AF198" s="57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>
        <f>SUM(AG198:AR198)</f>
        <v>0</v>
      </c>
    </row>
    <row r="199" spans="1:45" ht="13.5" hidden="1" thickBot="1">
      <c r="A199" s="56"/>
      <c r="B199" s="57"/>
      <c r="C199" s="19">
        <f>SUM(C196:C198)</f>
        <v>0</v>
      </c>
      <c r="D199" s="19">
        <f t="shared" ref="D199:O199" si="85">SUM(D196:D198)</f>
        <v>0</v>
      </c>
      <c r="E199" s="19">
        <f t="shared" si="85"/>
        <v>0</v>
      </c>
      <c r="F199" s="19">
        <f t="shared" si="85"/>
        <v>0</v>
      </c>
      <c r="G199" s="19">
        <f t="shared" si="85"/>
        <v>0</v>
      </c>
      <c r="H199" s="19">
        <f t="shared" si="85"/>
        <v>0</v>
      </c>
      <c r="I199" s="19">
        <f t="shared" si="85"/>
        <v>0</v>
      </c>
      <c r="J199" s="19">
        <f t="shared" si="85"/>
        <v>0</v>
      </c>
      <c r="K199" s="19">
        <f t="shared" si="85"/>
        <v>0</v>
      </c>
      <c r="L199" s="19">
        <f t="shared" si="85"/>
        <v>0</v>
      </c>
      <c r="M199" s="19">
        <f t="shared" si="85"/>
        <v>0</v>
      </c>
      <c r="N199" s="19">
        <f t="shared" si="85"/>
        <v>0</v>
      </c>
      <c r="O199" s="19">
        <f t="shared" si="85"/>
        <v>0</v>
      </c>
      <c r="P199" s="3"/>
      <c r="Q199" s="57"/>
      <c r="R199" s="19">
        <f t="shared" ref="R199:AD199" si="86">SUM(R196:R198)</f>
        <v>0</v>
      </c>
      <c r="S199" s="19">
        <f t="shared" si="86"/>
        <v>0</v>
      </c>
      <c r="T199" s="19">
        <f t="shared" si="86"/>
        <v>0</v>
      </c>
      <c r="U199" s="19">
        <f t="shared" si="86"/>
        <v>0</v>
      </c>
      <c r="V199" s="19">
        <f t="shared" si="86"/>
        <v>0</v>
      </c>
      <c r="W199" s="19">
        <f t="shared" si="86"/>
        <v>0</v>
      </c>
      <c r="X199" s="19">
        <f t="shared" si="86"/>
        <v>0</v>
      </c>
      <c r="Y199" s="19">
        <f t="shared" si="86"/>
        <v>0</v>
      </c>
      <c r="Z199" s="19">
        <f t="shared" si="86"/>
        <v>0</v>
      </c>
      <c r="AA199" s="19">
        <f t="shared" si="86"/>
        <v>0</v>
      </c>
      <c r="AB199" s="19">
        <f t="shared" si="86"/>
        <v>0</v>
      </c>
      <c r="AC199" s="19">
        <f t="shared" si="86"/>
        <v>0</v>
      </c>
      <c r="AD199" s="19">
        <f t="shared" si="86"/>
        <v>0</v>
      </c>
      <c r="AF199" s="57"/>
      <c r="AG199" s="19">
        <f t="shared" ref="AG199:AS199" si="87">SUM(AG196:AG198)</f>
        <v>0</v>
      </c>
      <c r="AH199" s="19">
        <f t="shared" si="87"/>
        <v>0</v>
      </c>
      <c r="AI199" s="19">
        <f t="shared" si="87"/>
        <v>0</v>
      </c>
      <c r="AJ199" s="19">
        <f t="shared" si="87"/>
        <v>0</v>
      </c>
      <c r="AK199" s="19">
        <f t="shared" si="87"/>
        <v>0</v>
      </c>
      <c r="AL199" s="19">
        <f t="shared" si="87"/>
        <v>0</v>
      </c>
      <c r="AM199" s="19">
        <f t="shared" si="87"/>
        <v>0</v>
      </c>
      <c r="AN199" s="19">
        <f t="shared" si="87"/>
        <v>0</v>
      </c>
      <c r="AO199" s="19">
        <f t="shared" si="87"/>
        <v>0</v>
      </c>
      <c r="AP199" s="19">
        <f t="shared" si="87"/>
        <v>0</v>
      </c>
      <c r="AQ199" s="19">
        <f t="shared" si="87"/>
        <v>0</v>
      </c>
      <c r="AR199" s="19">
        <f t="shared" si="87"/>
        <v>0</v>
      </c>
      <c r="AS199" s="19">
        <f t="shared" si="87"/>
        <v>0</v>
      </c>
    </row>
    <row r="200" spans="1:45" ht="13.5" hidden="1" thickTop="1">
      <c r="A200" s="56"/>
      <c r="B200" s="5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57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F200" s="57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idden="1">
      <c r="A201" s="54" t="s">
        <v>495</v>
      </c>
      <c r="B201" s="55" t="s">
        <v>496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55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F201" s="55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idden="1">
      <c r="A202" s="56" t="s">
        <v>497</v>
      </c>
      <c r="B202" s="57" t="s">
        <v>498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>
        <f>SUM(C202:N202)</f>
        <v>0</v>
      </c>
      <c r="P202" s="3"/>
      <c r="Q202" s="57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>
        <f>SUM(R202:AC202)</f>
        <v>0</v>
      </c>
      <c r="AF202" s="57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>
        <f>SUM(AG202:AR202)</f>
        <v>0</v>
      </c>
    </row>
    <row r="203" spans="1:45" hidden="1">
      <c r="A203" s="56" t="s">
        <v>499</v>
      </c>
      <c r="B203" s="57" t="s">
        <v>500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>
        <f>SUM(C203:N203)</f>
        <v>0</v>
      </c>
      <c r="P203" s="3"/>
      <c r="Q203" s="57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>
        <f>SUM(R203:AC203)</f>
        <v>0</v>
      </c>
      <c r="AF203" s="57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>
        <f>SUM(AG203:AR203)</f>
        <v>0</v>
      </c>
    </row>
    <row r="204" spans="1:45" ht="13.5" hidden="1" thickBot="1">
      <c r="B204" s="192"/>
      <c r="C204" s="19">
        <f>SUM(C202:C203)</f>
        <v>0</v>
      </c>
      <c r="D204" s="19">
        <f t="shared" ref="D204:O204" si="88">SUM(D202:D203)</f>
        <v>0</v>
      </c>
      <c r="E204" s="19">
        <f t="shared" si="88"/>
        <v>0</v>
      </c>
      <c r="F204" s="19">
        <f t="shared" si="88"/>
        <v>0</v>
      </c>
      <c r="G204" s="19">
        <f t="shared" si="88"/>
        <v>0</v>
      </c>
      <c r="H204" s="19">
        <f t="shared" si="88"/>
        <v>0</v>
      </c>
      <c r="I204" s="19">
        <f t="shared" si="88"/>
        <v>0</v>
      </c>
      <c r="J204" s="19">
        <f t="shared" si="88"/>
        <v>0</v>
      </c>
      <c r="K204" s="19">
        <f t="shared" si="88"/>
        <v>0</v>
      </c>
      <c r="L204" s="19">
        <f t="shared" si="88"/>
        <v>0</v>
      </c>
      <c r="M204" s="19">
        <f t="shared" si="88"/>
        <v>0</v>
      </c>
      <c r="N204" s="19">
        <f t="shared" si="88"/>
        <v>0</v>
      </c>
      <c r="O204" s="19">
        <f t="shared" si="88"/>
        <v>0</v>
      </c>
      <c r="P204" s="3"/>
      <c r="R204" s="19">
        <f t="shared" ref="R204:AD204" si="89">SUM(R202:R203)</f>
        <v>0</v>
      </c>
      <c r="S204" s="19">
        <f t="shared" si="89"/>
        <v>0</v>
      </c>
      <c r="T204" s="19">
        <f t="shared" si="89"/>
        <v>0</v>
      </c>
      <c r="U204" s="19">
        <f t="shared" si="89"/>
        <v>0</v>
      </c>
      <c r="V204" s="19">
        <f t="shared" si="89"/>
        <v>0</v>
      </c>
      <c r="W204" s="19">
        <f t="shared" si="89"/>
        <v>0</v>
      </c>
      <c r="X204" s="19">
        <f t="shared" si="89"/>
        <v>0</v>
      </c>
      <c r="Y204" s="19">
        <f t="shared" si="89"/>
        <v>0</v>
      </c>
      <c r="Z204" s="19">
        <f t="shared" si="89"/>
        <v>0</v>
      </c>
      <c r="AA204" s="19">
        <f t="shared" si="89"/>
        <v>0</v>
      </c>
      <c r="AB204" s="19">
        <f t="shared" si="89"/>
        <v>0</v>
      </c>
      <c r="AC204" s="19">
        <f t="shared" si="89"/>
        <v>0</v>
      </c>
      <c r="AD204" s="19">
        <f t="shared" si="89"/>
        <v>0</v>
      </c>
      <c r="AG204" s="19">
        <f t="shared" ref="AG204:AS204" si="90">SUM(AG202:AG203)</f>
        <v>0</v>
      </c>
      <c r="AH204" s="19">
        <f t="shared" si="90"/>
        <v>0</v>
      </c>
      <c r="AI204" s="19">
        <f t="shared" si="90"/>
        <v>0</v>
      </c>
      <c r="AJ204" s="19">
        <f t="shared" si="90"/>
        <v>0</v>
      </c>
      <c r="AK204" s="19">
        <f t="shared" si="90"/>
        <v>0</v>
      </c>
      <c r="AL204" s="19">
        <f t="shared" si="90"/>
        <v>0</v>
      </c>
      <c r="AM204" s="19">
        <f t="shared" si="90"/>
        <v>0</v>
      </c>
      <c r="AN204" s="19">
        <f t="shared" si="90"/>
        <v>0</v>
      </c>
      <c r="AO204" s="19">
        <f t="shared" si="90"/>
        <v>0</v>
      </c>
      <c r="AP204" s="19">
        <f t="shared" si="90"/>
        <v>0</v>
      </c>
      <c r="AQ204" s="19">
        <f t="shared" si="90"/>
        <v>0</v>
      </c>
      <c r="AR204" s="19">
        <f t="shared" si="90"/>
        <v>0</v>
      </c>
      <c r="AS204" s="19">
        <f t="shared" si="90"/>
        <v>0</v>
      </c>
    </row>
    <row r="205" spans="1:45" ht="13.5" hidden="1" thickTop="1">
      <c r="B205" s="19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3.5" thickBot="1">
      <c r="B206" s="201" t="str">
        <f>'P&amp;L$'!B198</f>
        <v>TOTAL FINANCIAL&amp;OPERATIONAL</v>
      </c>
      <c r="C206" s="10">
        <f>C176+C184+C193+C199+C204</f>
        <v>3088939.0274067633</v>
      </c>
      <c r="D206" s="10">
        <f t="shared" ref="D206:O206" si="91">D176+D184+D193+D199+D204</f>
        <v>3028748.1270783828</v>
      </c>
      <c r="E206" s="10">
        <f t="shared" si="91"/>
        <v>3099228.8168327715</v>
      </c>
      <c r="F206" s="10">
        <f t="shared" si="91"/>
        <v>3044384.5554467123</v>
      </c>
      <c r="G206" s="10">
        <f t="shared" si="91"/>
        <v>3072288.3087937194</v>
      </c>
      <c r="H206" s="10">
        <f t="shared" si="91"/>
        <v>3021095.8578394749</v>
      </c>
      <c r="I206" s="10">
        <f t="shared" si="91"/>
        <v>3059381.0522833643</v>
      </c>
      <c r="J206" s="10">
        <f t="shared" si="91"/>
        <v>3066593.8950961092</v>
      </c>
      <c r="K206" s="10">
        <f t="shared" si="91"/>
        <v>3047898.9747663788</v>
      </c>
      <c r="L206" s="10">
        <f t="shared" si="91"/>
        <v>3737681.2773825079</v>
      </c>
      <c r="M206" s="10">
        <f t="shared" si="91"/>
        <v>3719658.9523180588</v>
      </c>
      <c r="N206" s="10">
        <f t="shared" si="91"/>
        <v>3708200.1154053612</v>
      </c>
      <c r="O206" s="10">
        <f t="shared" si="91"/>
        <v>38694098.96064961</v>
      </c>
      <c r="P206" s="3"/>
      <c r="Q206" s="40"/>
      <c r="R206" s="3">
        <f>R176+R184+R193+R199+R204</f>
        <v>5026480.8884250792</v>
      </c>
      <c r="S206" s="3">
        <f t="shared" ref="S206:AD206" si="92">S176+S184+S193+S199+S204</f>
        <v>5012334.0385519201</v>
      </c>
      <c r="T206" s="3">
        <f t="shared" si="92"/>
        <v>5100117.3146673609</v>
      </c>
      <c r="U206" s="3">
        <f t="shared" si="92"/>
        <v>5004934.8950562607</v>
      </c>
      <c r="V206" s="3">
        <f t="shared" si="92"/>
        <v>5049630.0236025862</v>
      </c>
      <c r="W206" s="3">
        <f t="shared" si="92"/>
        <v>4960526.7501372406</v>
      </c>
      <c r="X206" s="3">
        <f t="shared" si="92"/>
        <v>5005835.0899622878</v>
      </c>
      <c r="Y206" s="3">
        <f t="shared" si="92"/>
        <v>5027529.395199785</v>
      </c>
      <c r="Z206" s="3">
        <f t="shared" si="92"/>
        <v>5027183.3646566998</v>
      </c>
      <c r="AA206" s="3">
        <f t="shared" si="92"/>
        <v>4975452.679724101</v>
      </c>
      <c r="AB206" s="3">
        <f t="shared" si="92"/>
        <v>4973635.0021402761</v>
      </c>
      <c r="AC206" s="3">
        <f t="shared" si="92"/>
        <v>4924207.0852563083</v>
      </c>
      <c r="AD206" s="3">
        <f t="shared" si="92"/>
        <v>60087866.527379908</v>
      </c>
      <c r="AF206" s="40"/>
      <c r="AG206" s="3">
        <f>AG176+AG184+AG193+AG199+AG204</f>
        <v>5075910.1509986119</v>
      </c>
      <c r="AH206" s="3">
        <f t="shared" ref="AH206:AS206" si="93">AH176+AH184+AH193+AH199+AH204</f>
        <v>4869270.324230656</v>
      </c>
      <c r="AI206" s="3">
        <f t="shared" si="93"/>
        <v>5044402.1260081902</v>
      </c>
      <c r="AJ206" s="3">
        <f t="shared" si="93"/>
        <v>4973758.2885852298</v>
      </c>
      <c r="AK206" s="3">
        <f t="shared" si="93"/>
        <v>4990516.0623548171</v>
      </c>
      <c r="AL206" s="3">
        <f t="shared" si="93"/>
        <v>4805885.7612963254</v>
      </c>
      <c r="AM206" s="3">
        <f t="shared" si="93"/>
        <v>4878340.5583976824</v>
      </c>
      <c r="AN206" s="3">
        <f t="shared" si="93"/>
        <v>4871775.7508302815</v>
      </c>
      <c r="AO206" s="3">
        <f t="shared" si="93"/>
        <v>4955419.9170538913</v>
      </c>
      <c r="AP206" s="3">
        <f t="shared" si="93"/>
        <v>4927627.4277964802</v>
      </c>
      <c r="AQ206" s="3">
        <f t="shared" si="93"/>
        <v>4898136.7863158649</v>
      </c>
      <c r="AR206" s="3">
        <f t="shared" si="93"/>
        <v>4751593.2971076276</v>
      </c>
      <c r="AS206" s="3">
        <f t="shared" si="93"/>
        <v>59042636.450975657</v>
      </c>
    </row>
    <row r="207" spans="1:45" ht="13.5" thickTop="1">
      <c r="B207" s="19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39.6" customHeight="1">
      <c r="B208" s="19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2:45" s="2" customFormat="1" ht="16.5" thickBot="1">
      <c r="B209" s="313" t="str">
        <f>'P&amp;L$'!B201</f>
        <v>NET PROFIT</v>
      </c>
      <c r="C209" s="207">
        <f>C160-C206</f>
        <v>-3018388.8492423724</v>
      </c>
      <c r="D209" s="207">
        <f t="shared" ref="D209:O209" si="94">D160-D206</f>
        <v>-2491508.7931961906</v>
      </c>
      <c r="E209" s="207">
        <f t="shared" si="94"/>
        <v>-2926413.0454240032</v>
      </c>
      <c r="F209" s="207">
        <f t="shared" si="94"/>
        <v>-2876431.0152264535</v>
      </c>
      <c r="G209" s="207">
        <f t="shared" si="94"/>
        <v>-3699211.6778971753</v>
      </c>
      <c r="H209" s="207">
        <f t="shared" si="94"/>
        <v>-3448908.5138473311</v>
      </c>
      <c r="I209" s="207">
        <f t="shared" si="94"/>
        <v>-1003318.024556675</v>
      </c>
      <c r="J209" s="207">
        <f t="shared" si="94"/>
        <v>-998920.52658334281</v>
      </c>
      <c r="K209" s="207">
        <f t="shared" si="94"/>
        <v>-903551.15122063411</v>
      </c>
      <c r="L209" s="207">
        <f t="shared" si="94"/>
        <v>-1321124.8293126561</v>
      </c>
      <c r="M209" s="207">
        <f t="shared" si="94"/>
        <v>-1003929.1709501254</v>
      </c>
      <c r="N209" s="207">
        <f t="shared" si="94"/>
        <v>-859053.25168516394</v>
      </c>
      <c r="O209" s="207">
        <f t="shared" si="94"/>
        <v>-24550758.849142127</v>
      </c>
      <c r="R209" s="7">
        <f>R160-R206</f>
        <v>-1798919.0648792023</v>
      </c>
      <c r="S209" s="7">
        <f t="shared" ref="S209:AD209" si="95">S160-S206</f>
        <v>-1743415.0717644328</v>
      </c>
      <c r="T209" s="7">
        <f t="shared" si="95"/>
        <v>-2203001.4630023353</v>
      </c>
      <c r="U209" s="7">
        <f t="shared" si="95"/>
        <v>-2524222.6418322548</v>
      </c>
      <c r="V209" s="7">
        <f t="shared" si="95"/>
        <v>-3067568.6865414158</v>
      </c>
      <c r="W209" s="7">
        <f t="shared" si="95"/>
        <v>-5103795.6915138653</v>
      </c>
      <c r="X209" s="7">
        <f t="shared" si="95"/>
        <v>-307920.76181721594</v>
      </c>
      <c r="Y209" s="7">
        <f t="shared" si="95"/>
        <v>-522663.02612526715</v>
      </c>
      <c r="Z209" s="7">
        <f t="shared" si="95"/>
        <v>-1615283.8288692124</v>
      </c>
      <c r="AA209" s="7">
        <f t="shared" si="95"/>
        <v>383112.60106541589</v>
      </c>
      <c r="AB209" s="7">
        <f t="shared" si="95"/>
        <v>376088.157877177</v>
      </c>
      <c r="AC209" s="7">
        <f t="shared" si="95"/>
        <v>830762.99402459525</v>
      </c>
      <c r="AD209" s="7">
        <f t="shared" si="95"/>
        <v>-17296826.483378015</v>
      </c>
      <c r="AG209" s="7">
        <f>AG160-AG206</f>
        <v>-1727842.3713718513</v>
      </c>
      <c r="AH209" s="7">
        <f t="shared" ref="AH209:AS209" si="96">AH160-AH206</f>
        <v>-1121215.1391294617</v>
      </c>
      <c r="AI209" s="7">
        <f t="shared" si="96"/>
        <v>-1526551.4280642997</v>
      </c>
      <c r="AJ209" s="7">
        <f t="shared" si="96"/>
        <v>-1985837.8761767121</v>
      </c>
      <c r="AK209" s="7">
        <f t="shared" si="96"/>
        <v>-3259500.5190343978</v>
      </c>
      <c r="AL209" s="7">
        <f t="shared" si="96"/>
        <v>-2647355.7447145609</v>
      </c>
      <c r="AM209" s="7">
        <f t="shared" si="96"/>
        <v>281916.3142671138</v>
      </c>
      <c r="AN209" s="7">
        <f t="shared" si="96"/>
        <v>602991.65018718503</v>
      </c>
      <c r="AO209" s="7">
        <f t="shared" si="96"/>
        <v>754280.13389908522</v>
      </c>
      <c r="AP209" s="7">
        <f t="shared" si="96"/>
        <v>364544.11695017014</v>
      </c>
      <c r="AQ209" s="7">
        <f t="shared" si="96"/>
        <v>280529.34329508897</v>
      </c>
      <c r="AR209" s="7">
        <f t="shared" si="96"/>
        <v>2010713.8086136598</v>
      </c>
      <c r="AS209" s="7">
        <f t="shared" si="96"/>
        <v>-7973327.711278975</v>
      </c>
    </row>
    <row r="210" spans="2:45" ht="13.5" thickTop="1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4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2:4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4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4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4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4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4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4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4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4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4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2:4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2:4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2:4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3:24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3:24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3:24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3:24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3:24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3:24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3:24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3:24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3:24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3:24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3:24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3:24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3:24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3:24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3:24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3:24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3:24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3:24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3:24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3:24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3:24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3:24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3:24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3:24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3:24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3:24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3:24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3:24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3:24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3:24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3:24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3:24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3:24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3:24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3:24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3:24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3:24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3:24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3:24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3:24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3:24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3:24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3:24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3:24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3:24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3:24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3:24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3:24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3:24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3:24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3:24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3:24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3:24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3:24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3:24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3:24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3:24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3:24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3:24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3:24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3:24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3:24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3:24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3:24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3:24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3:24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3:24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3:24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3:24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3:24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3:24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3:24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3:24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3:24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3:24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3:24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3:24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3:24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3:24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3:24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3:24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3:24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3:24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3:24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3:24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3:24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3:24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3:24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3:24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3:24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3:24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3:24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3:24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3:24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3:24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3:24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3:24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3:24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3:24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3:24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3:24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3:24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3:24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3:24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3:24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3:24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3:24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3:24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3:24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3:24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3:24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3:24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3:24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3:24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3:24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3:24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3:24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3:24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3:24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3:24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3:24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3:24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3:24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3:24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3:24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3:24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3:24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3:24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3:24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3:24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3:24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3:24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3:24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3:24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3:24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3:24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3:24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3:24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3:24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3:24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3:24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3:24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3:24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3:24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3:24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3:24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3:24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3:24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3:24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3:24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3:24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3:24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3:24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3:24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3:24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3:24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3:24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3:24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3:24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3:24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3:24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3:24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3:24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3:24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3:24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3:24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3:24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3:24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3:24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3:24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3:24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3:24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3:24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3:24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3:24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3:24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3:24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3:24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3:24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3:24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3:24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3:24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3:24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3:24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3:24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3:24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3:24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3:24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3:24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3:24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3:24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3:24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3:24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3:24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3:24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3:24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3:24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3:24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3:24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3:24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3:24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3:24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3:24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3:24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3:24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3:24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3:24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3:24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3:24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3:24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3:24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3:24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3:24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3:24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3:24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3:24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3:24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3:24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3:24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3:24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3:24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3:24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3:24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3:24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3:24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3:24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3:24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3:24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3:24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3:24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3:24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3:24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3:24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3:24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3:24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3:24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3:24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3:24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3:24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3:24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3:24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3:24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3:24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3:24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3:24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3:24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3:24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3:24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3:24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3:24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3:24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3:24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3:24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3:24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3:24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3:24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3:24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3:24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3:24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3:24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3:24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3:24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3:24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3:24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3:24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3:24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3:24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3:24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3:24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3:24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3:24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3:24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3:24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3:24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3:24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3:24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3:24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3:24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3:24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3:24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3:24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3:24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3:24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3:24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3:24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3:24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3:24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3:24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3:24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3:24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3:24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3:24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3:24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3:24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3:24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3:24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3:24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3:24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3:24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3:24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3:24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3:24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3:24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3:24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3:24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3:24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3:24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3:24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3:24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3:24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3:24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3:24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3:24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3:24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3:24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3:24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3:24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3:24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3:24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3:24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3:24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3:24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3:24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3:24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3:24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3:24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3:24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3:24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3:24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3:24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3:24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3:24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3:24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3:24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3:24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3:24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3:24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3:24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3:24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3:24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3:24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3:24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3:24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3:24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3:24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3:24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3:24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3:24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3:24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3:24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3:24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3:24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3:24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3:24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3:24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3:24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3:24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3:24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3:24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3:24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3:24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3:24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3:24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3:24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3:24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3:24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3:24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3:24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3:24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3:24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3:24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3:24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3:24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3:24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3:24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3:24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3:24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3:24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3:24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3:24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3:24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3:24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3:24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</sheetData>
  <pageMargins left="0.39370078740157483" right="0.39370078740157483" top="0.39370078740157483" bottom="0.39370078740157483" header="0.51181102362204722" footer="0.51181102362204722"/>
  <pageSetup scale="65" orientation="landscape" horizontalDpi="4294967292" r:id="rId1"/>
  <headerFooter alignWithMargins="0"/>
  <rowBreaks count="2" manualBreakCount="2">
    <brk id="64" min="1" max="14" man="1"/>
    <brk id="134" min="1" max="1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D837"/>
  <sheetViews>
    <sheetView view="pageBreakPreview" topLeftCell="B63" zoomScale="75" zoomScaleNormal="75" zoomScaleSheetLayoutView="85" workbookViewId="0">
      <selection activeCell="G91" sqref="G91"/>
    </sheetView>
  </sheetViews>
  <sheetFormatPr defaultColWidth="8.85546875" defaultRowHeight="12.75"/>
  <cols>
    <col min="1" max="1" width="0.140625" style="9" hidden="1" customWidth="1"/>
    <col min="2" max="2" width="32.7109375" style="75" customWidth="1"/>
    <col min="3" max="3" width="13.42578125" style="9" customWidth="1"/>
    <col min="4" max="4" width="10.85546875" style="9" customWidth="1"/>
    <col min="5" max="5" width="11" style="9" customWidth="1"/>
    <col min="6" max="6" width="11.28515625" style="9" customWidth="1"/>
    <col min="7" max="7" width="11.140625" style="9" customWidth="1"/>
    <col min="8" max="8" width="10.42578125" style="9" customWidth="1"/>
    <col min="9" max="9" width="10.85546875" style="9" customWidth="1"/>
    <col min="10" max="14" width="10.42578125" style="9" bestFit="1" customWidth="1"/>
    <col min="15" max="15" width="12.140625" style="9" bestFit="1" customWidth="1"/>
    <col min="16" max="16384" width="8.85546875" style="9"/>
  </cols>
  <sheetData>
    <row r="1" spans="2:30">
      <c r="B1" s="68" t="s">
        <v>502</v>
      </c>
    </row>
    <row r="2" spans="2:30" ht="20.25">
      <c r="B2" s="220" t="s">
        <v>33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</row>
    <row r="3" spans="2:30">
      <c r="B3" s="323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24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</row>
    <row r="4" spans="2:30" ht="15.75">
      <c r="B4" s="325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2:30">
      <c r="B5" s="68" t="s">
        <v>677</v>
      </c>
      <c r="C5" s="326" t="s">
        <v>61</v>
      </c>
      <c r="D5" s="87" t="s">
        <v>50</v>
      </c>
      <c r="E5" s="87" t="s">
        <v>51</v>
      </c>
      <c r="F5" s="87" t="s">
        <v>52</v>
      </c>
      <c r="G5" s="87" t="s">
        <v>53</v>
      </c>
      <c r="H5" s="87" t="s">
        <v>54</v>
      </c>
      <c r="I5" s="87" t="s">
        <v>55</v>
      </c>
      <c r="J5" s="87" t="s">
        <v>56</v>
      </c>
      <c r="K5" s="87" t="s">
        <v>57</v>
      </c>
      <c r="L5" s="87" t="s">
        <v>58</v>
      </c>
      <c r="M5" s="87" t="s">
        <v>59</v>
      </c>
      <c r="N5" s="87" t="s">
        <v>60</v>
      </c>
      <c r="O5" s="87" t="s">
        <v>61</v>
      </c>
      <c r="P5" s="23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</row>
    <row r="6" spans="2:30">
      <c r="C6" s="326">
        <v>2001</v>
      </c>
      <c r="D6" s="281">
        <v>2002</v>
      </c>
      <c r="E6" s="281">
        <v>2002</v>
      </c>
      <c r="F6" s="281">
        <v>2002</v>
      </c>
      <c r="G6" s="281">
        <v>2002</v>
      </c>
      <c r="H6" s="281">
        <v>2002</v>
      </c>
      <c r="I6" s="281">
        <v>2002</v>
      </c>
      <c r="J6" s="281">
        <v>2002</v>
      </c>
      <c r="K6" s="281">
        <v>2002</v>
      </c>
      <c r="L6" s="281">
        <v>2002</v>
      </c>
      <c r="M6" s="281">
        <v>2002</v>
      </c>
      <c r="N6" s="281">
        <v>2002</v>
      </c>
      <c r="O6" s="281">
        <v>2002</v>
      </c>
      <c r="P6" s="280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</row>
    <row r="7" spans="2:30">
      <c r="B7" s="68" t="s">
        <v>678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</row>
    <row r="8" spans="2:30">
      <c r="B8" s="68" t="s">
        <v>679</v>
      </c>
      <c r="C8" s="327">
        <v>1746.4</v>
      </c>
      <c r="D8" s="327">
        <f>C8</f>
        <v>1746.4</v>
      </c>
      <c r="E8" s="327">
        <f t="shared" ref="E8:O8" si="0">D8</f>
        <v>1746.4</v>
      </c>
      <c r="F8" s="327">
        <f t="shared" si="0"/>
        <v>1746.4</v>
      </c>
      <c r="G8" s="327">
        <f t="shared" si="0"/>
        <v>1746.4</v>
      </c>
      <c r="H8" s="327">
        <f t="shared" si="0"/>
        <v>1746.4</v>
      </c>
      <c r="I8" s="327">
        <f t="shared" si="0"/>
        <v>1746.4</v>
      </c>
      <c r="J8" s="327">
        <f t="shared" si="0"/>
        <v>1746.4</v>
      </c>
      <c r="K8" s="327">
        <f t="shared" si="0"/>
        <v>1746.4</v>
      </c>
      <c r="L8" s="327">
        <f t="shared" si="0"/>
        <v>1746.4</v>
      </c>
      <c r="M8" s="327">
        <f t="shared" si="0"/>
        <v>1746.4</v>
      </c>
      <c r="N8" s="327">
        <f t="shared" si="0"/>
        <v>1746.4</v>
      </c>
      <c r="O8" s="327">
        <f t="shared" si="0"/>
        <v>1746.4</v>
      </c>
      <c r="P8" s="327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</row>
    <row r="9" spans="2:30"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</row>
    <row r="10" spans="2:30">
      <c r="C10" s="328">
        <f>C8</f>
        <v>1746.4</v>
      </c>
      <c r="D10" s="328">
        <f>D8</f>
        <v>1746.4</v>
      </c>
      <c r="E10" s="328">
        <f t="shared" ref="E10:O10" si="1">E8</f>
        <v>1746.4</v>
      </c>
      <c r="F10" s="328">
        <f t="shared" si="1"/>
        <v>1746.4</v>
      </c>
      <c r="G10" s="328">
        <f t="shared" si="1"/>
        <v>1746.4</v>
      </c>
      <c r="H10" s="328">
        <f t="shared" si="1"/>
        <v>1746.4</v>
      </c>
      <c r="I10" s="328">
        <f t="shared" si="1"/>
        <v>1746.4</v>
      </c>
      <c r="J10" s="328">
        <f t="shared" si="1"/>
        <v>1746.4</v>
      </c>
      <c r="K10" s="328">
        <f t="shared" si="1"/>
        <v>1746.4</v>
      </c>
      <c r="L10" s="328">
        <f t="shared" si="1"/>
        <v>1746.4</v>
      </c>
      <c r="M10" s="328">
        <f t="shared" si="1"/>
        <v>1746.4</v>
      </c>
      <c r="N10" s="328">
        <f t="shared" si="1"/>
        <v>1746.4</v>
      </c>
      <c r="O10" s="328">
        <f t="shared" si="1"/>
        <v>1746.4</v>
      </c>
      <c r="P10" s="327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</row>
    <row r="11" spans="2:30"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</row>
    <row r="12" spans="2:30"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</row>
    <row r="13" spans="2:30">
      <c r="B13" s="68" t="s">
        <v>680</v>
      </c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</row>
    <row r="14" spans="2:30">
      <c r="B14" s="75" t="s">
        <v>681</v>
      </c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</row>
    <row r="15" spans="2:30">
      <c r="B15" s="75" t="s">
        <v>682</v>
      </c>
      <c r="C15" s="327">
        <v>136266.29999999999</v>
      </c>
      <c r="D15" s="327">
        <f>C15</f>
        <v>136266.29999999999</v>
      </c>
      <c r="E15" s="327">
        <f t="shared" ref="E15:O15" si="2">D15</f>
        <v>136266.29999999999</v>
      </c>
      <c r="F15" s="327">
        <f t="shared" si="2"/>
        <v>136266.29999999999</v>
      </c>
      <c r="G15" s="327">
        <f t="shared" si="2"/>
        <v>136266.29999999999</v>
      </c>
      <c r="H15" s="327">
        <f t="shared" si="2"/>
        <v>136266.29999999999</v>
      </c>
      <c r="I15" s="327">
        <f t="shared" si="2"/>
        <v>136266.29999999999</v>
      </c>
      <c r="J15" s="327">
        <f t="shared" si="2"/>
        <v>136266.29999999999</v>
      </c>
      <c r="K15" s="327">
        <f t="shared" si="2"/>
        <v>136266.29999999999</v>
      </c>
      <c r="L15" s="327">
        <f t="shared" si="2"/>
        <v>136266.29999999999</v>
      </c>
      <c r="M15" s="327">
        <f t="shared" si="2"/>
        <v>136266.29999999999</v>
      </c>
      <c r="N15" s="327">
        <f t="shared" si="2"/>
        <v>136266.29999999999</v>
      </c>
      <c r="O15" s="327">
        <f t="shared" si="2"/>
        <v>136266.29999999999</v>
      </c>
      <c r="P15" s="327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</row>
    <row r="16" spans="2:30">
      <c r="B16" s="75" t="s">
        <v>683</v>
      </c>
      <c r="C16" s="327">
        <v>431828</v>
      </c>
      <c r="D16" s="327">
        <f>C16+C19+(Depreciation!B21/1000)</f>
        <v>432376.44699999999</v>
      </c>
      <c r="E16" s="327">
        <f>D16+D19+(Depreciation!C21/1000)</f>
        <v>432376.44699999999</v>
      </c>
      <c r="F16" s="327">
        <f>E16+E19+(Depreciation!D21/1000)</f>
        <v>432411.41128571425</v>
      </c>
      <c r="G16" s="327">
        <f>F16+F19+(Depreciation!E21/1000)</f>
        <v>432411.41128571425</v>
      </c>
      <c r="H16" s="327">
        <f>G16+G19+(Depreciation!F21/1000)</f>
        <v>432411.41128571425</v>
      </c>
      <c r="I16" s="327">
        <f>H16+H19+(Depreciation!G21/1000)</f>
        <v>432472.05414285709</v>
      </c>
      <c r="J16" s="327">
        <f>I16+I19+(Depreciation!H21/1000)</f>
        <v>432472.05414285709</v>
      </c>
      <c r="K16" s="327">
        <f>J16+J19+(Depreciation!I21/1000)</f>
        <v>432472.05414285709</v>
      </c>
      <c r="L16" s="327">
        <f>K16+K19+(Depreciation!J21/1000)</f>
        <v>432472.05414285709</v>
      </c>
      <c r="M16" s="327">
        <f>L16+L19+(Depreciation!K21/1000)</f>
        <v>432472.05414285709</v>
      </c>
      <c r="N16" s="327">
        <f>M16+M19+(Depreciation!L21/1000)</f>
        <v>432472.05414285709</v>
      </c>
      <c r="O16" s="327">
        <f>N16+N19+(Depreciation!M21/1000)</f>
        <v>432472.05414285709</v>
      </c>
      <c r="P16" s="327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</row>
    <row r="17" spans="2:29">
      <c r="B17" s="75" t="s">
        <v>684</v>
      </c>
      <c r="C17" s="327">
        <v>691.9</v>
      </c>
      <c r="D17" s="327">
        <v>691.6</v>
      </c>
      <c r="E17" s="327">
        <v>691.6</v>
      </c>
      <c r="F17" s="327">
        <v>691.6</v>
      </c>
      <c r="G17" s="327">
        <v>691.6</v>
      </c>
      <c r="H17" s="327">
        <v>691.6</v>
      </c>
      <c r="I17" s="327">
        <v>691.6</v>
      </c>
      <c r="J17" s="327">
        <v>691.6</v>
      </c>
      <c r="K17" s="327">
        <v>691.6</v>
      </c>
      <c r="L17" s="327">
        <v>691.6</v>
      </c>
      <c r="M17" s="327">
        <v>691.6</v>
      </c>
      <c r="N17" s="327">
        <v>691.6</v>
      </c>
      <c r="O17" s="327">
        <v>691.6</v>
      </c>
      <c r="P17" s="327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</row>
    <row r="18" spans="2:29">
      <c r="B18" s="75" t="s">
        <v>685</v>
      </c>
      <c r="C18" s="327">
        <v>784.9</v>
      </c>
      <c r="D18" s="327">
        <v>784.9</v>
      </c>
      <c r="E18" s="327">
        <v>784.9</v>
      </c>
      <c r="F18" s="327">
        <v>784.9</v>
      </c>
      <c r="G18" s="327">
        <v>784.9</v>
      </c>
      <c r="H18" s="327">
        <v>784.9</v>
      </c>
      <c r="I18" s="327">
        <v>784.9</v>
      </c>
      <c r="J18" s="327">
        <v>784.9</v>
      </c>
      <c r="K18" s="327">
        <v>784.9</v>
      </c>
      <c r="L18" s="327">
        <v>784.9</v>
      </c>
      <c r="M18" s="327">
        <v>784.9</v>
      </c>
      <c r="N18" s="327">
        <v>784.9</v>
      </c>
      <c r="O18" s="327">
        <v>784.9</v>
      </c>
      <c r="P18" s="327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</row>
    <row r="19" spans="2:29">
      <c r="B19" s="75" t="s">
        <v>686</v>
      </c>
      <c r="C19" s="327">
        <v>411.7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327">
        <v>0</v>
      </c>
      <c r="O19" s="327">
        <v>0</v>
      </c>
      <c r="P19" s="327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</row>
    <row r="20" spans="2:29"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</row>
    <row r="21" spans="2:29">
      <c r="C21" s="328">
        <f>SUM(C14:C19)</f>
        <v>569982.80000000005</v>
      </c>
      <c r="D21" s="328">
        <f>SUM(D14:D19)</f>
        <v>570119.24699999997</v>
      </c>
      <c r="E21" s="328">
        <f t="shared" ref="E21:O21" si="3">SUM(E14:E19)</f>
        <v>570119.24699999997</v>
      </c>
      <c r="F21" s="328">
        <f t="shared" si="3"/>
        <v>570154.21128571429</v>
      </c>
      <c r="G21" s="328">
        <f t="shared" si="3"/>
        <v>570154.21128571429</v>
      </c>
      <c r="H21" s="328">
        <f t="shared" si="3"/>
        <v>570154.21128571429</v>
      </c>
      <c r="I21" s="328">
        <f t="shared" si="3"/>
        <v>570214.85414285702</v>
      </c>
      <c r="J21" s="328">
        <f t="shared" si="3"/>
        <v>570214.85414285702</v>
      </c>
      <c r="K21" s="328">
        <f t="shared" si="3"/>
        <v>570214.85414285702</v>
      </c>
      <c r="L21" s="328">
        <f t="shared" si="3"/>
        <v>570214.85414285702</v>
      </c>
      <c r="M21" s="328">
        <f t="shared" si="3"/>
        <v>570214.85414285702</v>
      </c>
      <c r="N21" s="328">
        <f t="shared" si="3"/>
        <v>570214.85414285702</v>
      </c>
      <c r="O21" s="328">
        <f t="shared" si="3"/>
        <v>570214.85414285702</v>
      </c>
      <c r="P21" s="327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</row>
    <row r="22" spans="2:29"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</row>
    <row r="23" spans="2:29">
      <c r="B23" s="68" t="s">
        <v>687</v>
      </c>
      <c r="C23" s="327">
        <v>-55822.3</v>
      </c>
      <c r="D23" s="327">
        <f>C23-'P&amp;LPLN'!C35/1000</f>
        <v>-58761.940970000003</v>
      </c>
      <c r="E23" s="327">
        <f>D23-'P&amp;LPLN'!D35/1000</f>
        <v>-61702.28504749167</v>
      </c>
      <c r="F23" s="327">
        <f>E23-'P&amp;LPLN'!E35/1000</f>
        <v>-64642.629124983338</v>
      </c>
      <c r="G23" s="327">
        <f>F23-'P&amp;LPLN'!F35/1000</f>
        <v>-67583.152977177378</v>
      </c>
      <c r="H23" s="327">
        <f>G23-'P&amp;LPLN'!G35/1000</f>
        <v>-70523.676829371427</v>
      </c>
      <c r="I23" s="327">
        <f>H23-'P&amp;LPLN'!H35/1000</f>
        <v>-73464.200681565475</v>
      </c>
      <c r="J23" s="327">
        <f>I23-'P&amp;LPLN'!I35/1000</f>
        <v>-76405.036339116661</v>
      </c>
      <c r="K23" s="327">
        <f>J23-'P&amp;LPLN'!J35/1000</f>
        <v>-79345.871996667847</v>
      </c>
      <c r="L23" s="327">
        <f>K23-'P&amp;LPLN'!K35/1000</f>
        <v>-82286.707654219033</v>
      </c>
      <c r="M23" s="327">
        <f>L23-'P&amp;LPLN'!L35/1000</f>
        <v>-85227.54331177022</v>
      </c>
      <c r="N23" s="327">
        <f>M23-'P&amp;LPLN'!M35/1000</f>
        <v>-88168.378969321406</v>
      </c>
      <c r="O23" s="327">
        <f>N23-'P&amp;LPLN'!N35/1000</f>
        <v>-91109.214626872592</v>
      </c>
      <c r="P23" s="327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</row>
    <row r="24" spans="2:29">
      <c r="C24" s="328">
        <f>C23</f>
        <v>-55822.3</v>
      </c>
      <c r="D24" s="328">
        <f>D23</f>
        <v>-58761.940970000003</v>
      </c>
      <c r="E24" s="328">
        <f t="shared" ref="E24:O24" si="4">E23</f>
        <v>-61702.28504749167</v>
      </c>
      <c r="F24" s="328">
        <f t="shared" si="4"/>
        <v>-64642.629124983338</v>
      </c>
      <c r="G24" s="328">
        <f t="shared" si="4"/>
        <v>-67583.152977177378</v>
      </c>
      <c r="H24" s="328">
        <f t="shared" si="4"/>
        <v>-70523.676829371427</v>
      </c>
      <c r="I24" s="328">
        <f t="shared" si="4"/>
        <v>-73464.200681565475</v>
      </c>
      <c r="J24" s="328">
        <f t="shared" si="4"/>
        <v>-76405.036339116661</v>
      </c>
      <c r="K24" s="328">
        <f t="shared" si="4"/>
        <v>-79345.871996667847</v>
      </c>
      <c r="L24" s="328">
        <f t="shared" si="4"/>
        <v>-82286.707654219033</v>
      </c>
      <c r="M24" s="328">
        <f t="shared" si="4"/>
        <v>-85227.54331177022</v>
      </c>
      <c r="N24" s="328">
        <f t="shared" si="4"/>
        <v>-88168.378969321406</v>
      </c>
      <c r="O24" s="328">
        <f t="shared" si="4"/>
        <v>-91109.214626872592</v>
      </c>
      <c r="P24" s="327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</row>
    <row r="25" spans="2:29"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</row>
    <row r="26" spans="2:29">
      <c r="B26" s="68" t="s">
        <v>688</v>
      </c>
      <c r="C26" s="327">
        <f>C10+C21+C24</f>
        <v>515906.90000000008</v>
      </c>
      <c r="D26" s="327">
        <f t="shared" ref="D26:O26" si="5">D10+D21+D24</f>
        <v>513103.70603</v>
      </c>
      <c r="E26" s="327">
        <f t="shared" si="5"/>
        <v>510163.36195250833</v>
      </c>
      <c r="F26" s="327">
        <f t="shared" si="5"/>
        <v>507257.98216073099</v>
      </c>
      <c r="G26" s="327">
        <f t="shared" si="5"/>
        <v>504317.45830853691</v>
      </c>
      <c r="H26" s="327">
        <f t="shared" si="5"/>
        <v>501376.93445634289</v>
      </c>
      <c r="I26" s="327">
        <f t="shared" si="5"/>
        <v>498497.05346129159</v>
      </c>
      <c r="J26" s="327">
        <f t="shared" si="5"/>
        <v>495556.21780374041</v>
      </c>
      <c r="K26" s="327">
        <f t="shared" si="5"/>
        <v>492615.38214618922</v>
      </c>
      <c r="L26" s="327">
        <f t="shared" si="5"/>
        <v>489674.54648863804</v>
      </c>
      <c r="M26" s="327">
        <f t="shared" si="5"/>
        <v>486733.71083108685</v>
      </c>
      <c r="N26" s="327">
        <f t="shared" si="5"/>
        <v>483792.87517353566</v>
      </c>
      <c r="O26" s="327">
        <f t="shared" si="5"/>
        <v>480852.03951598448</v>
      </c>
      <c r="P26" s="327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</row>
    <row r="27" spans="2:29"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</row>
    <row r="28" spans="2:29"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</row>
    <row r="29" spans="2:29">
      <c r="B29" s="68" t="s">
        <v>689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</row>
    <row r="30" spans="2:29">
      <c r="B30" s="68" t="s">
        <v>690</v>
      </c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</row>
    <row r="31" spans="2:29" ht="15.6" customHeight="1">
      <c r="B31" s="75" t="s">
        <v>691</v>
      </c>
      <c r="C31" s="327">
        <v>9100</v>
      </c>
      <c r="D31" s="327">
        <f>C31-200+124</f>
        <v>9024</v>
      </c>
      <c r="E31" s="327">
        <f>D31-200</f>
        <v>8824</v>
      </c>
      <c r="F31" s="329">
        <f>E31-200+3614</f>
        <v>12238</v>
      </c>
      <c r="G31" s="327">
        <f>F31-200</f>
        <v>12038</v>
      </c>
      <c r="H31" s="327">
        <f t="shared" ref="H31:O31" si="6">G31-200</f>
        <v>11838</v>
      </c>
      <c r="I31" s="327">
        <f t="shared" si="6"/>
        <v>11638</v>
      </c>
      <c r="J31" s="327">
        <f t="shared" si="6"/>
        <v>11438</v>
      </c>
      <c r="K31" s="327">
        <f t="shared" si="6"/>
        <v>11238</v>
      </c>
      <c r="L31" s="327">
        <f t="shared" si="6"/>
        <v>11038</v>
      </c>
      <c r="M31" s="327">
        <f t="shared" si="6"/>
        <v>10838</v>
      </c>
      <c r="N31" s="327">
        <f t="shared" si="6"/>
        <v>10638</v>
      </c>
      <c r="O31" s="327">
        <f t="shared" si="6"/>
        <v>10438</v>
      </c>
      <c r="P31" s="327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</row>
    <row r="32" spans="2:29">
      <c r="B32" s="75" t="s">
        <v>692</v>
      </c>
      <c r="C32" s="327">
        <v>47</v>
      </c>
      <c r="D32" s="327">
        <f>C32</f>
        <v>47</v>
      </c>
      <c r="E32" s="327">
        <f t="shared" ref="E32:O32" si="7">D32</f>
        <v>47</v>
      </c>
      <c r="F32" s="327">
        <f t="shared" si="7"/>
        <v>47</v>
      </c>
      <c r="G32" s="327">
        <f t="shared" si="7"/>
        <v>47</v>
      </c>
      <c r="H32" s="327">
        <f t="shared" si="7"/>
        <v>47</v>
      </c>
      <c r="I32" s="327">
        <f t="shared" si="7"/>
        <v>47</v>
      </c>
      <c r="J32" s="327">
        <f t="shared" si="7"/>
        <v>47</v>
      </c>
      <c r="K32" s="327">
        <f t="shared" si="7"/>
        <v>47</v>
      </c>
      <c r="L32" s="327">
        <f t="shared" si="7"/>
        <v>47</v>
      </c>
      <c r="M32" s="327">
        <f t="shared" si="7"/>
        <v>47</v>
      </c>
      <c r="N32" s="327">
        <f t="shared" si="7"/>
        <v>47</v>
      </c>
      <c r="O32" s="327">
        <f t="shared" si="7"/>
        <v>47</v>
      </c>
      <c r="P32" s="327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</row>
    <row r="33" spans="2:29">
      <c r="B33" s="75" t="s">
        <v>693</v>
      </c>
      <c r="C33" s="327">
        <v>12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327">
        <v>0</v>
      </c>
      <c r="O33" s="327">
        <v>0</v>
      </c>
      <c r="P33" s="327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</row>
    <row r="34" spans="2:29"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2:29">
      <c r="C35" s="328">
        <f>SUM(C31:C33)</f>
        <v>9159</v>
      </c>
      <c r="D35" s="328">
        <f>SUM(D31:D33)</f>
        <v>9071</v>
      </c>
      <c r="E35" s="328">
        <f t="shared" ref="E35:O35" si="8">SUM(E31:E33)</f>
        <v>8871</v>
      </c>
      <c r="F35" s="328">
        <f t="shared" si="8"/>
        <v>12285</v>
      </c>
      <c r="G35" s="328">
        <f t="shared" si="8"/>
        <v>12085</v>
      </c>
      <c r="H35" s="328">
        <f t="shared" si="8"/>
        <v>11885</v>
      </c>
      <c r="I35" s="328">
        <f t="shared" si="8"/>
        <v>11685</v>
      </c>
      <c r="J35" s="328">
        <f t="shared" si="8"/>
        <v>11485</v>
      </c>
      <c r="K35" s="328">
        <f t="shared" si="8"/>
        <v>11285</v>
      </c>
      <c r="L35" s="328">
        <f t="shared" si="8"/>
        <v>11085</v>
      </c>
      <c r="M35" s="328">
        <f t="shared" si="8"/>
        <v>10885</v>
      </c>
      <c r="N35" s="328">
        <f t="shared" si="8"/>
        <v>10685</v>
      </c>
      <c r="O35" s="328">
        <f t="shared" si="8"/>
        <v>10485</v>
      </c>
      <c r="P35" s="327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</row>
    <row r="36" spans="2:29"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</row>
    <row r="37" spans="2:29">
      <c r="B37" s="68" t="s">
        <v>694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7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2:29">
      <c r="B38" s="75" t="s">
        <v>695</v>
      </c>
      <c r="C38" s="327">
        <v>44813.599999999999</v>
      </c>
      <c r="D38" s="327">
        <f>'P&amp;LPLN'!C12*1.22/1000+25903</f>
        <v>45330.988019336386</v>
      </c>
      <c r="E38" s="327">
        <f>'P&amp;LPLN'!D12*1.22/1000+25903+'P&amp;LPLN'!C9/1000</f>
        <v>44214.102432466068</v>
      </c>
      <c r="F38" s="327">
        <f>'P&amp;LPLN'!E12*1.22/1000+25903+'P&amp;LPLN'!D9/1000+'P&amp;LPLN'!C9/1000</f>
        <v>44826.563900591078</v>
      </c>
      <c r="G38" s="327">
        <f>'P&amp;LPLN'!F12*1.22/1000+25903+'P&amp;LPLN'!E9/1000+'P&amp;LPLN'!D9/1000+'P&amp;LPLN'!C9/1000</f>
        <v>43690.440687310154</v>
      </c>
      <c r="H38" s="327">
        <f>'P&amp;LPLN'!G12*1.22/1000+25903+'P&amp;LPLN'!F9/1000+'P&amp;LPLN'!E9/1000+'P&amp;LPLN'!D9/1000+'P&amp;LPLN'!C9/1000</f>
        <v>43073.030880898179</v>
      </c>
      <c r="I38" s="327">
        <f>'P&amp;LPLN'!H12*1.22/1000+25903+'P&amp;LPLN'!G9/1000+'P&amp;LPLN'!F9/1000+'P&amp;LPLN'!E9/1000+'P&amp;LPLN'!D9/1000+'P&amp;LPLN'!C9/1000</f>
        <v>42857.126821989354</v>
      </c>
      <c r="J38" s="327">
        <f>'P&amp;LPLN'!I12*1.22/1000+25903+'P&amp;LPLN'!H9/1000+'P&amp;LPLN'!G9/1000+'P&amp;LPLN'!F9/1000+'P&amp;LPLN'!E9/1000+'P&amp;LPLN'!D9/1000+'P&amp;LPLN'!C9/1000</f>
        <v>47102.467392760904</v>
      </c>
      <c r="K38" s="327">
        <f>'P&amp;LPLN'!J12*1.22/1000+25903+'P&amp;LPLN'!I9/1000+'P&amp;LPLN'!H9/1000+'P&amp;LPLN'!G9/1000+'P&amp;LPLN'!F9/1000+'P&amp;LPLN'!E9/1000+'P&amp;LPLN'!D9/1000+'P&amp;LPLN'!C9/1000</f>
        <v>46738.043354495981</v>
      </c>
      <c r="L38" s="327">
        <f>'P&amp;LPLN'!K12*1.22/1000+25903+'P&amp;LPLN'!J9/1000+'P&amp;LPLN'!I9/1000+'P&amp;LPLN'!H9/1000+'P&amp;LPLN'!G9/1000+'P&amp;LPLN'!F9/1000+'P&amp;LPLN'!E9/1000+'P&amp;LPLN'!D9/1000+'P&amp;LPLN'!C9/1000</f>
        <v>46706.329576444172</v>
      </c>
      <c r="M38" s="327">
        <f>'P&amp;LPLN'!L12*1.22/1000+25903+'P&amp;LPLN'!K9/1000+'P&amp;LPLN'!J9/1000+'P&amp;LPLN'!I9/1000+'P&amp;LPLN'!H9/1000+'P&amp;LPLN'!G9/1000+'P&amp;LPLN'!F9/1000+'P&amp;LPLN'!E9/1000+'P&amp;LPLN'!D9/1000+'P&amp;LPLN'!C9/1000</f>
        <v>48586.693601050269</v>
      </c>
      <c r="N38" s="327">
        <f>'P&amp;LPLN'!M12*1.22/1000+25903+'P&amp;LPLN'!L9/1000+'P&amp;LPLN'!K9/1000+'P&amp;LPLN'!J9/1000+'P&amp;LPLN'!I9/1000+'P&amp;LPLN'!H9/1000+'P&amp;LPLN'!G9/1000+'P&amp;LPLN'!F9/1000+'P&amp;LPLN'!E9/1000+'P&amp;LPLN'!D9/1000+'P&amp;LPLN'!C9/1000</f>
        <v>47717.202837272795</v>
      </c>
      <c r="O38" s="327">
        <f>'P&amp;LPLN'!N12*1.22/1000+25903+'P&amp;LPLN'!M9/1000+'P&amp;LPLN'!L9/1000+'P&amp;LPLN'!K9/1000+'P&amp;LPLN'!J9/1000+'P&amp;LPLN'!I9/1000+'P&amp;LPLN'!H9/1000+'P&amp;LPLN'!G9/1000+'P&amp;LPLN'!F9/1000+'P&amp;LPLN'!E9/1000+'P&amp;LPLN'!D9/1000+'P&amp;LPLN'!C9/1000</f>
        <v>48177.151828689835</v>
      </c>
      <c r="P38" s="327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</row>
    <row r="39" spans="2:29">
      <c r="B39" s="75" t="s">
        <v>696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</row>
    <row r="40" spans="2:29">
      <c r="B40" s="75" t="s">
        <v>697</v>
      </c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2:29">
      <c r="B41" s="75" t="s">
        <v>698</v>
      </c>
      <c r="C41" s="327">
        <v>0</v>
      </c>
      <c r="D41" s="327">
        <v>0</v>
      </c>
      <c r="E41" s="327">
        <v>0</v>
      </c>
      <c r="F41" s="327">
        <v>0</v>
      </c>
      <c r="G41" s="327">
        <v>0</v>
      </c>
      <c r="H41" s="327">
        <v>0</v>
      </c>
      <c r="I41" s="327">
        <v>0</v>
      </c>
      <c r="J41" s="327">
        <v>0</v>
      </c>
      <c r="K41" s="327">
        <v>0</v>
      </c>
      <c r="L41" s="327">
        <v>0</v>
      </c>
      <c r="M41" s="327">
        <v>0</v>
      </c>
      <c r="N41" s="327">
        <v>0</v>
      </c>
      <c r="O41" s="327">
        <v>0</v>
      </c>
      <c r="P41" s="327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</row>
    <row r="42" spans="2:29"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</row>
    <row r="43" spans="2:29">
      <c r="C43" s="328">
        <f>SUM(C38:C41)</f>
        <v>44813.599999999999</v>
      </c>
      <c r="D43" s="328">
        <f>SUM(D38:D41)</f>
        <v>45330.988019336386</v>
      </c>
      <c r="E43" s="328">
        <f t="shared" ref="E43:O43" si="9">SUM(E38:E41)</f>
        <v>44214.102432466068</v>
      </c>
      <c r="F43" s="328">
        <f t="shared" si="9"/>
        <v>44826.563900591078</v>
      </c>
      <c r="G43" s="328">
        <f t="shared" si="9"/>
        <v>43690.440687310154</v>
      </c>
      <c r="H43" s="328">
        <f t="shared" si="9"/>
        <v>43073.030880898179</v>
      </c>
      <c r="I43" s="328">
        <f t="shared" si="9"/>
        <v>42857.126821989354</v>
      </c>
      <c r="J43" s="328">
        <f t="shared" si="9"/>
        <v>47102.467392760904</v>
      </c>
      <c r="K43" s="328">
        <f t="shared" si="9"/>
        <v>46738.043354495981</v>
      </c>
      <c r="L43" s="328">
        <f t="shared" si="9"/>
        <v>46706.329576444172</v>
      </c>
      <c r="M43" s="328">
        <f t="shared" si="9"/>
        <v>48586.693601050269</v>
      </c>
      <c r="N43" s="328">
        <f t="shared" si="9"/>
        <v>47717.202837272795</v>
      </c>
      <c r="O43" s="328">
        <f t="shared" si="9"/>
        <v>48177.151828689835</v>
      </c>
      <c r="P43" s="327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2:29"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</row>
    <row r="45" spans="2:29">
      <c r="B45" s="68" t="s">
        <v>699</v>
      </c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</row>
    <row r="46" spans="2:29">
      <c r="B46" s="75" t="s">
        <v>700</v>
      </c>
      <c r="C46" s="327">
        <v>3</v>
      </c>
      <c r="D46" s="327">
        <v>2</v>
      </c>
      <c r="E46" s="327">
        <v>2</v>
      </c>
      <c r="F46" s="327">
        <v>2</v>
      </c>
      <c r="G46" s="327">
        <v>2</v>
      </c>
      <c r="H46" s="327">
        <v>2</v>
      </c>
      <c r="I46" s="327">
        <v>2</v>
      </c>
      <c r="J46" s="327">
        <v>2</v>
      </c>
      <c r="K46" s="327">
        <v>2</v>
      </c>
      <c r="L46" s="327">
        <v>2</v>
      </c>
      <c r="M46" s="327">
        <v>2</v>
      </c>
      <c r="N46" s="327">
        <v>2</v>
      </c>
      <c r="O46" s="327">
        <v>2</v>
      </c>
      <c r="P46" s="327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2:29">
      <c r="B47" s="75" t="s">
        <v>701</v>
      </c>
      <c r="C47" s="327">
        <v>36441.9</v>
      </c>
      <c r="D47" s="327">
        <f>CashFlow!B39-Balance!D46</f>
        <v>38201.404162929997</v>
      </c>
      <c r="E47" s="327">
        <f>CashFlow!C39-Balance!E46</f>
        <v>42582.163215446169</v>
      </c>
      <c r="F47" s="327">
        <f>CashFlow!D39-Balance!F46</f>
        <v>26669.979997594477</v>
      </c>
      <c r="G47" s="327">
        <f>CashFlow!E39-Balance!G46</f>
        <v>29811.001427321706</v>
      </c>
      <c r="H47" s="327">
        <f>CashFlow!F39-Balance!H46</f>
        <v>32329.106323584136</v>
      </c>
      <c r="I47" s="327">
        <f>CashFlow!G39-Balance!I46</f>
        <v>21684.319585751276</v>
      </c>
      <c r="J47" s="327">
        <f>CashFlow!H39-Balance!J46</f>
        <v>22067.148635677509</v>
      </c>
      <c r="K47" s="327">
        <f>CashFlow!I39-Balance!K46</f>
        <v>27170.717328688435</v>
      </c>
      <c r="L47" s="327">
        <f>CashFlow!J39-Balance!L46</f>
        <v>13692.265076415764</v>
      </c>
      <c r="M47" s="327">
        <f>CashFlow!K39-Balance!M46</f>
        <v>16834.305047627462</v>
      </c>
      <c r="N47" s="327">
        <f>CashFlow!L39-Balance!N46</f>
        <v>23049.812249447987</v>
      </c>
      <c r="O47" s="327">
        <f>CashFlow!M39-Balance!O46</f>
        <v>25912.591804644006</v>
      </c>
      <c r="P47" s="327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</row>
    <row r="48" spans="2:29"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</row>
    <row r="49" spans="2:30">
      <c r="C49" s="328">
        <f>SUM(C46:C47)</f>
        <v>36444.9</v>
      </c>
      <c r="D49" s="328">
        <f>SUM(D46:D47)</f>
        <v>38203.404162929997</v>
      </c>
      <c r="E49" s="328">
        <f t="shared" ref="E49:O49" si="10">SUM(E46:E47)</f>
        <v>42584.163215446169</v>
      </c>
      <c r="F49" s="328">
        <f t="shared" si="10"/>
        <v>26671.979997594477</v>
      </c>
      <c r="G49" s="328">
        <f t="shared" si="10"/>
        <v>29813.001427321706</v>
      </c>
      <c r="H49" s="328">
        <f t="shared" si="10"/>
        <v>32331.106323584136</v>
      </c>
      <c r="I49" s="328">
        <f t="shared" si="10"/>
        <v>21686.319585751276</v>
      </c>
      <c r="J49" s="328">
        <f t="shared" si="10"/>
        <v>22069.148635677509</v>
      </c>
      <c r="K49" s="328">
        <f t="shared" si="10"/>
        <v>27172.717328688435</v>
      </c>
      <c r="L49" s="328">
        <f t="shared" si="10"/>
        <v>13694.265076415764</v>
      </c>
      <c r="M49" s="328">
        <f t="shared" si="10"/>
        <v>16836.305047627462</v>
      </c>
      <c r="N49" s="328">
        <f t="shared" si="10"/>
        <v>23051.812249447987</v>
      </c>
      <c r="O49" s="328">
        <f t="shared" si="10"/>
        <v>25914.591804644006</v>
      </c>
      <c r="P49" s="327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2:30">
      <c r="B50" s="68" t="s">
        <v>702</v>
      </c>
      <c r="C50" s="327">
        <f>C35+C43+C49</f>
        <v>90417.5</v>
      </c>
      <c r="D50" s="327">
        <f t="shared" ref="D50:O50" si="11">D35+D43+D49</f>
        <v>92605.392182266383</v>
      </c>
      <c r="E50" s="327">
        <f t="shared" si="11"/>
        <v>95669.265647912238</v>
      </c>
      <c r="F50" s="327">
        <f t="shared" si="11"/>
        <v>83783.543898185555</v>
      </c>
      <c r="G50" s="327">
        <f t="shared" si="11"/>
        <v>85588.442114631864</v>
      </c>
      <c r="H50" s="327">
        <f t="shared" si="11"/>
        <v>87289.137204482307</v>
      </c>
      <c r="I50" s="327">
        <f t="shared" si="11"/>
        <v>76228.44640774063</v>
      </c>
      <c r="J50" s="327">
        <f t="shared" si="11"/>
        <v>80656.61602843841</v>
      </c>
      <c r="K50" s="327">
        <f t="shared" si="11"/>
        <v>85195.760683184417</v>
      </c>
      <c r="L50" s="327">
        <f t="shared" si="11"/>
        <v>71485.594652859931</v>
      </c>
      <c r="M50" s="327">
        <f t="shared" si="11"/>
        <v>76307.998648677734</v>
      </c>
      <c r="N50" s="327">
        <f t="shared" si="11"/>
        <v>81454.015086720785</v>
      </c>
      <c r="O50" s="327">
        <f t="shared" si="11"/>
        <v>84576.743633333841</v>
      </c>
      <c r="P50" s="327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</row>
    <row r="51" spans="2:30"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</row>
    <row r="52" spans="2:30">
      <c r="B52" s="68" t="s">
        <v>703</v>
      </c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</row>
    <row r="53" spans="2:30">
      <c r="B53" s="75" t="s">
        <v>704</v>
      </c>
      <c r="C53" s="327">
        <v>975</v>
      </c>
      <c r="D53" s="327">
        <f>C53-'P&amp;LPLN'!C130/1000</f>
        <v>793.86</v>
      </c>
      <c r="E53" s="327">
        <f>D53-'P&amp;LPLN'!D130/1000</f>
        <v>612.72</v>
      </c>
      <c r="F53" s="327">
        <f>E53-'P&amp;LPLN'!E130/1000</f>
        <v>431.58000000000004</v>
      </c>
      <c r="G53" s="327">
        <f>F53-'P&amp;LPLN'!F130/1000</f>
        <v>250.44000000000005</v>
      </c>
      <c r="H53" s="327">
        <f>G53-'P&amp;LPLN'!G130/1000</f>
        <v>69.300000000000068</v>
      </c>
      <c r="I53" s="327">
        <f>'P&amp;LPLN'!I130*11/1000</f>
        <v>2191.7940000000003</v>
      </c>
      <c r="J53" s="327">
        <f>I53-'P&amp;LPLN'!I130/1000</f>
        <v>1992.5400000000004</v>
      </c>
      <c r="K53" s="327">
        <f>J53-'P&amp;LPLN'!J130/1000</f>
        <v>1793.2860000000005</v>
      </c>
      <c r="L53" s="327">
        <f>K53-'P&amp;LPLN'!K130/1000</f>
        <v>1594.0320000000006</v>
      </c>
      <c r="M53" s="327">
        <f>L53-'P&amp;LPLN'!L130/1000</f>
        <v>1394.7780000000007</v>
      </c>
      <c r="N53" s="327">
        <f>M53-'P&amp;LPLN'!M130/1000</f>
        <v>1195.5240000000008</v>
      </c>
      <c r="O53" s="327">
        <f>N53-'P&amp;LPLN'!N130/1000</f>
        <v>996.27000000000078</v>
      </c>
      <c r="P53" s="327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</row>
    <row r="54" spans="2:30">
      <c r="B54" s="75" t="s">
        <v>705</v>
      </c>
      <c r="C54" s="327">
        <v>9000</v>
      </c>
      <c r="D54" s="327">
        <f>C54</f>
        <v>9000</v>
      </c>
      <c r="E54" s="327">
        <f t="shared" ref="E54:N54" si="12">D54</f>
        <v>9000</v>
      </c>
      <c r="F54" s="327">
        <f t="shared" si="12"/>
        <v>9000</v>
      </c>
      <c r="G54" s="327">
        <f t="shared" si="12"/>
        <v>9000</v>
      </c>
      <c r="H54" s="327">
        <f t="shared" si="12"/>
        <v>9000</v>
      </c>
      <c r="I54" s="327">
        <f t="shared" si="12"/>
        <v>9000</v>
      </c>
      <c r="J54" s="327">
        <f t="shared" si="12"/>
        <v>9000</v>
      </c>
      <c r="K54" s="327">
        <f t="shared" si="12"/>
        <v>9000</v>
      </c>
      <c r="L54" s="327">
        <f t="shared" si="12"/>
        <v>9000</v>
      </c>
      <c r="M54" s="327">
        <f t="shared" si="12"/>
        <v>9000</v>
      </c>
      <c r="N54" s="327">
        <f t="shared" si="12"/>
        <v>9000</v>
      </c>
      <c r="O54" s="327">
        <v>0</v>
      </c>
      <c r="P54" s="327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</row>
    <row r="55" spans="2:30"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</row>
    <row r="56" spans="2:30">
      <c r="C56" s="330">
        <f>SUM(C53:C54)</f>
        <v>9975</v>
      </c>
      <c r="D56" s="328">
        <f>SUM(D53:D54)</f>
        <v>9793.86</v>
      </c>
      <c r="E56" s="328">
        <f t="shared" ref="E56:O56" si="13">SUM(E53:E54)</f>
        <v>9612.7199999999993</v>
      </c>
      <c r="F56" s="328">
        <f t="shared" si="13"/>
        <v>9431.58</v>
      </c>
      <c r="G56" s="328">
        <f t="shared" si="13"/>
        <v>9250.44</v>
      </c>
      <c r="H56" s="328">
        <f t="shared" si="13"/>
        <v>9069.2999999999993</v>
      </c>
      <c r="I56" s="328">
        <f t="shared" si="13"/>
        <v>11191.794</v>
      </c>
      <c r="J56" s="328">
        <f t="shared" si="13"/>
        <v>10992.54</v>
      </c>
      <c r="K56" s="328">
        <f t="shared" si="13"/>
        <v>10793.286</v>
      </c>
      <c r="L56" s="328">
        <f t="shared" si="13"/>
        <v>10594.032000000001</v>
      </c>
      <c r="M56" s="328">
        <f t="shared" si="13"/>
        <v>10394.778</v>
      </c>
      <c r="N56" s="328">
        <f t="shared" si="13"/>
        <v>10195.524000000001</v>
      </c>
      <c r="O56" s="328">
        <f t="shared" si="13"/>
        <v>996.27000000000078</v>
      </c>
      <c r="P56" s="327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</row>
    <row r="57" spans="2:30">
      <c r="C57" s="327"/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27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</row>
    <row r="58" spans="2:30"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</row>
    <row r="59" spans="2:30" ht="19.149999999999999" customHeight="1" thickBot="1">
      <c r="B59" s="338" t="s">
        <v>35</v>
      </c>
      <c r="C59" s="322">
        <f>C26+C35+C43+C49+C56</f>
        <v>616299.40000000014</v>
      </c>
      <c r="D59" s="322">
        <f t="shared" ref="D59:O59" si="14">D26+D35+D43+D49+D56</f>
        <v>615502.95821226633</v>
      </c>
      <c r="E59" s="322">
        <f t="shared" si="14"/>
        <v>615445.34760042059</v>
      </c>
      <c r="F59" s="322">
        <f t="shared" si="14"/>
        <v>600473.10605891654</v>
      </c>
      <c r="G59" s="322">
        <f t="shared" si="14"/>
        <v>599156.34042316873</v>
      </c>
      <c r="H59" s="322">
        <f t="shared" si="14"/>
        <v>597735.37166082521</v>
      </c>
      <c r="I59" s="322">
        <f t="shared" si="14"/>
        <v>585917.29386903218</v>
      </c>
      <c r="J59" s="322">
        <f t="shared" si="14"/>
        <v>587205.37383217888</v>
      </c>
      <c r="K59" s="322">
        <f t="shared" si="14"/>
        <v>588604.42882937368</v>
      </c>
      <c r="L59" s="322">
        <f t="shared" si="14"/>
        <v>571754.17314149789</v>
      </c>
      <c r="M59" s="322">
        <f t="shared" si="14"/>
        <v>573436.48747976462</v>
      </c>
      <c r="N59" s="322">
        <f t="shared" si="14"/>
        <v>575442.41426025645</v>
      </c>
      <c r="O59" s="322">
        <f t="shared" si="14"/>
        <v>566425.05314931832</v>
      </c>
      <c r="P59" s="327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</row>
    <row r="60" spans="2:30" ht="13.5" thickTop="1"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</row>
    <row r="61" spans="2:30"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</row>
    <row r="62" spans="2:30">
      <c r="B62" s="68" t="s">
        <v>706</v>
      </c>
      <c r="C62" s="332" t="s">
        <v>61</v>
      </c>
      <c r="D62" s="333" t="s">
        <v>50</v>
      </c>
      <c r="E62" s="333" t="s">
        <v>51</v>
      </c>
      <c r="F62" s="333" t="s">
        <v>52</v>
      </c>
      <c r="G62" s="333" t="s">
        <v>53</v>
      </c>
      <c r="H62" s="333" t="s">
        <v>54</v>
      </c>
      <c r="I62" s="333" t="s">
        <v>55</v>
      </c>
      <c r="J62" s="333" t="s">
        <v>56</v>
      </c>
      <c r="K62" s="333" t="s">
        <v>57</v>
      </c>
      <c r="L62" s="333" t="s">
        <v>58</v>
      </c>
      <c r="M62" s="333" t="s">
        <v>59</v>
      </c>
      <c r="N62" s="333" t="s">
        <v>60</v>
      </c>
      <c r="O62" s="333" t="s">
        <v>61</v>
      </c>
      <c r="P62" s="334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</row>
    <row r="63" spans="2:30">
      <c r="B63" s="68"/>
      <c r="C63" s="326">
        <v>2001</v>
      </c>
      <c r="D63" s="281">
        <v>2002</v>
      </c>
      <c r="E63" s="281">
        <v>2002</v>
      </c>
      <c r="F63" s="281">
        <v>2002</v>
      </c>
      <c r="G63" s="281">
        <v>2002</v>
      </c>
      <c r="H63" s="281">
        <v>2002</v>
      </c>
      <c r="I63" s="281">
        <v>2002</v>
      </c>
      <c r="J63" s="281">
        <v>2002</v>
      </c>
      <c r="K63" s="281">
        <v>2002</v>
      </c>
      <c r="L63" s="281">
        <v>2002</v>
      </c>
      <c r="M63" s="281">
        <v>2002</v>
      </c>
      <c r="N63" s="281">
        <v>2002</v>
      </c>
      <c r="O63" s="281">
        <v>2002</v>
      </c>
      <c r="P63" s="329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</row>
    <row r="64" spans="2:30">
      <c r="B64" s="68" t="s">
        <v>707</v>
      </c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27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</row>
    <row r="65" spans="2:29">
      <c r="B65" s="75" t="s">
        <v>708</v>
      </c>
      <c r="C65" s="327">
        <v>57293</v>
      </c>
      <c r="D65" s="327">
        <f>C65</f>
        <v>57293</v>
      </c>
      <c r="E65" s="327">
        <f t="shared" ref="E65:O65" si="15">D65</f>
        <v>57293</v>
      </c>
      <c r="F65" s="327">
        <f t="shared" si="15"/>
        <v>57293</v>
      </c>
      <c r="G65" s="327">
        <f t="shared" si="15"/>
        <v>57293</v>
      </c>
      <c r="H65" s="327">
        <f t="shared" si="15"/>
        <v>57293</v>
      </c>
      <c r="I65" s="327">
        <f t="shared" si="15"/>
        <v>57293</v>
      </c>
      <c r="J65" s="327">
        <f t="shared" si="15"/>
        <v>57293</v>
      </c>
      <c r="K65" s="327">
        <f t="shared" si="15"/>
        <v>57293</v>
      </c>
      <c r="L65" s="327">
        <f t="shared" si="15"/>
        <v>57293</v>
      </c>
      <c r="M65" s="327">
        <f t="shared" si="15"/>
        <v>57293</v>
      </c>
      <c r="N65" s="327">
        <f t="shared" si="15"/>
        <v>57293</v>
      </c>
      <c r="O65" s="327">
        <f t="shared" si="15"/>
        <v>57293</v>
      </c>
      <c r="P65" s="327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</row>
    <row r="66" spans="2:29">
      <c r="B66" s="75" t="s">
        <v>709</v>
      </c>
      <c r="C66" s="327">
        <f>-51031.5</f>
        <v>-51031.5</v>
      </c>
      <c r="D66" s="327">
        <f>C66</f>
        <v>-51031.5</v>
      </c>
      <c r="E66" s="327">
        <f t="shared" ref="E66:O66" si="16">D66</f>
        <v>-51031.5</v>
      </c>
      <c r="F66" s="327">
        <f t="shared" si="16"/>
        <v>-51031.5</v>
      </c>
      <c r="G66" s="327">
        <f t="shared" si="16"/>
        <v>-51031.5</v>
      </c>
      <c r="H66" s="327">
        <f t="shared" si="16"/>
        <v>-51031.5</v>
      </c>
      <c r="I66" s="327">
        <f t="shared" si="16"/>
        <v>-51031.5</v>
      </c>
      <c r="J66" s="327">
        <f t="shared" si="16"/>
        <v>-51031.5</v>
      </c>
      <c r="K66" s="327">
        <f t="shared" si="16"/>
        <v>-51031.5</v>
      </c>
      <c r="L66" s="327">
        <f t="shared" si="16"/>
        <v>-51031.5</v>
      </c>
      <c r="M66" s="327">
        <f t="shared" si="16"/>
        <v>-51031.5</v>
      </c>
      <c r="N66" s="327">
        <f t="shared" si="16"/>
        <v>-51031.5</v>
      </c>
      <c r="O66" s="327">
        <f t="shared" si="16"/>
        <v>-51031.5</v>
      </c>
      <c r="P66" s="327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</row>
    <row r="67" spans="2:29">
      <c r="B67" s="75" t="s">
        <v>1181</v>
      </c>
      <c r="C67" s="327">
        <v>0</v>
      </c>
      <c r="D67" s="327">
        <f>'P&amp;LPLN'!C209/1000+Balance!C67</f>
        <v>-3018.3888492423725</v>
      </c>
      <c r="E67" s="327">
        <f>'P&amp;LPLN'!D209/1000+Balance!D67</f>
        <v>-5509.8976424385637</v>
      </c>
      <c r="F67" s="327">
        <f>'P&amp;LPLN'!E209/1000+Balance!E67</f>
        <v>-8436.3106878625658</v>
      </c>
      <c r="G67" s="327">
        <f>'P&amp;LPLN'!F209/1000+Balance!F67</f>
        <v>-11312.741703089019</v>
      </c>
      <c r="H67" s="327">
        <f>'P&amp;LPLN'!G209/1000+Balance!G67</f>
        <v>-15011.953380986195</v>
      </c>
      <c r="I67" s="327">
        <f>'P&amp;LPLN'!H209/1000+Balance!H67</f>
        <v>-18460.861894833528</v>
      </c>
      <c r="J67" s="327">
        <f>'P&amp;LPLN'!I209/1000+Balance!I67</f>
        <v>-19464.179919390204</v>
      </c>
      <c r="K67" s="327">
        <f>'P&amp;LPLN'!J209/1000+Balance!J67</f>
        <v>-20463.100445973549</v>
      </c>
      <c r="L67" s="327">
        <f>'P&amp;LPLN'!K209/1000+Balance!K67</f>
        <v>-21366.651597194184</v>
      </c>
      <c r="M67" s="327">
        <f>'P&amp;LPLN'!L209/1000+Balance!L67</f>
        <v>-22687.77642650684</v>
      </c>
      <c r="N67" s="327">
        <f>'P&amp;LPLN'!M209/1000+Balance!M67</f>
        <v>-23691.705597456967</v>
      </c>
      <c r="O67" s="327">
        <f>'P&amp;LPLN'!N209/1000+Balance!N67</f>
        <v>-24550.75884914213</v>
      </c>
      <c r="P67" s="327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</row>
    <row r="68" spans="2:29"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</row>
    <row r="69" spans="2:29">
      <c r="C69" s="328">
        <f>SUM(C65:C67)</f>
        <v>6261.5</v>
      </c>
      <c r="D69" s="328">
        <f>SUM(D65:D67)</f>
        <v>3243.1111507576275</v>
      </c>
      <c r="E69" s="328">
        <f t="shared" ref="E69:O69" si="17">SUM(E65:E67)</f>
        <v>751.60235756143629</v>
      </c>
      <c r="F69" s="328">
        <f t="shared" si="17"/>
        <v>-2174.8106878625658</v>
      </c>
      <c r="G69" s="328">
        <f t="shared" si="17"/>
        <v>-5051.2417030890192</v>
      </c>
      <c r="H69" s="328">
        <f t="shared" si="17"/>
        <v>-8750.453380986195</v>
      </c>
      <c r="I69" s="328">
        <f t="shared" si="17"/>
        <v>-12199.361894833528</v>
      </c>
      <c r="J69" s="328">
        <f t="shared" si="17"/>
        <v>-13202.679919390204</v>
      </c>
      <c r="K69" s="328">
        <f t="shared" si="17"/>
        <v>-14201.600445973549</v>
      </c>
      <c r="L69" s="328">
        <f t="shared" si="17"/>
        <v>-15105.151597194184</v>
      </c>
      <c r="M69" s="328">
        <f t="shared" si="17"/>
        <v>-16426.27642650684</v>
      </c>
      <c r="N69" s="328">
        <f t="shared" si="17"/>
        <v>-17430.205597456967</v>
      </c>
      <c r="O69" s="328">
        <f t="shared" si="17"/>
        <v>-18289.25884914213</v>
      </c>
      <c r="P69" s="327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</row>
    <row r="70" spans="2:29"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7"/>
      <c r="P70" s="327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</row>
    <row r="71" spans="2:29">
      <c r="B71" s="68" t="s">
        <v>710</v>
      </c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</row>
    <row r="72" spans="2:29">
      <c r="B72" s="75" t="s">
        <v>749</v>
      </c>
      <c r="C72" s="327">
        <v>23423</v>
      </c>
      <c r="D72" s="327">
        <f>C72</f>
        <v>23423</v>
      </c>
      <c r="E72" s="327">
        <f t="shared" ref="E72:O72" si="18">D72</f>
        <v>23423</v>
      </c>
      <c r="F72" s="327">
        <f t="shared" si="18"/>
        <v>23423</v>
      </c>
      <c r="G72" s="327">
        <f t="shared" si="18"/>
        <v>23423</v>
      </c>
      <c r="H72" s="327">
        <f t="shared" si="18"/>
        <v>23423</v>
      </c>
      <c r="I72" s="327">
        <f t="shared" si="18"/>
        <v>23423</v>
      </c>
      <c r="J72" s="327">
        <f t="shared" si="18"/>
        <v>23423</v>
      </c>
      <c r="K72" s="327">
        <f t="shared" si="18"/>
        <v>23423</v>
      </c>
      <c r="L72" s="327">
        <f t="shared" si="18"/>
        <v>23423</v>
      </c>
      <c r="M72" s="327">
        <f t="shared" si="18"/>
        <v>23423</v>
      </c>
      <c r="N72" s="327">
        <f t="shared" si="18"/>
        <v>23423</v>
      </c>
      <c r="O72" s="327">
        <f t="shared" si="18"/>
        <v>23423</v>
      </c>
      <c r="P72" s="327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</row>
    <row r="73" spans="2:29">
      <c r="B73" s="75" t="s">
        <v>711</v>
      </c>
      <c r="C73" s="327">
        <v>7342.7</v>
      </c>
      <c r="D73" s="327">
        <f>Swap!C41/1000</f>
        <v>9630.7108759157563</v>
      </c>
      <c r="E73" s="327">
        <f>Swap!D41/1000</f>
        <v>12055.218776673059</v>
      </c>
      <c r="F73" s="327">
        <f>Swap!E41/1000</f>
        <v>0</v>
      </c>
      <c r="G73" s="327">
        <f>Swap!F41/1000</f>
        <v>2362.2750988856751</v>
      </c>
      <c r="H73" s="327">
        <f>Swap!G41/1000</f>
        <v>4731.1277338462105</v>
      </c>
      <c r="I73" s="327">
        <f>Swap!H41/1000</f>
        <v>7106.5579048816071</v>
      </c>
      <c r="J73" s="327">
        <f>Swap!I41/1000</f>
        <v>9488.5656119918658</v>
      </c>
      <c r="K73" s="327">
        <f>Swap!J41/1000</f>
        <v>11877.150855176986</v>
      </c>
      <c r="L73" s="327">
        <f>Swap!K41/1000</f>
        <v>0</v>
      </c>
      <c r="M73" s="327">
        <f>Swap!L41/1000</f>
        <v>2323.7924416912992</v>
      </c>
      <c r="N73" s="327">
        <f>Swap!M41/1000</f>
        <v>4654.0016672452575</v>
      </c>
      <c r="O73" s="327">
        <f>Swap!N41/1000</f>
        <v>6990.6276766618748</v>
      </c>
      <c r="P73" s="327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</row>
    <row r="74" spans="2:29"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</row>
    <row r="75" spans="2:29">
      <c r="C75" s="328">
        <f>SUM(C72:C73)</f>
        <v>30765.7</v>
      </c>
      <c r="D75" s="328">
        <f t="shared" ref="D75:O75" si="19">SUM(D72:D73)</f>
        <v>33053.710875915756</v>
      </c>
      <c r="E75" s="328">
        <f t="shared" si="19"/>
        <v>35478.218776673057</v>
      </c>
      <c r="F75" s="328">
        <f t="shared" si="19"/>
        <v>23423</v>
      </c>
      <c r="G75" s="328">
        <f t="shared" si="19"/>
        <v>25785.275098885675</v>
      </c>
      <c r="H75" s="328">
        <f t="shared" si="19"/>
        <v>28154.12773384621</v>
      </c>
      <c r="I75" s="328">
        <f t="shared" si="19"/>
        <v>30529.557904881607</v>
      </c>
      <c r="J75" s="328">
        <f t="shared" si="19"/>
        <v>32911.565611991864</v>
      </c>
      <c r="K75" s="328">
        <f t="shared" si="19"/>
        <v>35300.150855176988</v>
      </c>
      <c r="L75" s="328">
        <f t="shared" si="19"/>
        <v>23423</v>
      </c>
      <c r="M75" s="328">
        <f t="shared" si="19"/>
        <v>25746.792441691301</v>
      </c>
      <c r="N75" s="328">
        <f t="shared" si="19"/>
        <v>28077.001667245258</v>
      </c>
      <c r="O75" s="328">
        <f t="shared" si="19"/>
        <v>30413.627676661876</v>
      </c>
      <c r="P75" s="327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</row>
    <row r="76" spans="2:29"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</row>
    <row r="77" spans="2:29">
      <c r="B77" s="68" t="s">
        <v>712</v>
      </c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</row>
    <row r="78" spans="2:29">
      <c r="B78" s="75" t="s">
        <v>713</v>
      </c>
      <c r="C78" s="327">
        <v>469077.9</v>
      </c>
      <c r="D78" s="327">
        <f>(loans!B38+loans!B46)/1000-D88</f>
        <v>468419.52485427348</v>
      </c>
      <c r="E78" s="327">
        <f>(loans!C38+loans!C46)/1000-E88</f>
        <v>469074.39537034702</v>
      </c>
      <c r="F78" s="327">
        <f>(loans!D38+loans!D46)/1000-F88</f>
        <v>469729.2658864205</v>
      </c>
      <c r="G78" s="327">
        <f>(loans!E38+loans!E46)/1000-G88</f>
        <v>470384.13640249398</v>
      </c>
      <c r="H78" s="327">
        <f>(loans!F38+loans!F46)/1000-H88</f>
        <v>471039.00691856752</v>
      </c>
      <c r="I78" s="327">
        <f>(loans!G38+loans!G46)/1000-I88</f>
        <v>459117.78409694065</v>
      </c>
      <c r="J78" s="327">
        <f>(loans!H38+loans!H46)/1000-J88</f>
        <v>459755.19474523072</v>
      </c>
      <c r="K78" s="327">
        <f>(loans!I38+loans!I46)/1000-K88</f>
        <v>460392.60539352079</v>
      </c>
      <c r="L78" s="327">
        <f>(loans!J38+loans!J46)/1000-L88</f>
        <v>461030.01604181097</v>
      </c>
      <c r="M78" s="327">
        <f>(loans!K38+loans!K46)/1000-M88</f>
        <v>461667.42669010104</v>
      </c>
      <c r="N78" s="327">
        <f>(loans!L38+loans!L46)/1000-N88</f>
        <v>462304.83733839117</v>
      </c>
      <c r="O78" s="327">
        <f>(loans!M38+loans!M46)/1000-O88</f>
        <v>451767.66739212367</v>
      </c>
      <c r="P78" s="327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</row>
    <row r="79" spans="2:29">
      <c r="B79" s="75" t="s">
        <v>714</v>
      </c>
      <c r="C79" s="327">
        <v>1400</v>
      </c>
      <c r="D79" s="327">
        <f>C79-24</f>
        <v>1376</v>
      </c>
      <c r="E79" s="327">
        <f t="shared" ref="E79:O79" si="20">D79-24</f>
        <v>1352</v>
      </c>
      <c r="F79" s="327">
        <f t="shared" si="20"/>
        <v>1328</v>
      </c>
      <c r="G79" s="327">
        <f t="shared" si="20"/>
        <v>1304</v>
      </c>
      <c r="H79" s="327">
        <f t="shared" si="20"/>
        <v>1280</v>
      </c>
      <c r="I79" s="327">
        <f t="shared" si="20"/>
        <v>1256</v>
      </c>
      <c r="J79" s="327">
        <f t="shared" si="20"/>
        <v>1232</v>
      </c>
      <c r="K79" s="327">
        <f t="shared" si="20"/>
        <v>1208</v>
      </c>
      <c r="L79" s="327">
        <f t="shared" si="20"/>
        <v>1184</v>
      </c>
      <c r="M79" s="327">
        <f t="shared" si="20"/>
        <v>1160</v>
      </c>
      <c r="N79" s="327">
        <f t="shared" si="20"/>
        <v>1136</v>
      </c>
      <c r="O79" s="327">
        <f t="shared" si="20"/>
        <v>1112</v>
      </c>
      <c r="P79" s="327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</row>
    <row r="80" spans="2:29"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</row>
    <row r="81" spans="2:29">
      <c r="C81" s="328">
        <f>SUM(C78:C80)</f>
        <v>470477.9</v>
      </c>
      <c r="D81" s="328">
        <f>SUM(D78:D79)</f>
        <v>469795.52485427348</v>
      </c>
      <c r="E81" s="328">
        <f t="shared" ref="E81:O81" si="21">SUM(E78:E79)</f>
        <v>470426.39537034702</v>
      </c>
      <c r="F81" s="328">
        <f t="shared" si="21"/>
        <v>471057.2658864205</v>
      </c>
      <c r="G81" s="328">
        <f t="shared" si="21"/>
        <v>471688.13640249398</v>
      </c>
      <c r="H81" s="328">
        <f t="shared" si="21"/>
        <v>472319.00691856752</v>
      </c>
      <c r="I81" s="328">
        <f t="shared" si="21"/>
        <v>460373.78409694065</v>
      </c>
      <c r="J81" s="328">
        <f t="shared" si="21"/>
        <v>460987.19474523072</v>
      </c>
      <c r="K81" s="328">
        <f t="shared" si="21"/>
        <v>461600.60539352079</v>
      </c>
      <c r="L81" s="328">
        <f t="shared" si="21"/>
        <v>462214.01604181097</v>
      </c>
      <c r="M81" s="328">
        <f t="shared" si="21"/>
        <v>462827.42669010104</v>
      </c>
      <c r="N81" s="328">
        <f t="shared" si="21"/>
        <v>463440.83733839117</v>
      </c>
      <c r="O81" s="328">
        <f t="shared" si="21"/>
        <v>452879.66739212367</v>
      </c>
      <c r="P81" s="327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</row>
    <row r="82" spans="2:29"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</row>
    <row r="83" spans="2:29">
      <c r="B83" s="68" t="s">
        <v>715</v>
      </c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</row>
    <row r="84" spans="2:29">
      <c r="B84" s="75" t="s">
        <v>716</v>
      </c>
      <c r="C84" s="327">
        <v>23434.6</v>
      </c>
      <c r="D84" s="327">
        <f>5549914*Factors!C11/1000</f>
        <v>23883.59070419304</v>
      </c>
      <c r="E84" s="327">
        <f>5549914*Factors!D11/1000</f>
        <v>23916.980984786082</v>
      </c>
      <c r="F84" s="327">
        <f>5549914*Factors!E11/1000</f>
        <v>23950.371265379123</v>
      </c>
      <c r="G84" s="327">
        <f>5549914*Factors!F11/1000</f>
        <v>23983.761545972164</v>
      </c>
      <c r="H84" s="327">
        <f>5549914*Factors!G11/1000</f>
        <v>24017.151826565205</v>
      </c>
      <c r="I84" s="327">
        <f>5549914*Factors!H11/1000</f>
        <v>24050.542107158246</v>
      </c>
      <c r="J84" s="327">
        <f>5549914*Factors!I11/1000</f>
        <v>24083.932387751287</v>
      </c>
      <c r="K84" s="327">
        <f>5549914*Factors!J11/1000</f>
        <v>24117.322668344332</v>
      </c>
      <c r="L84" s="327">
        <f>5549914*Factors!K11/1000</f>
        <v>24150.712948937373</v>
      </c>
      <c r="M84" s="327">
        <f>5549914*Factors!L11/1000</f>
        <v>24184.103229530414</v>
      </c>
      <c r="N84" s="327">
        <f>5549914*Factors!M11/1000</f>
        <v>24217.493510123455</v>
      </c>
      <c r="O84" s="327">
        <f>5549914*Factors!N11/1000</f>
        <v>24250.883790716496</v>
      </c>
      <c r="P84" s="327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</row>
    <row r="85" spans="2:29">
      <c r="B85" s="75" t="s">
        <v>717</v>
      </c>
      <c r="C85" s="327">
        <f>41331.9+4700+2000</f>
        <v>48031.9</v>
      </c>
      <c r="D85" s="327">
        <f>C85</f>
        <v>48031.9</v>
      </c>
      <c r="E85" s="327">
        <f t="shared" ref="E85:O85" si="22">D85</f>
        <v>48031.9</v>
      </c>
      <c r="F85" s="327">
        <f t="shared" si="22"/>
        <v>48031.9</v>
      </c>
      <c r="G85" s="327">
        <f t="shared" si="22"/>
        <v>48031.9</v>
      </c>
      <c r="H85" s="327">
        <f t="shared" si="22"/>
        <v>48031.9</v>
      </c>
      <c r="I85" s="327">
        <f t="shared" si="22"/>
        <v>48031.9</v>
      </c>
      <c r="J85" s="327">
        <f t="shared" si="22"/>
        <v>48031.9</v>
      </c>
      <c r="K85" s="327">
        <f t="shared" si="22"/>
        <v>48031.9</v>
      </c>
      <c r="L85" s="327">
        <f t="shared" si="22"/>
        <v>48031.9</v>
      </c>
      <c r="M85" s="327">
        <f t="shared" si="22"/>
        <v>48031.9</v>
      </c>
      <c r="N85" s="327">
        <f t="shared" si="22"/>
        <v>48031.9</v>
      </c>
      <c r="O85" s="327">
        <f t="shared" si="22"/>
        <v>48031.9</v>
      </c>
      <c r="P85" s="327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</row>
    <row r="86" spans="2:29">
      <c r="B86" s="75" t="s">
        <v>718</v>
      </c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</row>
    <row r="87" spans="2:29">
      <c r="B87" s="75" t="s">
        <v>719</v>
      </c>
      <c r="C87" s="327">
        <v>31.2</v>
      </c>
      <c r="D87" s="327">
        <f>C87</f>
        <v>31.2</v>
      </c>
      <c r="E87" s="327">
        <f t="shared" ref="E87:O87" si="23">D87</f>
        <v>31.2</v>
      </c>
      <c r="F87" s="327">
        <f t="shared" si="23"/>
        <v>31.2</v>
      </c>
      <c r="G87" s="327">
        <f t="shared" si="23"/>
        <v>31.2</v>
      </c>
      <c r="H87" s="327">
        <f t="shared" si="23"/>
        <v>31.2</v>
      </c>
      <c r="I87" s="327">
        <f t="shared" si="23"/>
        <v>31.2</v>
      </c>
      <c r="J87" s="327">
        <f t="shared" si="23"/>
        <v>31.2</v>
      </c>
      <c r="K87" s="327">
        <f t="shared" si="23"/>
        <v>31.2</v>
      </c>
      <c r="L87" s="327">
        <f t="shared" si="23"/>
        <v>31.2</v>
      </c>
      <c r="M87" s="327">
        <f t="shared" si="23"/>
        <v>31.2</v>
      </c>
      <c r="N87" s="327">
        <f t="shared" si="23"/>
        <v>31.2</v>
      </c>
      <c r="O87" s="327">
        <f t="shared" si="23"/>
        <v>31.2</v>
      </c>
      <c r="P87" s="327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</row>
    <row r="88" spans="2:29">
      <c r="B88" s="75" t="s">
        <v>720</v>
      </c>
      <c r="C88" s="327">
        <v>20733</v>
      </c>
      <c r="D88" s="327">
        <f>118500000*(0.020747+0.021581)/1000*Factors!C11</f>
        <v>21585.368410800485</v>
      </c>
      <c r="E88" s="327">
        <f>118500000*(0.020747+0.021581)/1000*Factors!D11</f>
        <v>21615.545678400966</v>
      </c>
      <c r="F88" s="327">
        <f>118500000*(0.020747+0.021581)/1000*Factors!E11</f>
        <v>21645.72294600145</v>
      </c>
      <c r="G88" s="327">
        <f>118500000*(0.020747+0.021581)/1000*Factors!F11</f>
        <v>21675.90021360193</v>
      </c>
      <c r="H88" s="327">
        <f>118500000*(0.020747+0.021581)/1000*Factors!G11</f>
        <v>21706.07748120241</v>
      </c>
      <c r="I88" s="327">
        <f>118500000*(0.02449+0.021581)/1000*Factors!H11</f>
        <v>23658.358356929166</v>
      </c>
      <c r="J88" s="327">
        <f>118500000*(0.02449+0.021581)/1000*Factors!I11</f>
        <v>23691.204153934028</v>
      </c>
      <c r="K88" s="327">
        <f>118500000*(0.02449+0.021581)/1000*Factors!J11</f>
        <v>23724.04995093889</v>
      </c>
      <c r="L88" s="327">
        <f>118500000*(0.02449+0.021581)/1000*Factors!K11</f>
        <v>23756.895747943749</v>
      </c>
      <c r="M88" s="327">
        <f>118500000*(0.02449+0.021581)/1000*Factors!L11</f>
        <v>23789.741544948611</v>
      </c>
      <c r="N88" s="327">
        <f>118500000*(0.02449+0.021581)/1000*Factors!M11</f>
        <v>23822.587341953473</v>
      </c>
      <c r="O88" s="327">
        <f>118500000*(0.02449+0.021581)/1000*Factors!N11</f>
        <v>23855.433138958335</v>
      </c>
      <c r="P88" s="327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</row>
    <row r="89" spans="2:29">
      <c r="B89" s="75" t="s">
        <v>721</v>
      </c>
      <c r="C89" s="327">
        <v>4500</v>
      </c>
      <c r="D89" s="327">
        <f>C89</f>
        <v>4500</v>
      </c>
      <c r="E89" s="327">
        <f t="shared" ref="E89:O89" si="24">D89</f>
        <v>4500</v>
      </c>
      <c r="F89" s="327">
        <f t="shared" si="24"/>
        <v>4500</v>
      </c>
      <c r="G89" s="327">
        <f t="shared" si="24"/>
        <v>4500</v>
      </c>
      <c r="H89" s="327">
        <f t="shared" si="24"/>
        <v>4500</v>
      </c>
      <c r="I89" s="327">
        <f t="shared" si="24"/>
        <v>4500</v>
      </c>
      <c r="J89" s="327">
        <f t="shared" si="24"/>
        <v>4500</v>
      </c>
      <c r="K89" s="327">
        <f t="shared" si="24"/>
        <v>4500</v>
      </c>
      <c r="L89" s="327">
        <f t="shared" si="24"/>
        <v>4500</v>
      </c>
      <c r="M89" s="327">
        <f t="shared" si="24"/>
        <v>4500</v>
      </c>
      <c r="N89" s="327">
        <f t="shared" si="24"/>
        <v>4500</v>
      </c>
      <c r="O89" s="327">
        <f t="shared" si="24"/>
        <v>4500</v>
      </c>
      <c r="P89" s="327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</row>
    <row r="90" spans="2:29"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27"/>
      <c r="P90" s="327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</row>
    <row r="91" spans="2:29">
      <c r="C91" s="328">
        <f>SUM(C84:C89)</f>
        <v>96730.7</v>
      </c>
      <c r="D91" s="328">
        <f>SUM(D84:D89)</f>
        <v>98032.059114993521</v>
      </c>
      <c r="E91" s="328">
        <f t="shared" ref="E91:O91" si="25">SUM(E84:E89)</f>
        <v>98095.626663187053</v>
      </c>
      <c r="F91" s="328">
        <f t="shared" si="25"/>
        <v>98159.194211380571</v>
      </c>
      <c r="G91" s="328">
        <f t="shared" si="25"/>
        <v>98222.761759574089</v>
      </c>
      <c r="H91" s="328">
        <f t="shared" si="25"/>
        <v>98286.329307767621</v>
      </c>
      <c r="I91" s="328">
        <f t="shared" si="25"/>
        <v>100272.00046408741</v>
      </c>
      <c r="J91" s="328">
        <f t="shared" si="25"/>
        <v>100338.23654168531</v>
      </c>
      <c r="K91" s="328">
        <f t="shared" si="25"/>
        <v>100404.47261928322</v>
      </c>
      <c r="L91" s="328">
        <f t="shared" si="25"/>
        <v>100470.70869688112</v>
      </c>
      <c r="M91" s="328">
        <f t="shared" si="25"/>
        <v>100536.94477447902</v>
      </c>
      <c r="N91" s="328">
        <f t="shared" si="25"/>
        <v>100603.18085207693</v>
      </c>
      <c r="O91" s="328">
        <f t="shared" si="25"/>
        <v>100669.41692967483</v>
      </c>
      <c r="P91" s="327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</row>
    <row r="92" spans="2:29"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</row>
    <row r="93" spans="2:29">
      <c r="B93" s="68" t="s">
        <v>722</v>
      </c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</row>
    <row r="94" spans="2:29">
      <c r="B94" s="75" t="s">
        <v>723</v>
      </c>
      <c r="C94" s="327">
        <f>8763.6-4700-2000</f>
        <v>2063.6000000000004</v>
      </c>
      <c r="D94" s="327">
        <f>C94</f>
        <v>2063.6000000000004</v>
      </c>
      <c r="E94" s="327">
        <f t="shared" ref="E94:O94" si="26">D94</f>
        <v>2063.6000000000004</v>
      </c>
      <c r="F94" s="327">
        <f t="shared" si="26"/>
        <v>2063.6000000000004</v>
      </c>
      <c r="G94" s="327">
        <f>F94-812</f>
        <v>1251.6000000000004</v>
      </c>
      <c r="H94" s="327">
        <f>G94-100</f>
        <v>1151.6000000000004</v>
      </c>
      <c r="I94" s="327">
        <f>H94-100</f>
        <v>1051.6000000000004</v>
      </c>
      <c r="J94" s="327">
        <f>I94-100</f>
        <v>951.60000000000036</v>
      </c>
      <c r="K94" s="327">
        <f t="shared" si="26"/>
        <v>951.60000000000036</v>
      </c>
      <c r="L94" s="327">
        <f>K94-200</f>
        <v>751.60000000000036</v>
      </c>
      <c r="M94" s="327">
        <f t="shared" si="26"/>
        <v>751.60000000000036</v>
      </c>
      <c r="N94" s="327">
        <f t="shared" si="26"/>
        <v>751.60000000000036</v>
      </c>
      <c r="O94" s="327">
        <f t="shared" si="26"/>
        <v>751.60000000000036</v>
      </c>
      <c r="P94" s="327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</row>
    <row r="95" spans="2:29">
      <c r="B95" s="75" t="s">
        <v>724</v>
      </c>
      <c r="C95" s="327">
        <v>10000</v>
      </c>
      <c r="D95" s="327">
        <f>C95-loans!B37/1000-loans!B45/1000</f>
        <v>9314.9522163259644</v>
      </c>
      <c r="E95" s="327">
        <f>D95-loans!C37/1000-loans!C45/1000</f>
        <v>8629.9044326519888</v>
      </c>
      <c r="F95" s="327">
        <f>E95-loans!D37/1000-loans!D45/1000</f>
        <v>7944.8566489780133</v>
      </c>
      <c r="G95" s="327">
        <f>F95-loans!E37/1000-loans!E45/1000</f>
        <v>7259.8088653040377</v>
      </c>
      <c r="H95" s="327">
        <f>G95-loans!F37/1000-loans!F45/1000</f>
        <v>6574.7610816300021</v>
      </c>
      <c r="I95" s="327">
        <f>H95-loans!G37/1000-loans!G45/1000</f>
        <v>5889.7132979560165</v>
      </c>
      <c r="J95" s="327">
        <f>I95-loans!H37/1000-loans!H45/1000</f>
        <v>5219.4568526610592</v>
      </c>
      <c r="K95" s="327">
        <f>J95-loans!I37/1000-loans!I45/1000</f>
        <v>4549.2004073661055</v>
      </c>
      <c r="L95" s="327">
        <v>0</v>
      </c>
      <c r="M95" s="327">
        <v>0</v>
      </c>
      <c r="N95" s="327">
        <v>0</v>
      </c>
      <c r="O95" s="327">
        <v>0</v>
      </c>
      <c r="P95" s="327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</row>
    <row r="96" spans="2:29"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</row>
    <row r="97" spans="2:29">
      <c r="C97" s="328">
        <f>SUM(C94:C95)</f>
        <v>12063.6</v>
      </c>
      <c r="D97" s="328">
        <f>SUM(D94:D95)</f>
        <v>11378.552216325965</v>
      </c>
      <c r="E97" s="328">
        <f t="shared" ref="E97:O97" si="27">SUM(E94:E95)</f>
        <v>10693.504432651989</v>
      </c>
      <c r="F97" s="328">
        <f t="shared" si="27"/>
        <v>10008.456648978014</v>
      </c>
      <c r="G97" s="328">
        <f t="shared" si="27"/>
        <v>8511.408865304038</v>
      </c>
      <c r="H97" s="328">
        <f t="shared" si="27"/>
        <v>7726.3610816300024</v>
      </c>
      <c r="I97" s="328">
        <f t="shared" si="27"/>
        <v>6941.3132979560169</v>
      </c>
      <c r="J97" s="328">
        <f t="shared" si="27"/>
        <v>6171.0568526610596</v>
      </c>
      <c r="K97" s="328">
        <f t="shared" si="27"/>
        <v>5500.8004073661059</v>
      </c>
      <c r="L97" s="328">
        <f t="shared" si="27"/>
        <v>751.60000000000036</v>
      </c>
      <c r="M97" s="328">
        <f t="shared" si="27"/>
        <v>751.60000000000036</v>
      </c>
      <c r="N97" s="328">
        <f t="shared" si="27"/>
        <v>751.60000000000036</v>
      </c>
      <c r="O97" s="328">
        <f t="shared" si="27"/>
        <v>751.60000000000036</v>
      </c>
      <c r="P97" s="327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</row>
    <row r="98" spans="2:29" ht="25.15" customHeight="1">
      <c r="B98" s="336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</row>
    <row r="99" spans="2:29" ht="19.149999999999999" customHeight="1" thickBot="1">
      <c r="B99" s="200" t="s">
        <v>36</v>
      </c>
      <c r="C99" s="322">
        <f>C97+C91+C81+C75+C69</f>
        <v>616299.4</v>
      </c>
      <c r="D99" s="322">
        <f t="shared" ref="D99:O99" si="28">D97+D91+D81+D75+D69</f>
        <v>615502.95821226633</v>
      </c>
      <c r="E99" s="322">
        <f t="shared" si="28"/>
        <v>615445.34760042059</v>
      </c>
      <c r="F99" s="322">
        <f t="shared" si="28"/>
        <v>600473.10605891654</v>
      </c>
      <c r="G99" s="322">
        <f t="shared" si="28"/>
        <v>599156.34042316873</v>
      </c>
      <c r="H99" s="322">
        <f t="shared" si="28"/>
        <v>597735.3716608251</v>
      </c>
      <c r="I99" s="322">
        <f t="shared" si="28"/>
        <v>585917.29386903218</v>
      </c>
      <c r="J99" s="322">
        <f t="shared" si="28"/>
        <v>587205.37383217877</v>
      </c>
      <c r="K99" s="322">
        <f t="shared" si="28"/>
        <v>588604.42882937356</v>
      </c>
      <c r="L99" s="322">
        <f t="shared" si="28"/>
        <v>571754.173141498</v>
      </c>
      <c r="M99" s="322">
        <f t="shared" si="28"/>
        <v>573436.4874797645</v>
      </c>
      <c r="N99" s="322">
        <f t="shared" si="28"/>
        <v>575442.41426025634</v>
      </c>
      <c r="O99" s="322">
        <f t="shared" si="28"/>
        <v>566425.05314931821</v>
      </c>
      <c r="P99" s="327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</row>
    <row r="100" spans="2:29" ht="13.5" thickTop="1">
      <c r="B100" s="68"/>
      <c r="C100" s="327">
        <f>C99-C59</f>
        <v>0</v>
      </c>
      <c r="D100" s="327">
        <f t="shared" ref="D100:O100" si="29">D99-D59</f>
        <v>0</v>
      </c>
      <c r="E100" s="327">
        <f t="shared" si="29"/>
        <v>0</v>
      </c>
      <c r="F100" s="327">
        <f t="shared" si="29"/>
        <v>0</v>
      </c>
      <c r="G100" s="327">
        <f t="shared" si="29"/>
        <v>0</v>
      </c>
      <c r="H100" s="327">
        <f t="shared" si="29"/>
        <v>0</v>
      </c>
      <c r="I100" s="327">
        <f t="shared" si="29"/>
        <v>0</v>
      </c>
      <c r="J100" s="327">
        <f t="shared" si="29"/>
        <v>0</v>
      </c>
      <c r="K100" s="327">
        <f t="shared" si="29"/>
        <v>0</v>
      </c>
      <c r="L100" s="327">
        <f t="shared" si="29"/>
        <v>0</v>
      </c>
      <c r="M100" s="327">
        <f t="shared" si="29"/>
        <v>0</v>
      </c>
      <c r="N100" s="327">
        <f t="shared" si="29"/>
        <v>0</v>
      </c>
      <c r="O100" s="327">
        <f t="shared" si="29"/>
        <v>0</v>
      </c>
      <c r="P100" s="327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</row>
    <row r="101" spans="2:29">
      <c r="C101" s="318"/>
      <c r="D101" s="327"/>
      <c r="E101" s="327"/>
      <c r="F101" s="327"/>
      <c r="G101" s="327"/>
      <c r="H101" s="327"/>
      <c r="I101" s="327"/>
      <c r="J101" s="327"/>
      <c r="K101" s="327"/>
      <c r="L101" s="327"/>
      <c r="M101" s="327"/>
      <c r="N101" s="327"/>
      <c r="O101" s="327"/>
      <c r="P101" s="327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</row>
    <row r="102" spans="2:29"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</row>
    <row r="103" spans="2:29"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</row>
    <row r="104" spans="2:29"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</row>
    <row r="105" spans="2:29"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</row>
    <row r="106" spans="2:29"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</row>
    <row r="107" spans="2:29"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</row>
    <row r="108" spans="2:29"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</row>
    <row r="109" spans="2:29"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</row>
    <row r="110" spans="2:29"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7"/>
      <c r="P110" s="327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</row>
    <row r="111" spans="2:29"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</row>
    <row r="112" spans="2:29"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</row>
    <row r="113" spans="2:29">
      <c r="B113" s="335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</row>
    <row r="114" spans="2:29">
      <c r="B114" s="335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</row>
    <row r="115" spans="2:29">
      <c r="B115" s="335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</row>
    <row r="116" spans="2:29">
      <c r="B116" s="335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</row>
    <row r="117" spans="2:29">
      <c r="B117" s="7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7"/>
      <c r="P117" s="327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</row>
    <row r="118" spans="2:29">
      <c r="B118" s="7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</row>
    <row r="119" spans="2:29">
      <c r="B119" s="7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</row>
    <row r="120" spans="2:29">
      <c r="B120" s="7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</row>
    <row r="121" spans="2:29">
      <c r="B121" s="7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</row>
    <row r="122" spans="2:29">
      <c r="B122" s="7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</row>
    <row r="123" spans="2:29">
      <c r="B123" s="7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</row>
    <row r="124" spans="2:29">
      <c r="B124" s="335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</row>
    <row r="125" spans="2:29">
      <c r="B125" s="7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</row>
    <row r="126" spans="2:29">
      <c r="B126" s="77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</row>
    <row r="127" spans="2:29">
      <c r="B127" s="77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</row>
    <row r="128" spans="2:29">
      <c r="B128" s="77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</row>
    <row r="129" spans="2:29">
      <c r="B129" s="77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</row>
    <row r="130" spans="2:29">
      <c r="B130" s="77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</row>
    <row r="131" spans="2:29">
      <c r="B131" s="335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</row>
    <row r="132" spans="2:29">
      <c r="B132" s="335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</row>
    <row r="133" spans="2:29">
      <c r="B133" s="77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</row>
    <row r="134" spans="2:29">
      <c r="B134" s="77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</row>
    <row r="135" spans="2:29">
      <c r="B135" s="335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</row>
    <row r="136" spans="2:29">
      <c r="B136" s="77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</row>
    <row r="137" spans="2:29">
      <c r="B137" s="77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</row>
    <row r="138" spans="2:29">
      <c r="B138" s="77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</row>
    <row r="139" spans="2:29">
      <c r="B139" s="77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</row>
    <row r="140" spans="2:29">
      <c r="B140" s="77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</row>
    <row r="141" spans="2:29">
      <c r="B141" s="335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</row>
    <row r="142" spans="2:29">
      <c r="B142" s="335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</row>
    <row r="143" spans="2:29">
      <c r="B143" s="77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</row>
    <row r="144" spans="2:29">
      <c r="B144" s="77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</row>
    <row r="145" spans="2:29">
      <c r="B145" s="77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</row>
    <row r="146" spans="2:29">
      <c r="B146" s="77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</row>
    <row r="147" spans="2:29">
      <c r="B147" s="335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</row>
    <row r="148" spans="2:29">
      <c r="B148" s="77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</row>
    <row r="149" spans="2:29">
      <c r="B149" s="77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</row>
    <row r="150" spans="2:29">
      <c r="B150" s="335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</row>
    <row r="151" spans="2:29">
      <c r="B151" s="77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</row>
    <row r="152" spans="2:29">
      <c r="B152" s="77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</row>
    <row r="153" spans="2:29">
      <c r="B153" s="77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</row>
    <row r="154" spans="2:29">
      <c r="B154" s="77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</row>
    <row r="155" spans="2:29">
      <c r="B155" s="77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</row>
    <row r="156" spans="2:29">
      <c r="B156" s="77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</row>
    <row r="157" spans="2:29">
      <c r="B157" s="77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</row>
    <row r="158" spans="2:29">
      <c r="B158" s="77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</row>
    <row r="159" spans="2:29">
      <c r="B159" s="77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</row>
    <row r="160" spans="2:29">
      <c r="B160" s="335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</row>
    <row r="161" spans="2:29">
      <c r="B161" s="335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</row>
    <row r="162" spans="2:29">
      <c r="B162" s="77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</row>
    <row r="163" spans="2:29">
      <c r="B163" s="77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</row>
    <row r="164" spans="2:29">
      <c r="B164" s="77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</row>
    <row r="165" spans="2:29">
      <c r="B165" s="77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</row>
    <row r="166" spans="2:29">
      <c r="B166" s="77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</row>
    <row r="167" spans="2:29">
      <c r="B167" s="77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</row>
    <row r="168" spans="2:29">
      <c r="B168" s="77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</row>
    <row r="169" spans="2:29">
      <c r="B169" s="77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</row>
    <row r="170" spans="2:29">
      <c r="B170" s="335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</row>
    <row r="171" spans="2:29">
      <c r="B171" s="335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</row>
    <row r="172" spans="2:29">
      <c r="B172" s="77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</row>
    <row r="173" spans="2:29">
      <c r="B173" s="77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</row>
    <row r="174" spans="2:29">
      <c r="B174" s="77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</row>
    <row r="175" spans="2:29">
      <c r="B175" s="77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</row>
    <row r="176" spans="2:29">
      <c r="B176" s="335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</row>
    <row r="177" spans="2:29">
      <c r="B177" s="335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</row>
    <row r="178" spans="2:29">
      <c r="B178" s="335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</row>
    <row r="179" spans="2:29">
      <c r="B179" s="337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</row>
    <row r="180" spans="2:29">
      <c r="B180" s="337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</row>
    <row r="181" spans="2:29">
      <c r="B181" s="337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</row>
    <row r="182" spans="2:29">
      <c r="B182" s="337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</row>
    <row r="183" spans="2:29">
      <c r="B183" s="337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</row>
    <row r="184" spans="2:29">
      <c r="B184" s="337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</row>
    <row r="185" spans="2:29">
      <c r="B185" s="337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</row>
    <row r="186" spans="2:29">
      <c r="B186" s="337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</row>
    <row r="187" spans="2:29">
      <c r="B187" s="337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</row>
    <row r="188" spans="2:29">
      <c r="B188" s="337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</row>
    <row r="189" spans="2:29">
      <c r="B189" s="337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</row>
    <row r="190" spans="2:29">
      <c r="B190" s="337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</row>
    <row r="191" spans="2:29">
      <c r="B191" s="337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</row>
    <row r="192" spans="2:29">
      <c r="B192" s="337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</row>
    <row r="193" spans="2:29">
      <c r="B193" s="337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</row>
    <row r="194" spans="2:29">
      <c r="B194" s="337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</row>
    <row r="195" spans="2:29">
      <c r="B195" s="337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</row>
    <row r="196" spans="2:29">
      <c r="B196" s="337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</row>
    <row r="197" spans="2:29">
      <c r="B197" s="337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</row>
    <row r="198" spans="2:29">
      <c r="B198" s="337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</row>
    <row r="199" spans="2:29">
      <c r="B199" s="337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</row>
    <row r="200" spans="2:29">
      <c r="B200" s="337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</row>
    <row r="201" spans="2:29">
      <c r="B201" s="337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</row>
    <row r="202" spans="2:29">
      <c r="B202" s="337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</row>
    <row r="203" spans="2:29">
      <c r="B203" s="337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</row>
    <row r="204" spans="2:29">
      <c r="B204" s="337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</row>
    <row r="205" spans="2:29">
      <c r="B205" s="337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</row>
    <row r="206" spans="2:29">
      <c r="B206" s="337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</row>
    <row r="207" spans="2:29">
      <c r="B207" s="337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</row>
    <row r="208" spans="2:29">
      <c r="B208" s="337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</row>
    <row r="209" spans="2:29">
      <c r="B209" s="337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</row>
    <row r="210" spans="2:29">
      <c r="B210" s="337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</row>
    <row r="211" spans="2:29">
      <c r="B211" s="337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</row>
    <row r="212" spans="2:29">
      <c r="B212" s="337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</row>
    <row r="213" spans="2:29">
      <c r="B213" s="337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</row>
    <row r="214" spans="2:29">
      <c r="B214" s="337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</row>
    <row r="215" spans="2:29">
      <c r="B215" s="337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</row>
    <row r="216" spans="2:29">
      <c r="B216" s="337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</row>
    <row r="217" spans="2:29">
      <c r="B217" s="337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</row>
    <row r="218" spans="2:29">
      <c r="B218" s="337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</row>
    <row r="219" spans="2:29">
      <c r="B219" s="337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</row>
    <row r="220" spans="2:29">
      <c r="B220" s="337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</row>
    <row r="221" spans="2:29">
      <c r="B221" s="337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</row>
    <row r="222" spans="2:29">
      <c r="B222" s="337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</row>
    <row r="223" spans="2:29">
      <c r="B223" s="337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</row>
    <row r="224" spans="2:29">
      <c r="B224" s="337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</row>
    <row r="225" spans="2:29">
      <c r="B225" s="337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</row>
    <row r="226" spans="2:29">
      <c r="B226" s="337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</row>
    <row r="227" spans="2:29">
      <c r="B227" s="337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</row>
    <row r="228" spans="2:29">
      <c r="B228" s="337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</row>
    <row r="229" spans="2:29">
      <c r="B229" s="337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</row>
    <row r="230" spans="2:29">
      <c r="B230" s="337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</row>
    <row r="231" spans="2:29">
      <c r="B231" s="337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</row>
    <row r="232" spans="2:29">
      <c r="B232" s="337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</row>
    <row r="233" spans="2:29">
      <c r="B233" s="337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</row>
    <row r="234" spans="2:29">
      <c r="B234" s="337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</row>
    <row r="235" spans="2:29">
      <c r="B235" s="337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</row>
    <row r="236" spans="2:29">
      <c r="B236" s="337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</row>
    <row r="237" spans="2:29">
      <c r="B237" s="337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</row>
    <row r="238" spans="2:29">
      <c r="B238" s="337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</row>
    <row r="239" spans="2:29">
      <c r="B239" s="337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</row>
    <row r="240" spans="2:29">
      <c r="B240" s="337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</row>
    <row r="241" spans="2:29">
      <c r="B241" s="337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</row>
    <row r="242" spans="2:29">
      <c r="B242" s="337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</row>
    <row r="243" spans="2:29">
      <c r="B243" s="337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</row>
    <row r="244" spans="2:29">
      <c r="B244" s="337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</row>
    <row r="245" spans="2:29">
      <c r="B245" s="337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</row>
    <row r="246" spans="2:29">
      <c r="B246" s="337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</row>
    <row r="247" spans="2:29">
      <c r="B247" s="337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</row>
    <row r="248" spans="2:29">
      <c r="B248" s="337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</row>
    <row r="249" spans="2:29">
      <c r="B249" s="337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</row>
    <row r="250" spans="2:29">
      <c r="B250" s="337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</row>
    <row r="251" spans="2:29">
      <c r="B251" s="337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</row>
    <row r="252" spans="2:29">
      <c r="B252" s="337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</row>
    <row r="253" spans="2:29">
      <c r="B253" s="337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</row>
    <row r="254" spans="2:29">
      <c r="B254" s="337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</row>
    <row r="255" spans="2:29">
      <c r="B255" s="337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</row>
    <row r="256" spans="2:29">
      <c r="B256" s="337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</row>
    <row r="257" spans="2:29">
      <c r="B257" s="337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</row>
    <row r="258" spans="2:29">
      <c r="B258" s="337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</row>
    <row r="259" spans="2:29">
      <c r="B259" s="337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</row>
    <row r="260" spans="2:29">
      <c r="B260" s="337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</row>
    <row r="261" spans="2:29">
      <c r="B261" s="337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</row>
    <row r="262" spans="2:29">
      <c r="B262" s="337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</row>
    <row r="263" spans="2:29">
      <c r="B263" s="337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</row>
    <row r="264" spans="2:29">
      <c r="B264" s="337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</row>
    <row r="265" spans="2:29">
      <c r="B265" s="337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</row>
    <row r="266" spans="2:29">
      <c r="B266" s="337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</row>
    <row r="267" spans="2:29">
      <c r="B267" s="337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</row>
    <row r="268" spans="2:29">
      <c r="B268" s="337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</row>
    <row r="269" spans="2:29">
      <c r="B269" s="337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</row>
    <row r="270" spans="2:29">
      <c r="B270" s="337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</row>
    <row r="271" spans="2:29">
      <c r="B271" s="337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</row>
    <row r="272" spans="2:29">
      <c r="B272" s="337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</row>
    <row r="273" spans="2:29">
      <c r="B273" s="337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</row>
    <row r="274" spans="2:29">
      <c r="B274" s="337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</row>
    <row r="275" spans="2:29">
      <c r="B275" s="337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</row>
    <row r="276" spans="2:29">
      <c r="B276" s="337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</row>
    <row r="277" spans="2:29">
      <c r="B277" s="337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</row>
    <row r="278" spans="2:29">
      <c r="B278" s="337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</row>
    <row r="279" spans="2:29">
      <c r="B279" s="337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</row>
    <row r="280" spans="2:29">
      <c r="B280" s="337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</row>
    <row r="281" spans="2:29">
      <c r="B281" s="337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</row>
    <row r="282" spans="2:29">
      <c r="B282" s="337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</row>
    <row r="283" spans="2:29">
      <c r="B283" s="337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</row>
    <row r="284" spans="2:29">
      <c r="B284" s="337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</row>
    <row r="285" spans="2:29">
      <c r="B285" s="337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</row>
    <row r="286" spans="2:29">
      <c r="B286" s="337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</row>
    <row r="287" spans="2:29">
      <c r="B287" s="337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</row>
    <row r="288" spans="2:29">
      <c r="B288" s="337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</row>
    <row r="289" spans="2:29">
      <c r="B289" s="337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</row>
    <row r="290" spans="2:29">
      <c r="B290" s="337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</row>
    <row r="291" spans="2:29">
      <c r="B291" s="337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</row>
    <row r="292" spans="2:29">
      <c r="B292" s="337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</row>
    <row r="293" spans="2:29">
      <c r="B293" s="337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</row>
    <row r="294" spans="2:29">
      <c r="B294" s="337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</row>
    <row r="295" spans="2:29">
      <c r="B295" s="337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</row>
    <row r="296" spans="2:29">
      <c r="B296" s="337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</row>
    <row r="297" spans="2:29">
      <c r="B297" s="337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</row>
    <row r="298" spans="2:29">
      <c r="B298" s="337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</row>
    <row r="299" spans="2:29">
      <c r="B299" s="337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</row>
    <row r="300" spans="2:29">
      <c r="B300" s="337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</row>
    <row r="301" spans="2:29">
      <c r="B301" s="337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</row>
    <row r="302" spans="2:29">
      <c r="B302" s="337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</row>
    <row r="303" spans="2:29">
      <c r="B303" s="337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</row>
    <row r="304" spans="2:29">
      <c r="B304" s="337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</row>
    <row r="305" spans="2:29">
      <c r="B305" s="337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</row>
    <row r="306" spans="2:29">
      <c r="B306" s="337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</row>
    <row r="307" spans="2:29">
      <c r="B307" s="337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</row>
    <row r="308" spans="2:29">
      <c r="B308" s="337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</row>
    <row r="309" spans="2:29">
      <c r="B309" s="337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</row>
    <row r="310" spans="2:29">
      <c r="B310" s="337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</row>
    <row r="311" spans="2:29">
      <c r="B311" s="337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</row>
    <row r="312" spans="2:29">
      <c r="B312" s="337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</row>
    <row r="313" spans="2:29">
      <c r="B313" s="337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</row>
    <row r="314" spans="2:29">
      <c r="B314" s="337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</row>
    <row r="315" spans="2:29">
      <c r="B315" s="337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</row>
    <row r="316" spans="2:29">
      <c r="B316" s="337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</row>
    <row r="317" spans="2:29">
      <c r="B317" s="337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</row>
    <row r="318" spans="2:29">
      <c r="B318" s="337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</row>
    <row r="319" spans="2:29">
      <c r="B319" s="337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</row>
    <row r="320" spans="2:29">
      <c r="B320" s="337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</row>
    <row r="321" spans="2:29">
      <c r="B321" s="337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</row>
    <row r="322" spans="2:29">
      <c r="B322" s="337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</row>
    <row r="323" spans="2:29">
      <c r="B323" s="337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</row>
    <row r="324" spans="2:29">
      <c r="B324" s="337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</row>
    <row r="325" spans="2:29">
      <c r="B325" s="337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</row>
    <row r="326" spans="2:29">
      <c r="B326" s="337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</row>
    <row r="327" spans="2:29">
      <c r="B327" s="337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</row>
    <row r="328" spans="2:29">
      <c r="B328" s="337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</row>
    <row r="329" spans="2:29">
      <c r="B329" s="337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</row>
    <row r="330" spans="2:29">
      <c r="B330" s="337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</row>
    <row r="331" spans="2:29">
      <c r="B331" s="337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</row>
    <row r="332" spans="2:29">
      <c r="B332" s="337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</row>
    <row r="333" spans="2:29">
      <c r="B333" s="337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</row>
    <row r="334" spans="2:29">
      <c r="B334" s="337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</row>
    <row r="335" spans="2:29">
      <c r="B335" s="337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</row>
    <row r="336" spans="2:29">
      <c r="B336" s="337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</row>
    <row r="337" spans="2:29">
      <c r="B337" s="337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</row>
    <row r="338" spans="2:29">
      <c r="B338" s="337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</row>
    <row r="339" spans="2:29">
      <c r="B339" s="337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</row>
    <row r="340" spans="2:29">
      <c r="B340" s="337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</row>
    <row r="341" spans="2:29">
      <c r="B341" s="337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</row>
    <row r="342" spans="2:29">
      <c r="B342" s="337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</row>
    <row r="343" spans="2:29">
      <c r="B343" s="337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</row>
    <row r="344" spans="2:29">
      <c r="B344" s="337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</row>
    <row r="345" spans="2:29">
      <c r="B345" s="337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</row>
    <row r="346" spans="2:29">
      <c r="B346" s="337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</row>
    <row r="347" spans="2:29">
      <c r="B347" s="337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</row>
    <row r="348" spans="2:29">
      <c r="B348" s="337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</row>
    <row r="349" spans="2:29">
      <c r="B349" s="337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</row>
    <row r="350" spans="2:29">
      <c r="B350" s="337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</row>
    <row r="351" spans="2:29">
      <c r="B351" s="337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</row>
    <row r="352" spans="2:29">
      <c r="B352" s="337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</row>
    <row r="353" spans="2:29">
      <c r="B353" s="337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</row>
    <row r="354" spans="2:29">
      <c r="B354" s="337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</row>
    <row r="355" spans="2:29">
      <c r="B355" s="337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</row>
    <row r="356" spans="2:29">
      <c r="B356" s="337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</row>
    <row r="357" spans="2:29">
      <c r="B357" s="337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</row>
    <row r="358" spans="2:29">
      <c r="B358" s="337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</row>
    <row r="359" spans="2:29">
      <c r="B359" s="337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</row>
    <row r="360" spans="2:29">
      <c r="B360" s="337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</row>
    <row r="361" spans="2:29">
      <c r="B361" s="337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</row>
    <row r="362" spans="2:29">
      <c r="B362" s="337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</row>
    <row r="363" spans="2:29">
      <c r="B363" s="337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</row>
    <row r="364" spans="2:29">
      <c r="B364" s="337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</row>
    <row r="365" spans="2:29">
      <c r="B365" s="337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</row>
    <row r="366" spans="2:29">
      <c r="B366" s="337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</row>
    <row r="367" spans="2:29">
      <c r="B367" s="337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</row>
    <row r="368" spans="2:29">
      <c r="B368" s="337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</row>
    <row r="369" spans="2:29">
      <c r="B369" s="337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</row>
    <row r="370" spans="2:29">
      <c r="B370" s="337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</row>
    <row r="371" spans="2:29">
      <c r="B371" s="337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</row>
    <row r="372" spans="2:29">
      <c r="B372" s="337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</row>
    <row r="373" spans="2:29">
      <c r="B373" s="337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</row>
    <row r="374" spans="2:29">
      <c r="B374" s="337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</row>
    <row r="375" spans="2:29">
      <c r="B375" s="337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</row>
    <row r="376" spans="2:29">
      <c r="B376" s="337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</row>
    <row r="377" spans="2:29">
      <c r="B377" s="337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</row>
    <row r="378" spans="2:29">
      <c r="B378" s="337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</row>
    <row r="379" spans="2:29">
      <c r="B379" s="337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</row>
    <row r="380" spans="2:29">
      <c r="B380" s="337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</row>
    <row r="381" spans="2:29">
      <c r="B381" s="337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</row>
    <row r="382" spans="2:29">
      <c r="B382" s="337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</row>
    <row r="383" spans="2:29">
      <c r="B383" s="337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</row>
    <row r="384" spans="2:29">
      <c r="B384" s="337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</row>
    <row r="385" spans="2:29">
      <c r="B385" s="337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</row>
    <row r="386" spans="2:29">
      <c r="B386" s="337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</row>
    <row r="387" spans="2:29">
      <c r="B387" s="337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</row>
    <row r="388" spans="2:29">
      <c r="B388" s="337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</row>
    <row r="389" spans="2:29">
      <c r="B389" s="337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</row>
    <row r="390" spans="2:29">
      <c r="B390" s="337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</row>
    <row r="391" spans="2:29">
      <c r="B391" s="337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</row>
    <row r="392" spans="2:29">
      <c r="B392" s="337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</row>
    <row r="393" spans="2:29">
      <c r="B393" s="337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</row>
    <row r="394" spans="2:29">
      <c r="B394" s="337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</row>
    <row r="395" spans="2:29">
      <c r="B395" s="337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</row>
    <row r="396" spans="2:29">
      <c r="B396" s="337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</row>
    <row r="397" spans="2:29">
      <c r="B397" s="337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</row>
    <row r="398" spans="2:29">
      <c r="B398" s="337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</row>
    <row r="399" spans="2:29">
      <c r="B399" s="337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</row>
    <row r="400" spans="2:29">
      <c r="B400" s="337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</row>
    <row r="401" spans="2:29">
      <c r="B401" s="337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</row>
    <row r="402" spans="2:29">
      <c r="B402" s="337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</row>
    <row r="403" spans="2:29">
      <c r="B403" s="337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</row>
    <row r="404" spans="2:29">
      <c r="B404" s="337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</row>
    <row r="405" spans="2:29">
      <c r="B405" s="337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</row>
    <row r="406" spans="2:29">
      <c r="B406" s="337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</row>
    <row r="407" spans="2:29">
      <c r="B407" s="337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</row>
    <row r="408" spans="2:29">
      <c r="B408" s="337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</row>
    <row r="409" spans="2:29">
      <c r="B409" s="337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</row>
    <row r="410" spans="2:29">
      <c r="B410" s="337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</row>
    <row r="411" spans="2:29">
      <c r="B411" s="337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</row>
    <row r="412" spans="2:29">
      <c r="B412" s="337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</row>
    <row r="413" spans="2:29">
      <c r="B413" s="337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</row>
    <row r="414" spans="2:29">
      <c r="B414" s="337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</row>
    <row r="415" spans="2:29">
      <c r="B415" s="337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</row>
    <row r="416" spans="2:29">
      <c r="B416" s="337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</row>
    <row r="417" spans="2:29">
      <c r="B417" s="337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</row>
    <row r="418" spans="2:29">
      <c r="B418" s="337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</row>
    <row r="419" spans="2:29">
      <c r="B419" s="337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</row>
    <row r="420" spans="2:29">
      <c r="B420" s="337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</row>
    <row r="421" spans="2:29">
      <c r="B421" s="337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</row>
    <row r="422" spans="2:29">
      <c r="B422" s="337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</row>
    <row r="423" spans="2:29">
      <c r="B423" s="337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</row>
    <row r="424" spans="2:29">
      <c r="B424" s="337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</row>
    <row r="425" spans="2:29">
      <c r="B425" s="337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</row>
    <row r="426" spans="2:29">
      <c r="B426" s="337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</row>
    <row r="427" spans="2:29">
      <c r="B427" s="337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</row>
    <row r="428" spans="2:29">
      <c r="B428" s="337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</row>
    <row r="429" spans="2:29">
      <c r="B429" s="337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</row>
    <row r="430" spans="2:29">
      <c r="B430" s="337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</row>
    <row r="431" spans="2:29">
      <c r="B431" s="337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</row>
    <row r="432" spans="2:29">
      <c r="B432" s="337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</row>
    <row r="433" spans="2:29">
      <c r="B433" s="337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</row>
    <row r="434" spans="2:29">
      <c r="B434" s="337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</row>
    <row r="435" spans="2:29">
      <c r="B435" s="337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</row>
    <row r="436" spans="2:29">
      <c r="B436" s="337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</row>
    <row r="437" spans="2:29">
      <c r="B437" s="337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</row>
    <row r="438" spans="2:29">
      <c r="B438" s="337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</row>
    <row r="439" spans="2:29">
      <c r="B439" s="337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</row>
    <row r="440" spans="2:29">
      <c r="B440" s="337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</row>
    <row r="441" spans="2:29">
      <c r="B441" s="337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</row>
    <row r="442" spans="2:29">
      <c r="B442" s="337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</row>
    <row r="443" spans="2:29">
      <c r="B443" s="337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</row>
    <row r="444" spans="2:29">
      <c r="B444" s="337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</row>
    <row r="445" spans="2:29">
      <c r="B445" s="337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</row>
    <row r="446" spans="2:29">
      <c r="B446" s="337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</row>
    <row r="447" spans="2:29">
      <c r="B447" s="337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</row>
    <row r="448" spans="2:29">
      <c r="B448" s="337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</row>
    <row r="449" spans="2:29">
      <c r="B449" s="337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</row>
    <row r="450" spans="2:29">
      <c r="B450" s="337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</row>
    <row r="451" spans="2:29">
      <c r="B451" s="337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</row>
    <row r="452" spans="2:29">
      <c r="B452" s="337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</row>
    <row r="453" spans="2:29">
      <c r="B453" s="337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</row>
    <row r="454" spans="2:29">
      <c r="B454" s="337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</row>
    <row r="455" spans="2:29">
      <c r="B455" s="337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</row>
    <row r="456" spans="2:29">
      <c r="B456" s="337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</row>
    <row r="457" spans="2:29">
      <c r="B457" s="337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</row>
    <row r="458" spans="2:29">
      <c r="B458" s="337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</row>
    <row r="459" spans="2:29">
      <c r="B459" s="337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</row>
    <row r="460" spans="2:29">
      <c r="B460" s="337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</row>
    <row r="461" spans="2:29">
      <c r="B461" s="337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</row>
    <row r="462" spans="2:29">
      <c r="B462" s="337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</row>
    <row r="463" spans="2:29">
      <c r="B463" s="337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</row>
    <row r="464" spans="2:29">
      <c r="B464" s="337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</row>
    <row r="465" spans="2:29">
      <c r="B465" s="337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</row>
    <row r="466" spans="2:29">
      <c r="B466" s="337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</row>
    <row r="467" spans="2:29">
      <c r="B467" s="337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</row>
    <row r="468" spans="2:29">
      <c r="B468" s="337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</row>
    <row r="469" spans="2:29">
      <c r="B469" s="337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</row>
    <row r="470" spans="2:29">
      <c r="B470" s="337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</row>
    <row r="471" spans="2:29">
      <c r="B471" s="337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</row>
    <row r="472" spans="2:29">
      <c r="B472" s="337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</row>
    <row r="473" spans="2:29">
      <c r="B473" s="337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</row>
    <row r="474" spans="2:29">
      <c r="B474" s="337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</row>
    <row r="475" spans="2:29">
      <c r="B475" s="337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</row>
    <row r="476" spans="2:29">
      <c r="B476" s="337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</row>
    <row r="477" spans="2:29">
      <c r="B477" s="337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</row>
    <row r="478" spans="2:29">
      <c r="B478" s="337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</row>
    <row r="479" spans="2:29">
      <c r="B479" s="337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</row>
    <row r="480" spans="2:29">
      <c r="B480" s="337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</row>
    <row r="481" spans="2:29">
      <c r="B481" s="337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</row>
    <row r="482" spans="2:29">
      <c r="B482" s="337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</row>
    <row r="483" spans="2:29">
      <c r="B483" s="337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</row>
    <row r="484" spans="2:29">
      <c r="B484" s="337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</row>
    <row r="485" spans="2:29">
      <c r="B485" s="337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</row>
    <row r="486" spans="2:29">
      <c r="B486" s="337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</row>
    <row r="487" spans="2:29">
      <c r="B487" s="337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</row>
    <row r="488" spans="2:29">
      <c r="B488" s="337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</row>
    <row r="489" spans="2:29">
      <c r="B489" s="337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</row>
    <row r="490" spans="2:29">
      <c r="B490" s="337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</row>
    <row r="491" spans="2:29">
      <c r="B491" s="337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</row>
    <row r="492" spans="2:29">
      <c r="B492" s="337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</row>
    <row r="493" spans="2:29">
      <c r="B493" s="337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</row>
    <row r="494" spans="2:29">
      <c r="B494" s="337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</row>
    <row r="495" spans="2:29">
      <c r="B495" s="337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</row>
    <row r="496" spans="2:29">
      <c r="B496" s="337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</row>
    <row r="497" spans="2:29">
      <c r="B497" s="337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</row>
    <row r="498" spans="2:29">
      <c r="B498" s="337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</row>
    <row r="499" spans="2:29">
      <c r="B499" s="337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</row>
    <row r="500" spans="2:29">
      <c r="B500" s="337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</row>
    <row r="501" spans="2:29">
      <c r="B501" s="337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</row>
    <row r="502" spans="2:29">
      <c r="B502" s="337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</row>
    <row r="503" spans="2:29">
      <c r="B503" s="337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</row>
    <row r="504" spans="2:29">
      <c r="B504" s="337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</row>
    <row r="505" spans="2:29">
      <c r="B505" s="337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</row>
    <row r="506" spans="2:29">
      <c r="B506" s="337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</row>
    <row r="507" spans="2:29">
      <c r="B507" s="337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</row>
    <row r="508" spans="2:29">
      <c r="B508" s="337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</row>
    <row r="509" spans="2:29">
      <c r="B509" s="337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</row>
    <row r="510" spans="2:29">
      <c r="B510" s="337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</row>
    <row r="511" spans="2:29">
      <c r="B511" s="337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</row>
    <row r="512" spans="2:29">
      <c r="B512" s="337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</row>
    <row r="513" spans="2:29">
      <c r="B513" s="337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</row>
    <row r="514" spans="2:29">
      <c r="B514" s="337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</row>
    <row r="515" spans="2:29">
      <c r="B515" s="337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</row>
    <row r="516" spans="2:29">
      <c r="B516" s="337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</row>
    <row r="517" spans="2:29">
      <c r="B517" s="337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</row>
    <row r="518" spans="2:29">
      <c r="B518" s="337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</row>
    <row r="519" spans="2:29">
      <c r="B519" s="337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</row>
    <row r="520" spans="2:29">
      <c r="B520" s="337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</row>
    <row r="521" spans="2:29">
      <c r="B521" s="337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</row>
    <row r="522" spans="2:29">
      <c r="B522" s="337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</row>
    <row r="523" spans="2:29">
      <c r="B523" s="337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</row>
    <row r="524" spans="2:29">
      <c r="B524" s="337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</row>
    <row r="525" spans="2:29">
      <c r="B525" s="337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</row>
    <row r="526" spans="2:29">
      <c r="B526" s="337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</row>
    <row r="527" spans="2:29">
      <c r="B527" s="337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</row>
    <row r="528" spans="2:29">
      <c r="B528" s="337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</row>
    <row r="529" spans="2:29">
      <c r="B529" s="337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</row>
    <row r="530" spans="2:29">
      <c r="B530" s="337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</row>
    <row r="531" spans="2:29">
      <c r="B531" s="337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</row>
    <row r="532" spans="2:29">
      <c r="B532" s="337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</row>
    <row r="533" spans="2:29">
      <c r="B533" s="337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</row>
    <row r="534" spans="2:29">
      <c r="B534" s="337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</row>
    <row r="535" spans="2:29">
      <c r="B535" s="337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</row>
    <row r="536" spans="2:29">
      <c r="B536" s="337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</row>
    <row r="537" spans="2:29">
      <c r="B537" s="337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</row>
    <row r="538" spans="2:29">
      <c r="B538" s="337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</row>
    <row r="539" spans="2:29">
      <c r="B539" s="337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</row>
    <row r="540" spans="2:29">
      <c r="B540" s="337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</row>
    <row r="541" spans="2:29">
      <c r="B541" s="337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</row>
    <row r="542" spans="2:29">
      <c r="B542" s="337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</row>
    <row r="543" spans="2:29">
      <c r="B543" s="337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</row>
    <row r="544" spans="2:29">
      <c r="B544" s="337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</row>
    <row r="545" spans="2:29">
      <c r="B545" s="337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</row>
    <row r="546" spans="2:29">
      <c r="B546" s="337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</row>
    <row r="547" spans="2:29">
      <c r="B547" s="337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</row>
    <row r="548" spans="2:29">
      <c r="B548" s="337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</row>
    <row r="549" spans="2:29">
      <c r="B549" s="337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</row>
    <row r="550" spans="2:29">
      <c r="B550" s="337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</row>
    <row r="551" spans="2:29">
      <c r="B551" s="337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</row>
    <row r="552" spans="2:29">
      <c r="B552" s="337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</row>
    <row r="553" spans="2:29">
      <c r="B553" s="337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</row>
    <row r="554" spans="2:29">
      <c r="B554" s="337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</row>
    <row r="555" spans="2:29">
      <c r="B555" s="337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</row>
    <row r="556" spans="2:29">
      <c r="B556" s="337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</row>
    <row r="557" spans="2:29">
      <c r="B557" s="337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</row>
    <row r="558" spans="2:29">
      <c r="B558" s="337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</row>
    <row r="559" spans="2:29">
      <c r="B559" s="337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</row>
    <row r="560" spans="2:29">
      <c r="B560" s="337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</row>
    <row r="561" spans="2:29">
      <c r="B561" s="337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</row>
    <row r="562" spans="2:29">
      <c r="B562" s="337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</row>
    <row r="563" spans="2:29">
      <c r="B563" s="337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</row>
    <row r="564" spans="2:29">
      <c r="B564" s="337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</row>
    <row r="565" spans="2:29">
      <c r="B565" s="337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</row>
    <row r="566" spans="2:29">
      <c r="B566" s="337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</row>
    <row r="567" spans="2:29">
      <c r="B567" s="337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</row>
    <row r="568" spans="2:29">
      <c r="B568" s="337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</row>
    <row r="569" spans="2:29">
      <c r="B569" s="337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</row>
    <row r="570" spans="2:29">
      <c r="B570" s="337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</row>
    <row r="571" spans="2:29">
      <c r="B571" s="337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</row>
    <row r="572" spans="2:29">
      <c r="B572" s="337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</row>
    <row r="573" spans="2:29">
      <c r="B573" s="337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</row>
    <row r="574" spans="2:29">
      <c r="B574" s="337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</row>
    <row r="575" spans="2:29">
      <c r="B575" s="337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</row>
    <row r="576" spans="2:29">
      <c r="B576" s="337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</row>
    <row r="577" spans="2:29">
      <c r="B577" s="337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</row>
    <row r="578" spans="2:29">
      <c r="B578" s="337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</row>
    <row r="579" spans="2:29">
      <c r="B579" s="337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</row>
    <row r="580" spans="2:29">
      <c r="B580" s="337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</row>
    <row r="581" spans="2:29">
      <c r="B581" s="337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</row>
    <row r="582" spans="2:29">
      <c r="B582" s="337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</row>
    <row r="583" spans="2:29">
      <c r="B583" s="337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</row>
    <row r="584" spans="2:29">
      <c r="B584" s="337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</row>
    <row r="585" spans="2:29">
      <c r="B585" s="337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</row>
    <row r="586" spans="2:29">
      <c r="B586" s="337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</row>
    <row r="587" spans="2:29">
      <c r="B587" s="337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</row>
    <row r="588" spans="2:29">
      <c r="B588" s="337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</row>
    <row r="589" spans="2:29">
      <c r="B589" s="337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</row>
    <row r="590" spans="2:29">
      <c r="B590" s="337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</row>
    <row r="591" spans="2:29">
      <c r="B591" s="337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</row>
    <row r="592" spans="2:29">
      <c r="B592" s="337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</row>
    <row r="593" spans="2:29">
      <c r="B593" s="337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</row>
    <row r="594" spans="2:29">
      <c r="B594" s="337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</row>
    <row r="595" spans="2:29">
      <c r="B595" s="337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</row>
    <row r="596" spans="2:29">
      <c r="B596" s="337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</row>
    <row r="597" spans="2:29">
      <c r="B597" s="337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</row>
    <row r="598" spans="2:29">
      <c r="B598" s="337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</row>
    <row r="599" spans="2:29">
      <c r="B599" s="337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</row>
    <row r="600" spans="2:29">
      <c r="B600" s="337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</row>
    <row r="601" spans="2:29">
      <c r="B601" s="337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</row>
    <row r="602" spans="2:29">
      <c r="B602" s="337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</row>
    <row r="603" spans="2:29">
      <c r="B603" s="337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</row>
    <row r="604" spans="2:29">
      <c r="B604" s="337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</row>
    <row r="605" spans="2:29">
      <c r="B605" s="337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</row>
    <row r="606" spans="2:29">
      <c r="B606" s="337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</row>
    <row r="607" spans="2:29">
      <c r="B607" s="337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</row>
    <row r="608" spans="2:29">
      <c r="B608" s="337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</row>
    <row r="609" spans="2:29">
      <c r="B609" s="337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</row>
    <row r="610" spans="2:29">
      <c r="B610" s="337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</row>
    <row r="611" spans="2:29">
      <c r="B611" s="337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</row>
    <row r="612" spans="2:29">
      <c r="B612" s="337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</row>
    <row r="613" spans="2:29">
      <c r="B613" s="337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</row>
    <row r="614" spans="2:29">
      <c r="B614" s="337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</row>
    <row r="615" spans="2:29">
      <c r="B615" s="337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</row>
    <row r="616" spans="2:29">
      <c r="B616" s="337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</row>
    <row r="617" spans="2:29">
      <c r="B617" s="337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</row>
    <row r="618" spans="2:29">
      <c r="B618" s="337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</row>
    <row r="619" spans="2:29">
      <c r="B619" s="337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</row>
    <row r="620" spans="2:29">
      <c r="B620" s="337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</row>
    <row r="621" spans="2:29">
      <c r="B621" s="337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</row>
    <row r="622" spans="2:29">
      <c r="B622" s="337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</row>
    <row r="623" spans="2:29">
      <c r="B623" s="337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</row>
    <row r="624" spans="2:29">
      <c r="B624" s="337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</row>
    <row r="625" spans="2:29">
      <c r="B625" s="337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</row>
    <row r="626" spans="2:29">
      <c r="B626" s="337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</row>
    <row r="627" spans="2:29">
      <c r="B627" s="337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</row>
    <row r="628" spans="2:29">
      <c r="B628" s="337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</row>
    <row r="629" spans="2:29">
      <c r="B629" s="337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</row>
    <row r="630" spans="2:29">
      <c r="B630" s="337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</row>
    <row r="631" spans="2:29">
      <c r="B631" s="337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</row>
    <row r="632" spans="2:29">
      <c r="B632" s="337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</row>
    <row r="633" spans="2:29">
      <c r="B633" s="337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</row>
    <row r="634" spans="2:29">
      <c r="B634" s="337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</row>
    <row r="635" spans="2:29">
      <c r="B635" s="337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</row>
    <row r="636" spans="2:29">
      <c r="B636" s="337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</row>
    <row r="637" spans="2:29">
      <c r="B637" s="337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</row>
    <row r="638" spans="2:29">
      <c r="B638" s="337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</row>
    <row r="639" spans="2:29">
      <c r="B639" s="337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</row>
    <row r="640" spans="2:29">
      <c r="B640" s="337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</row>
    <row r="641" spans="2:29">
      <c r="B641" s="337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</row>
    <row r="642" spans="2:29">
      <c r="B642" s="337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</row>
    <row r="643" spans="2:29">
      <c r="B643" s="337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</row>
    <row r="644" spans="2:29">
      <c r="B644" s="337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</row>
    <row r="645" spans="2:29">
      <c r="B645" s="337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</row>
    <row r="646" spans="2:29">
      <c r="B646" s="337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</row>
    <row r="647" spans="2:29">
      <c r="B647" s="337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</row>
    <row r="648" spans="2:29">
      <c r="B648" s="337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</row>
    <row r="649" spans="2:29">
      <c r="B649" s="337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</row>
    <row r="650" spans="2:29">
      <c r="B650" s="337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</row>
    <row r="651" spans="2:29">
      <c r="B651" s="337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</row>
    <row r="652" spans="2:29">
      <c r="B652" s="337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</row>
    <row r="653" spans="2:29">
      <c r="B653" s="337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</row>
    <row r="654" spans="2:29">
      <c r="B654" s="337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</row>
    <row r="655" spans="2:29">
      <c r="B655" s="337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</row>
    <row r="656" spans="2:29">
      <c r="B656" s="337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</row>
    <row r="657" spans="2:29">
      <c r="B657" s="337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</row>
    <row r="658" spans="2:29">
      <c r="B658" s="337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</row>
    <row r="659" spans="2:29">
      <c r="B659" s="337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</row>
    <row r="660" spans="2:29">
      <c r="B660" s="337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</row>
    <row r="661" spans="2:29">
      <c r="B661" s="337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</row>
    <row r="662" spans="2:29">
      <c r="B662" s="337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</row>
    <row r="663" spans="2:29">
      <c r="B663" s="337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</row>
    <row r="664" spans="2:29">
      <c r="B664" s="337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</row>
    <row r="665" spans="2:29">
      <c r="B665" s="337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</row>
    <row r="666" spans="2:29">
      <c r="B666" s="337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</row>
    <row r="667" spans="2:29">
      <c r="B667" s="337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</row>
    <row r="668" spans="2:29">
      <c r="B668" s="337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</row>
    <row r="669" spans="2:29">
      <c r="B669" s="337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</row>
    <row r="670" spans="2:29">
      <c r="B670" s="337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</row>
    <row r="671" spans="2:29">
      <c r="B671" s="337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</row>
    <row r="672" spans="2:29">
      <c r="B672" s="337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</row>
    <row r="673" spans="2:29">
      <c r="B673" s="337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</row>
    <row r="674" spans="2:29">
      <c r="B674" s="337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</row>
    <row r="675" spans="2:29">
      <c r="B675" s="337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</row>
    <row r="676" spans="2:29">
      <c r="B676" s="337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</row>
    <row r="677" spans="2:29">
      <c r="B677" s="337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</row>
    <row r="678" spans="2:29">
      <c r="B678" s="337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</row>
    <row r="679" spans="2:29">
      <c r="B679" s="337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</row>
    <row r="680" spans="2:29">
      <c r="B680" s="337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</row>
    <row r="681" spans="2:29">
      <c r="B681" s="337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</row>
    <row r="682" spans="2:29">
      <c r="B682" s="337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</row>
    <row r="683" spans="2:29">
      <c r="B683" s="337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</row>
    <row r="684" spans="2:29">
      <c r="B684" s="337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</row>
    <row r="685" spans="2:29">
      <c r="B685" s="337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</row>
    <row r="686" spans="2:29">
      <c r="B686" s="337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</row>
    <row r="687" spans="2:29">
      <c r="B687" s="337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</row>
    <row r="688" spans="2:29">
      <c r="B688" s="337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</row>
    <row r="689" spans="2:29">
      <c r="B689" s="337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</row>
    <row r="690" spans="2:29">
      <c r="B690" s="337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</row>
    <row r="691" spans="2:29">
      <c r="B691" s="337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</row>
    <row r="692" spans="2:29">
      <c r="B692" s="337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</row>
    <row r="693" spans="2:29">
      <c r="B693" s="337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</row>
    <row r="694" spans="2:29">
      <c r="B694" s="337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</row>
    <row r="695" spans="2:29">
      <c r="B695" s="337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</row>
    <row r="696" spans="2:29">
      <c r="B696" s="337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</row>
    <row r="697" spans="2:29">
      <c r="B697" s="337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</row>
    <row r="698" spans="2:29">
      <c r="B698" s="337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</row>
    <row r="699" spans="2:29">
      <c r="B699" s="337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</row>
    <row r="700" spans="2:29">
      <c r="B700" s="337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</row>
    <row r="701" spans="2:29">
      <c r="B701" s="337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</row>
    <row r="702" spans="2:29">
      <c r="B702" s="337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</row>
    <row r="703" spans="2:29">
      <c r="B703" s="337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</row>
    <row r="704" spans="2:29">
      <c r="B704" s="337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</row>
    <row r="705" spans="2:29">
      <c r="B705" s="337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</row>
    <row r="706" spans="2:29">
      <c r="B706" s="337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</row>
    <row r="707" spans="2:29">
      <c r="B707" s="337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</row>
    <row r="708" spans="2:29">
      <c r="B708" s="337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</row>
    <row r="709" spans="2:29">
      <c r="B709" s="337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</row>
    <row r="710" spans="2:29">
      <c r="B710" s="337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</row>
    <row r="711" spans="2:29">
      <c r="B711" s="337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</row>
    <row r="712" spans="2:29">
      <c r="B712" s="337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</row>
    <row r="713" spans="2:29">
      <c r="B713" s="337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</row>
    <row r="714" spans="2:29">
      <c r="B714" s="337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</row>
    <row r="715" spans="2:29">
      <c r="B715" s="337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</row>
    <row r="716" spans="2:29">
      <c r="B716" s="337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</row>
    <row r="717" spans="2:29">
      <c r="B717" s="337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</row>
    <row r="718" spans="2:29">
      <c r="B718" s="337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</row>
    <row r="719" spans="2:29">
      <c r="B719" s="337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</row>
    <row r="720" spans="2:29">
      <c r="B720" s="337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</row>
    <row r="721" spans="2:29">
      <c r="B721" s="337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</row>
    <row r="722" spans="2:29">
      <c r="B722" s="337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</row>
    <row r="723" spans="2:29">
      <c r="B723" s="337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</row>
    <row r="724" spans="2:29">
      <c r="B724" s="337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</row>
    <row r="725" spans="2:29">
      <c r="B725" s="337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</row>
    <row r="726" spans="2:29">
      <c r="B726" s="337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</row>
    <row r="727" spans="2:29">
      <c r="B727" s="337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</row>
    <row r="728" spans="2:29">
      <c r="B728" s="337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</row>
    <row r="729" spans="2:29">
      <c r="B729" s="337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</row>
    <row r="730" spans="2:29">
      <c r="B730" s="337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</row>
    <row r="731" spans="2:29">
      <c r="B731" s="337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</row>
    <row r="732" spans="2:29">
      <c r="B732" s="337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</row>
    <row r="733" spans="2:29">
      <c r="B733" s="337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</row>
    <row r="734" spans="2:29">
      <c r="B734" s="337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</row>
    <row r="735" spans="2:29">
      <c r="B735" s="337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</row>
    <row r="736" spans="2:29">
      <c r="B736" s="337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</row>
    <row r="737" spans="2:29">
      <c r="B737" s="337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</row>
    <row r="738" spans="2:29">
      <c r="B738" s="337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</row>
    <row r="739" spans="2:29">
      <c r="B739" s="337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</row>
    <row r="740" spans="2:29">
      <c r="B740" s="337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</row>
    <row r="741" spans="2:29">
      <c r="B741" s="337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</row>
    <row r="742" spans="2:29">
      <c r="B742" s="337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</row>
    <row r="743" spans="2:29">
      <c r="B743" s="337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</row>
    <row r="744" spans="2:29">
      <c r="B744" s="337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</row>
    <row r="745" spans="2:29">
      <c r="B745" s="337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</row>
    <row r="746" spans="2:29">
      <c r="B746" s="337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</row>
    <row r="747" spans="2:29">
      <c r="B747" s="337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</row>
    <row r="748" spans="2:29">
      <c r="B748" s="337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</row>
    <row r="749" spans="2:29">
      <c r="B749" s="337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</row>
    <row r="750" spans="2:29">
      <c r="B750" s="337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</row>
    <row r="751" spans="2:29">
      <c r="B751" s="337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</row>
    <row r="752" spans="2:29">
      <c r="B752" s="337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</row>
    <row r="753" spans="2:29">
      <c r="B753" s="337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</row>
    <row r="754" spans="2:29">
      <c r="B754" s="337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</row>
    <row r="755" spans="2:29">
      <c r="B755" s="337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</row>
    <row r="756" spans="2:29">
      <c r="B756" s="337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</row>
    <row r="757" spans="2:29">
      <c r="B757" s="337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</row>
    <row r="758" spans="2:29">
      <c r="B758" s="337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</row>
    <row r="759" spans="2:29">
      <c r="B759" s="337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</row>
    <row r="760" spans="2:29">
      <c r="B760" s="337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</row>
    <row r="761" spans="2:29">
      <c r="B761" s="337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</row>
    <row r="762" spans="2:29">
      <c r="B762" s="337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</row>
    <row r="763" spans="2:29">
      <c r="B763" s="337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</row>
    <row r="764" spans="2:29">
      <c r="B764" s="337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</row>
    <row r="765" spans="2:29">
      <c r="B765" s="337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</row>
    <row r="766" spans="2:29">
      <c r="B766" s="337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</row>
    <row r="767" spans="2:29">
      <c r="B767" s="337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</row>
    <row r="768" spans="2:29">
      <c r="B768" s="337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</row>
    <row r="769" spans="2:29">
      <c r="B769" s="337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</row>
    <row r="770" spans="2:29">
      <c r="B770" s="337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</row>
    <row r="771" spans="2:29">
      <c r="B771" s="337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</row>
    <row r="772" spans="2:29">
      <c r="B772" s="337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</row>
    <row r="773" spans="2:29">
      <c r="B773" s="337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</row>
    <row r="774" spans="2:29">
      <c r="B774" s="337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</row>
    <row r="775" spans="2:29">
      <c r="B775" s="337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</row>
    <row r="776" spans="2:29">
      <c r="B776" s="337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</row>
    <row r="777" spans="2:29">
      <c r="B777" s="337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</row>
    <row r="778" spans="2:29">
      <c r="B778" s="337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</row>
    <row r="779" spans="2:29">
      <c r="B779" s="337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</row>
    <row r="780" spans="2:29">
      <c r="B780" s="337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</row>
    <row r="781" spans="2:29">
      <c r="B781" s="337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</row>
    <row r="782" spans="2:29">
      <c r="B782" s="337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</row>
    <row r="783" spans="2:29">
      <c r="B783" s="337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</row>
    <row r="784" spans="2:29">
      <c r="B784" s="337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</row>
    <row r="785" spans="2:29">
      <c r="B785" s="337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</row>
    <row r="786" spans="2:29">
      <c r="B786" s="337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</row>
    <row r="787" spans="2:29">
      <c r="B787" s="337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</row>
    <row r="788" spans="2:29">
      <c r="B788" s="337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</row>
    <row r="789" spans="2:29">
      <c r="B789" s="337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</row>
    <row r="790" spans="2:29">
      <c r="B790" s="337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</row>
    <row r="791" spans="2:29">
      <c r="B791" s="337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</row>
    <row r="792" spans="2:29">
      <c r="B792" s="337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</row>
    <row r="793" spans="2:29">
      <c r="B793" s="337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</row>
    <row r="794" spans="2:29">
      <c r="B794" s="337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</row>
    <row r="795" spans="2:29">
      <c r="B795" s="337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</row>
    <row r="796" spans="2:29">
      <c r="B796" s="337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</row>
    <row r="797" spans="2:29">
      <c r="B797" s="337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</row>
    <row r="798" spans="2:29">
      <c r="B798" s="337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</row>
    <row r="799" spans="2:29">
      <c r="B799" s="337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</row>
    <row r="800" spans="2:29">
      <c r="B800" s="337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</row>
    <row r="801" spans="2:29">
      <c r="B801" s="337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</row>
    <row r="802" spans="2:29">
      <c r="B802" s="337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</row>
    <row r="803" spans="2:29">
      <c r="B803" s="337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</row>
    <row r="804" spans="2:29">
      <c r="B804" s="337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</row>
    <row r="805" spans="2:29">
      <c r="B805" s="337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</row>
    <row r="806" spans="2:29">
      <c r="B806" s="337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</row>
    <row r="807" spans="2:29">
      <c r="B807" s="337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  <c r="AC807" s="113"/>
    </row>
    <row r="808" spans="2:29">
      <c r="B808" s="337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</row>
    <row r="809" spans="2:29">
      <c r="B809" s="337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</row>
    <row r="810" spans="2:29">
      <c r="B810" s="337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</row>
    <row r="811" spans="2:29">
      <c r="B811" s="337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</row>
    <row r="812" spans="2:29">
      <c r="B812" s="337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</row>
    <row r="813" spans="2:29">
      <c r="B813" s="337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</row>
    <row r="814" spans="2:29">
      <c r="B814" s="337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</row>
    <row r="815" spans="2:29">
      <c r="B815" s="337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</row>
    <row r="816" spans="2:29">
      <c r="B816" s="337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</row>
    <row r="817" spans="2:29">
      <c r="B817" s="337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</row>
    <row r="818" spans="2:29">
      <c r="B818" s="337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</row>
    <row r="819" spans="2:29">
      <c r="B819" s="337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</row>
    <row r="820" spans="2:29">
      <c r="B820" s="337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</row>
    <row r="821" spans="2:29">
      <c r="B821" s="337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</row>
    <row r="822" spans="2:29">
      <c r="B822" s="337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</row>
    <row r="823" spans="2:29">
      <c r="B823" s="337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</row>
    <row r="824" spans="2:29">
      <c r="B824" s="337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</row>
    <row r="825" spans="2:29">
      <c r="B825" s="337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</row>
    <row r="826" spans="2:29">
      <c r="B826" s="337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</row>
    <row r="827" spans="2:29">
      <c r="B827" s="337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  <c r="AC827" s="113"/>
    </row>
    <row r="828" spans="2:29">
      <c r="B828" s="337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</row>
    <row r="829" spans="2:29">
      <c r="B829" s="337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  <c r="AC829" s="113"/>
    </row>
    <row r="830" spans="2:29">
      <c r="B830" s="337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</row>
    <row r="831" spans="2:29">
      <c r="B831" s="337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</row>
    <row r="832" spans="2:29">
      <c r="B832" s="337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  <c r="AC832" s="113"/>
    </row>
    <row r="833" spans="2:29">
      <c r="B833" s="337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</row>
    <row r="834" spans="2:29">
      <c r="B834" s="337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</row>
    <row r="835" spans="2:29">
      <c r="B835" s="337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</row>
    <row r="836" spans="2:29">
      <c r="B836" s="337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  <c r="AC836" s="113"/>
    </row>
    <row r="837" spans="2:29">
      <c r="B837" s="337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  <rowBreaks count="1" manualBreakCount="1">
    <brk id="59" max="14" man="1"/>
  </row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123"/>
  <sheetViews>
    <sheetView view="pageBreakPreview" zoomScale="75" zoomScaleNormal="75" workbookViewId="0">
      <selection activeCell="A10" sqref="A10"/>
    </sheetView>
  </sheetViews>
  <sheetFormatPr defaultColWidth="8.85546875" defaultRowHeight="12.75"/>
  <cols>
    <col min="1" max="1" width="48.7109375" style="9" customWidth="1"/>
    <col min="2" max="2" width="12.140625" style="9" bestFit="1" customWidth="1"/>
    <col min="3" max="3" width="9.28515625" style="9" bestFit="1" customWidth="1"/>
    <col min="4" max="4" width="9.7109375" style="9" customWidth="1"/>
    <col min="5" max="6" width="9.28515625" style="9" bestFit="1" customWidth="1"/>
    <col min="7" max="7" width="9.85546875" style="9" customWidth="1"/>
    <col min="8" max="9" width="9.28515625" style="9" bestFit="1" customWidth="1"/>
    <col min="10" max="10" width="9.7109375" style="9" customWidth="1"/>
    <col min="11" max="13" width="9.28515625" style="9" bestFit="1" customWidth="1"/>
    <col min="14" max="16384" width="8.85546875" style="9"/>
  </cols>
  <sheetData>
    <row r="1" spans="1:14">
      <c r="A1" s="68" t="s">
        <v>502</v>
      </c>
    </row>
    <row r="2" spans="1:14" ht="20.25">
      <c r="A2" s="220" t="s">
        <v>32</v>
      </c>
    </row>
    <row r="4" spans="1:14" ht="23.45" customHeight="1">
      <c r="B4" s="87" t="s">
        <v>50</v>
      </c>
      <c r="C4" s="87" t="s">
        <v>51</v>
      </c>
      <c r="D4" s="87" t="s">
        <v>52</v>
      </c>
      <c r="E4" s="87" t="s">
        <v>53</v>
      </c>
      <c r="F4" s="87" t="s">
        <v>54</v>
      </c>
      <c r="G4" s="87" t="s">
        <v>55</v>
      </c>
      <c r="H4" s="87" t="s">
        <v>56</v>
      </c>
      <c r="I4" s="87" t="s">
        <v>57</v>
      </c>
      <c r="J4" s="87" t="s">
        <v>58</v>
      </c>
      <c r="K4" s="87" t="s">
        <v>59</v>
      </c>
      <c r="L4" s="87" t="s">
        <v>60</v>
      </c>
      <c r="M4" s="87" t="s">
        <v>61</v>
      </c>
    </row>
    <row r="5" spans="1:14" ht="23.45" customHeight="1"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</row>
    <row r="6" spans="1:14">
      <c r="A6" s="68" t="s">
        <v>725</v>
      </c>
    </row>
    <row r="7" spans="1:14">
      <c r="A7" s="9" t="s">
        <v>726</v>
      </c>
      <c r="B7" s="318">
        <f>'P&amp;LPLN'!C209/1000</f>
        <v>-3018.3888492423725</v>
      </c>
      <c r="C7" s="318">
        <f>'P&amp;LPLN'!D209/1000</f>
        <v>-2491.5087931961907</v>
      </c>
      <c r="D7" s="318">
        <f>'P&amp;LPLN'!E209/1000</f>
        <v>-2926.413045424003</v>
      </c>
      <c r="E7" s="318">
        <f>'P&amp;LPLN'!F209/1000</f>
        <v>-2876.4310152264534</v>
      </c>
      <c r="F7" s="318">
        <f>'P&amp;LPLN'!G209/1000</f>
        <v>-3699.2116778971754</v>
      </c>
      <c r="G7" s="318">
        <f>'P&amp;LPLN'!H209/1000</f>
        <v>-3448.9085138473311</v>
      </c>
      <c r="H7" s="318">
        <f>'P&amp;LPLN'!I209/1000</f>
        <v>-1003.318024556675</v>
      </c>
      <c r="I7" s="318">
        <f>'P&amp;LPLN'!J209/1000</f>
        <v>-998.92052658334285</v>
      </c>
      <c r="J7" s="318">
        <f>'P&amp;LPLN'!K209/1000</f>
        <v>-903.5511512206341</v>
      </c>
      <c r="K7" s="318">
        <f>'P&amp;LPLN'!L209/1000</f>
        <v>-1321.1248293126562</v>
      </c>
      <c r="L7" s="318">
        <f>'P&amp;LPLN'!M209/1000</f>
        <v>-1003.9291709501255</v>
      </c>
      <c r="M7" s="318">
        <f>'P&amp;LPLN'!N209/1000</f>
        <v>-859.0532516851639</v>
      </c>
      <c r="N7" s="318"/>
    </row>
    <row r="8" spans="1:14">
      <c r="A8" s="9" t="s">
        <v>727</v>
      </c>
      <c r="B8" s="318">
        <f>Balance!D95-Balance!C95</f>
        <v>-685.0477836740356</v>
      </c>
      <c r="C8" s="318">
        <f>Balance!E95-Balance!D95</f>
        <v>-685.04778367397557</v>
      </c>
      <c r="D8" s="318">
        <f>Balance!F95-Balance!E95</f>
        <v>-685.04778367397557</v>
      </c>
      <c r="E8" s="318">
        <f>Balance!G95-Balance!F95</f>
        <v>-685.04778367397557</v>
      </c>
      <c r="F8" s="318">
        <f>Balance!H95-Balance!G95</f>
        <v>-685.0477836740356</v>
      </c>
      <c r="G8" s="318">
        <f>Balance!I95-Balance!H95</f>
        <v>-685.04778367398558</v>
      </c>
      <c r="H8" s="318">
        <f>Balance!J95-Balance!I95</f>
        <v>-670.2564452949573</v>
      </c>
      <c r="I8" s="318">
        <f>Balance!K95-Balance!J95</f>
        <v>-670.25644529495366</v>
      </c>
      <c r="J8" s="318">
        <f>Balance!L95-Balance!K95</f>
        <v>-4549.2004073661055</v>
      </c>
      <c r="K8" s="318">
        <f>Balance!M95-Balance!L95</f>
        <v>0</v>
      </c>
      <c r="L8" s="318">
        <f>Balance!N95-Balance!M95</f>
        <v>0</v>
      </c>
      <c r="M8" s="318">
        <f>Balance!O95-Balance!N95</f>
        <v>0</v>
      </c>
      <c r="N8" s="318"/>
    </row>
    <row r="9" spans="1:14">
      <c r="A9" s="9" t="s">
        <v>117</v>
      </c>
      <c r="B9" s="318">
        <f>'P&amp;LPLN'!C35/1000</f>
        <v>2939.6409700000008</v>
      </c>
      <c r="C9" s="318">
        <f>'P&amp;LPLN'!D35/1000</f>
        <v>2940.3440774916671</v>
      </c>
      <c r="D9" s="318">
        <f>'P&amp;LPLN'!E35/1000</f>
        <v>2940.3440774916671</v>
      </c>
      <c r="E9" s="318">
        <f>'P&amp;LPLN'!F35/1000</f>
        <v>2940.5238521940478</v>
      </c>
      <c r="F9" s="318">
        <f>'P&amp;LPLN'!G35/1000</f>
        <v>2940.5238521940478</v>
      </c>
      <c r="G9" s="318">
        <f>'P&amp;LPLN'!H35/1000</f>
        <v>2940.5238521940478</v>
      </c>
      <c r="H9" s="318">
        <f>'P&amp;LPLN'!I35/1000</f>
        <v>2940.8356575511903</v>
      </c>
      <c r="I9" s="318">
        <f>'P&amp;LPLN'!J35/1000</f>
        <v>2940.8356575511903</v>
      </c>
      <c r="J9" s="318">
        <f>'P&amp;LPLN'!K35/1000</f>
        <v>2940.8356575511903</v>
      </c>
      <c r="K9" s="318">
        <f>'P&amp;LPLN'!L35/1000</f>
        <v>2940.8356575511903</v>
      </c>
      <c r="L9" s="318">
        <f>'P&amp;LPLN'!M35/1000</f>
        <v>2940.8356575511903</v>
      </c>
      <c r="M9" s="318">
        <f>'P&amp;LPLN'!N35/1000</f>
        <v>2940.8356575511903</v>
      </c>
      <c r="N9" s="318"/>
    </row>
    <row r="10" spans="1:14">
      <c r="A10" s="9" t="s">
        <v>728</v>
      </c>
      <c r="B10" s="318">
        <f>Balance!D75-Balance!C75</f>
        <v>2288.0108759157556</v>
      </c>
      <c r="C10" s="318">
        <f>Balance!E75-Balance!D75</f>
        <v>2424.5079007573004</v>
      </c>
      <c r="D10" s="318">
        <f>Balance!F75-Balance!E75</f>
        <v>-12055.218776673057</v>
      </c>
      <c r="E10" s="318">
        <f>Balance!G75-Balance!F75</f>
        <v>2362.2750988856751</v>
      </c>
      <c r="F10" s="318">
        <f>Balance!H75-Balance!G75</f>
        <v>2368.8526349605345</v>
      </c>
      <c r="G10" s="318">
        <f>Balance!I75-Balance!H75</f>
        <v>2375.4301710353975</v>
      </c>
      <c r="H10" s="318">
        <f>Balance!J75-Balance!I75</f>
        <v>2382.0077071102569</v>
      </c>
      <c r="I10" s="318">
        <f>Balance!K75-Balance!J75</f>
        <v>2388.5852431851235</v>
      </c>
      <c r="J10" s="318">
        <f>Balance!L75-Balance!K75</f>
        <v>-11877.150855176988</v>
      </c>
      <c r="K10" s="318">
        <f>Balance!M75-Balance!L75</f>
        <v>2323.7924416913011</v>
      </c>
      <c r="L10" s="318">
        <f>Balance!N75-Balance!M75</f>
        <v>2330.2092255539574</v>
      </c>
      <c r="M10" s="318">
        <f>Balance!O75-Balance!N75</f>
        <v>2336.6260094166173</v>
      </c>
      <c r="N10" s="318"/>
    </row>
    <row r="11" spans="1:14">
      <c r="A11" s="9" t="s">
        <v>729</v>
      </c>
      <c r="B11" s="318">
        <f>Balance!C35-Balance!D35</f>
        <v>88</v>
      </c>
      <c r="C11" s="318">
        <f>Balance!D35-Balance!E35</f>
        <v>200</v>
      </c>
      <c r="D11" s="318">
        <f>Balance!E35-Balance!F35</f>
        <v>-3414</v>
      </c>
      <c r="E11" s="318">
        <f>Balance!F35-Balance!G35</f>
        <v>200</v>
      </c>
      <c r="F11" s="318">
        <f>Balance!G35-Balance!H35</f>
        <v>200</v>
      </c>
      <c r="G11" s="318">
        <f>Balance!H35-Balance!I35</f>
        <v>200</v>
      </c>
      <c r="H11" s="318">
        <f>Balance!I35-Balance!J35</f>
        <v>200</v>
      </c>
      <c r="I11" s="318">
        <f>Balance!J35-Balance!K35</f>
        <v>200</v>
      </c>
      <c r="J11" s="318">
        <f>Balance!K35-Balance!L35</f>
        <v>200</v>
      </c>
      <c r="K11" s="318">
        <f>Balance!L35-Balance!M35</f>
        <v>200</v>
      </c>
      <c r="L11" s="318">
        <f>Balance!M35-Balance!N35</f>
        <v>200</v>
      </c>
      <c r="M11" s="318">
        <f>Balance!N35-Balance!O35</f>
        <v>200</v>
      </c>
      <c r="N11" s="318"/>
    </row>
    <row r="12" spans="1:14">
      <c r="A12" s="9" t="s">
        <v>730</v>
      </c>
      <c r="B12" s="318">
        <f>Balance!C43-Balance!D43</f>
        <v>-517.38801933638752</v>
      </c>
      <c r="C12" s="318">
        <f>Balance!D43-Balance!E43</f>
        <v>1116.8855868703176</v>
      </c>
      <c r="D12" s="318">
        <f>Balance!E43-Balance!F43</f>
        <v>-612.46146812500956</v>
      </c>
      <c r="E12" s="318">
        <f>Balance!F43-Balance!G43</f>
        <v>1136.1232132809237</v>
      </c>
      <c r="F12" s="318">
        <f>Balance!G43-Balance!H43</f>
        <v>617.4098064119753</v>
      </c>
      <c r="G12" s="318">
        <f>Balance!H43-Balance!I43</f>
        <v>215.90405890882539</v>
      </c>
      <c r="H12" s="318">
        <f>Balance!I43-Balance!J43</f>
        <v>-4245.3405707715501</v>
      </c>
      <c r="I12" s="318">
        <f>Balance!J43-Balance!K43</f>
        <v>364.42403826492227</v>
      </c>
      <c r="J12" s="318">
        <f>Balance!K43-Balance!L43</f>
        <v>31.713778051809641</v>
      </c>
      <c r="K12" s="318">
        <f>Balance!L43-Balance!M43</f>
        <v>-1880.3640246060968</v>
      </c>
      <c r="L12" s="318">
        <f>Balance!M43-Balance!N43</f>
        <v>869.49076377747406</v>
      </c>
      <c r="M12" s="318">
        <f>Balance!N43-Balance!O43</f>
        <v>-459.94899141704082</v>
      </c>
      <c r="N12" s="318"/>
    </row>
    <row r="13" spans="1:14">
      <c r="A13" s="9" t="s">
        <v>731</v>
      </c>
      <c r="B13" s="318">
        <f>Balance!D85+Balance!D87+Balance!D89-Balance!C85-Balance!C87-Balance!C89+Balance!D79-Balance!C79</f>
        <v>-24.000000000002728</v>
      </c>
      <c r="C13" s="318">
        <f>Balance!E85+Balance!E87+Balance!E89-Balance!D85-Balance!D87-Balance!D89+Balance!E79-Balance!D79</f>
        <v>-24.000000000002728</v>
      </c>
      <c r="D13" s="318">
        <f>Balance!F85+Balance!F87+Balance!F89-Balance!E85-Balance!E87-Balance!E89+Balance!F79-Balance!E79</f>
        <v>-24.000000000002728</v>
      </c>
      <c r="E13" s="318">
        <f>Balance!G85+Balance!G87+Balance!G89-Balance!F85-Balance!F87-Balance!F89+Balance!G79-Balance!F79</f>
        <v>-24.000000000002728</v>
      </c>
      <c r="F13" s="318">
        <f>Balance!H85+Balance!H87+Balance!H89-Balance!G85-Balance!G87-Balance!G89+Balance!H79-Balance!G79</f>
        <v>-24.000000000002728</v>
      </c>
      <c r="G13" s="318">
        <f>Balance!I85+Balance!I87+Balance!I89-Balance!H85-Balance!H87-Balance!H89+Balance!I79-Balance!H79</f>
        <v>-24.000000000002728</v>
      </c>
      <c r="H13" s="318">
        <f>Balance!J85+Balance!J87+Balance!J89-Balance!I85-Balance!I87-Balance!I89+Balance!J79-Balance!I79</f>
        <v>-24.000000000002728</v>
      </c>
      <c r="I13" s="318">
        <f>Balance!K85+Balance!K87+Balance!K89-Balance!J85-Balance!J87-Balance!J89+Balance!K79-Balance!J79</f>
        <v>-24.000000000002728</v>
      </c>
      <c r="J13" s="318">
        <f>Balance!L85+Balance!L87+Balance!L89-Balance!K85-Balance!K87-Balance!K89+Balance!L79-Balance!K79</f>
        <v>-24.000000000002728</v>
      </c>
      <c r="K13" s="318">
        <f>Balance!M85+Balance!M87+Balance!M89-Balance!L85-Balance!L87-Balance!L89+Balance!M79-Balance!L79</f>
        <v>-24.000000000002728</v>
      </c>
      <c r="L13" s="318">
        <f>Balance!N85+Balance!N87+Balance!N89-Balance!M85-Balance!M87-Balance!M89+Balance!N79-Balance!M79</f>
        <v>-24.000000000002728</v>
      </c>
      <c r="M13" s="318">
        <f>Balance!O85+Balance!O87+Balance!O89-Balance!N85-Balance!N87-Balance!N89+Balance!O79-Balance!N79</f>
        <v>-24.000000000002728</v>
      </c>
      <c r="N13" s="318"/>
    </row>
    <row r="14" spans="1:14">
      <c r="A14" s="9" t="s">
        <v>732</v>
      </c>
      <c r="B14" s="318">
        <f>Balance!D94-Balance!C94</f>
        <v>0</v>
      </c>
      <c r="C14" s="318">
        <f>Balance!E94-Balance!D94</f>
        <v>0</v>
      </c>
      <c r="D14" s="318">
        <f>Balance!F94-Balance!E94</f>
        <v>0</v>
      </c>
      <c r="E14" s="318">
        <f>Balance!G94-Balance!F94</f>
        <v>-812</v>
      </c>
      <c r="F14" s="318">
        <f>Balance!H94-Balance!G94</f>
        <v>-100</v>
      </c>
      <c r="G14" s="318">
        <f>Balance!I94-Balance!H94</f>
        <v>-100</v>
      </c>
      <c r="H14" s="318">
        <f>Balance!J94-Balance!I94</f>
        <v>-100</v>
      </c>
      <c r="I14" s="318">
        <f>Balance!K94-Balance!J94</f>
        <v>0</v>
      </c>
      <c r="J14" s="318">
        <f>Balance!L94-Balance!K94</f>
        <v>-200</v>
      </c>
      <c r="K14" s="318">
        <f>Balance!M94-Balance!L94</f>
        <v>0</v>
      </c>
      <c r="L14" s="318">
        <f>Balance!N94-Balance!M94</f>
        <v>0</v>
      </c>
      <c r="M14" s="318">
        <f>Balance!O94-Balance!N94</f>
        <v>0</v>
      </c>
      <c r="N14" s="318"/>
    </row>
    <row r="15" spans="1:14">
      <c r="A15" s="9" t="s">
        <v>733</v>
      </c>
      <c r="B15" s="318">
        <f>Balance!C56-Balance!D56</f>
        <v>181.13999999999942</v>
      </c>
      <c r="C15" s="318">
        <f>Balance!D56-Balance!E56</f>
        <v>181.14000000000124</v>
      </c>
      <c r="D15" s="318">
        <f>Balance!E56-Balance!F56</f>
        <v>181.13999999999942</v>
      </c>
      <c r="E15" s="318">
        <f>Balance!F56-Balance!G56</f>
        <v>181.13999999999942</v>
      </c>
      <c r="F15" s="318">
        <f>Balance!G56-Balance!H56</f>
        <v>181.14000000000124</v>
      </c>
      <c r="G15" s="318">
        <f>Balance!H56-Balance!I56</f>
        <v>-2122.4940000000006</v>
      </c>
      <c r="H15" s="318">
        <f>Balance!I56-Balance!J56</f>
        <v>199.253999999999</v>
      </c>
      <c r="I15" s="318">
        <f>Balance!J56-Balance!K56</f>
        <v>199.25400000000081</v>
      </c>
      <c r="J15" s="318">
        <f>Balance!K56-Balance!L56</f>
        <v>199.253999999999</v>
      </c>
      <c r="K15" s="318">
        <f>Balance!L56-Balance!M56</f>
        <v>199.25400000000081</v>
      </c>
      <c r="L15" s="318">
        <f>Balance!M56-Balance!N56</f>
        <v>199.253999999999</v>
      </c>
      <c r="M15" s="318">
        <f>Balance!N56-Balance!O56</f>
        <v>9199.2540000000008</v>
      </c>
      <c r="N15" s="318"/>
    </row>
    <row r="16" spans="1:14">
      <c r="B16" s="318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</row>
    <row r="17" spans="1:14" s="68" customFormat="1" ht="13.5" thickBot="1">
      <c r="A17" s="208" t="s">
        <v>734</v>
      </c>
      <c r="B17" s="320">
        <f>SUM(B7:B15)</f>
        <v>1251.9671936629575</v>
      </c>
      <c r="C17" s="320">
        <f t="shared" ref="C17:M17" si="0">SUM(C7:C15)</f>
        <v>3662.3209882491174</v>
      </c>
      <c r="D17" s="320">
        <f t="shared" si="0"/>
        <v>-16595.656996404381</v>
      </c>
      <c r="E17" s="320">
        <f t="shared" si="0"/>
        <v>2422.5833654602143</v>
      </c>
      <c r="F17" s="320">
        <f t="shared" si="0"/>
        <v>1799.6668319953446</v>
      </c>
      <c r="G17" s="320">
        <f t="shared" si="0"/>
        <v>-648.59221538304928</v>
      </c>
      <c r="H17" s="320">
        <f t="shared" si="0"/>
        <v>-320.81767596173904</v>
      </c>
      <c r="I17" s="320">
        <f t="shared" si="0"/>
        <v>4399.9219671229375</v>
      </c>
      <c r="J17" s="320">
        <f t="shared" si="0"/>
        <v>-14182.09897816073</v>
      </c>
      <c r="K17" s="320">
        <f t="shared" si="0"/>
        <v>2438.3932453237367</v>
      </c>
      <c r="L17" s="320">
        <f t="shared" si="0"/>
        <v>5511.8604759324926</v>
      </c>
      <c r="M17" s="320">
        <f t="shared" si="0"/>
        <v>13333.7134238656</v>
      </c>
      <c r="N17" s="319"/>
    </row>
    <row r="18" spans="1:14" ht="13.5" thickTop="1"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</row>
    <row r="19" spans="1:14">
      <c r="A19" s="68" t="s">
        <v>735</v>
      </c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</row>
    <row r="20" spans="1:14"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</row>
    <row r="21" spans="1:14">
      <c r="A21" s="9" t="s">
        <v>736</v>
      </c>
      <c r="B21" s="318">
        <f>Balance!C10-Balance!D10</f>
        <v>0</v>
      </c>
      <c r="C21" s="318">
        <f>Balance!E8-Balance!D8</f>
        <v>0</v>
      </c>
      <c r="D21" s="318">
        <f>Balance!F8-Balance!E8</f>
        <v>0</v>
      </c>
      <c r="E21" s="318">
        <f>Balance!G8-Balance!F8</f>
        <v>0</v>
      </c>
      <c r="F21" s="318">
        <f>Balance!H8-Balance!G8</f>
        <v>0</v>
      </c>
      <c r="G21" s="318">
        <f>Balance!I8-Balance!H8</f>
        <v>0</v>
      </c>
      <c r="H21" s="318">
        <f>Balance!J8-Balance!I8</f>
        <v>0</v>
      </c>
      <c r="I21" s="318">
        <f>Balance!K8-Balance!J8</f>
        <v>0</v>
      </c>
      <c r="J21" s="318">
        <f>Balance!L8-Balance!K8</f>
        <v>0</v>
      </c>
      <c r="K21" s="318">
        <f>Balance!M8-Balance!L8</f>
        <v>0</v>
      </c>
      <c r="L21" s="318">
        <f>Balance!N8-Balance!M8</f>
        <v>0</v>
      </c>
      <c r="M21" s="318">
        <f>Balance!O8-Balance!N8</f>
        <v>0</v>
      </c>
      <c r="N21" s="318"/>
    </row>
    <row r="22" spans="1:14">
      <c r="A22" s="9" t="s">
        <v>737</v>
      </c>
      <c r="B22" s="318">
        <f>Balance!C21-Balance!D21</f>
        <v>-136.44699999992736</v>
      </c>
      <c r="C22" s="318">
        <f>Balance!D21-Balance!E21</f>
        <v>0</v>
      </c>
      <c r="D22" s="318">
        <f>Balance!E21-Balance!F21</f>
        <v>-34.964285714318976</v>
      </c>
      <c r="E22" s="318">
        <f>Balance!F21-Balance!G21</f>
        <v>0</v>
      </c>
      <c r="F22" s="318">
        <f>Balance!G21-Balance!H21</f>
        <v>0</v>
      </c>
      <c r="G22" s="318">
        <f>Balance!H21-Balance!I21</f>
        <v>-60.642857142724097</v>
      </c>
      <c r="H22" s="318">
        <f>Balance!I21-Balance!J21</f>
        <v>0</v>
      </c>
      <c r="I22" s="318">
        <f>Balance!J21-Balance!K21</f>
        <v>0</v>
      </c>
      <c r="J22" s="318">
        <f>Balance!K21-Balance!L21</f>
        <v>0</v>
      </c>
      <c r="K22" s="318">
        <f>Balance!L21-Balance!M21</f>
        <v>0</v>
      </c>
      <c r="L22" s="318">
        <f>Balance!M21-Balance!N21</f>
        <v>0</v>
      </c>
      <c r="M22" s="318">
        <f>Balance!N21-Balance!O21</f>
        <v>0</v>
      </c>
      <c r="N22" s="318"/>
    </row>
    <row r="23" spans="1:14"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</row>
    <row r="24" spans="1:14" s="68" customFormat="1" ht="13.5" thickBot="1">
      <c r="A24" s="208" t="s">
        <v>738</v>
      </c>
      <c r="B24" s="320">
        <f>SUM(B21:B22)</f>
        <v>-136.44699999992736</v>
      </c>
      <c r="C24" s="320">
        <f t="shared" ref="C24:M24" si="1">SUM(C21:C22)</f>
        <v>0</v>
      </c>
      <c r="D24" s="320">
        <f t="shared" si="1"/>
        <v>-34.964285714318976</v>
      </c>
      <c r="E24" s="320">
        <f t="shared" si="1"/>
        <v>0</v>
      </c>
      <c r="F24" s="320">
        <f t="shared" si="1"/>
        <v>0</v>
      </c>
      <c r="G24" s="320">
        <f t="shared" si="1"/>
        <v>-60.642857142724097</v>
      </c>
      <c r="H24" s="320">
        <f t="shared" si="1"/>
        <v>0</v>
      </c>
      <c r="I24" s="320">
        <f t="shared" si="1"/>
        <v>0</v>
      </c>
      <c r="J24" s="320">
        <f t="shared" si="1"/>
        <v>0</v>
      </c>
      <c r="K24" s="320">
        <f t="shared" si="1"/>
        <v>0</v>
      </c>
      <c r="L24" s="320">
        <f t="shared" si="1"/>
        <v>0</v>
      </c>
      <c r="M24" s="320">
        <f t="shared" si="1"/>
        <v>0</v>
      </c>
      <c r="N24" s="319"/>
    </row>
    <row r="25" spans="1:14" ht="13.5" thickTop="1"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</row>
    <row r="26" spans="1:14">
      <c r="A26" s="68" t="s">
        <v>739</v>
      </c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</row>
    <row r="27" spans="1:14"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</row>
    <row r="28" spans="1:14">
      <c r="A28" s="9" t="s">
        <v>740</v>
      </c>
      <c r="B28" s="318">
        <f>Balance!D78+Balance!D88-Balance!C78-Balance!C88</f>
        <v>193.99326507392107</v>
      </c>
      <c r="C28" s="318">
        <f>Balance!E78+Balance!E88-Balance!D78-Balance!D88</f>
        <v>685.04778367401377</v>
      </c>
      <c r="D28" s="318">
        <f>Balance!F78+Balance!F88-Balance!E78-Balance!E88</f>
        <v>685.04778367396648</v>
      </c>
      <c r="E28" s="318">
        <f>Balance!G78+Balance!G88-Balance!F78-Balance!F88</f>
        <v>685.04778367397375</v>
      </c>
      <c r="F28" s="318">
        <f>Balance!H78+Balance!H88-Balance!G78-Balance!G88</f>
        <v>685.04778367404288</v>
      </c>
      <c r="G28" s="318">
        <f>Balance!I78+Balance!I88-Balance!H78-Balance!H88</f>
        <v>-9968.9419459001292</v>
      </c>
      <c r="H28" s="318">
        <f>Balance!J78+Balance!J88-Balance!I78-Balance!I88</f>
        <v>670.25644529493002</v>
      </c>
      <c r="I28" s="318">
        <f>Balance!K78+Balance!K88-Balance!J78-Balance!J88</f>
        <v>670.25644529494457</v>
      </c>
      <c r="J28" s="318">
        <f>Balance!L78+Balance!L88-Balance!K78-Balance!K88</f>
        <v>670.25644529501733</v>
      </c>
      <c r="K28" s="318">
        <f>Balance!M78+Balance!M88-Balance!L78-Balance!L88</f>
        <v>670.2564452949191</v>
      </c>
      <c r="L28" s="318">
        <f>Balance!N78+Balance!N88-Balance!M78-Balance!M88</f>
        <v>670.25644529499186</v>
      </c>
      <c r="M28" s="318">
        <f>Balance!O78+Balance!O88-Balance!N78-Balance!N88</f>
        <v>-10504.324149262622</v>
      </c>
      <c r="N28" s="318"/>
    </row>
    <row r="29" spans="1:14">
      <c r="A29" s="9" t="s">
        <v>741</v>
      </c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</row>
    <row r="30" spans="1:14">
      <c r="A30" s="9" t="s">
        <v>742</v>
      </c>
      <c r="B30" s="318">
        <f>Balance!D84-Balance!C84</f>
        <v>448.99070419304189</v>
      </c>
      <c r="C30" s="318">
        <f>Balance!E84-Balance!D84</f>
        <v>33.390280593041098</v>
      </c>
      <c r="D30" s="318">
        <f>Balance!F84-Balance!E84</f>
        <v>33.390280593041098</v>
      </c>
      <c r="E30" s="318">
        <f>Balance!G84-Balance!F84</f>
        <v>33.390280593041098</v>
      </c>
      <c r="F30" s="318">
        <f>Balance!H84-Balance!G84</f>
        <v>33.390280593041098</v>
      </c>
      <c r="G30" s="318">
        <f>Balance!I84-Balance!H84</f>
        <v>33.390280593041098</v>
      </c>
      <c r="H30" s="318">
        <f>Balance!J84-Balance!I84</f>
        <v>33.390280593041098</v>
      </c>
      <c r="I30" s="318">
        <f>Balance!K84-Balance!J84</f>
        <v>33.390280593044736</v>
      </c>
      <c r="J30" s="318">
        <f>Balance!L84-Balance!K84</f>
        <v>33.390280593041098</v>
      </c>
      <c r="K30" s="318">
        <f>Balance!M84-Balance!L84</f>
        <v>33.390280593041098</v>
      </c>
      <c r="L30" s="318">
        <f>Balance!N84-Balance!M84</f>
        <v>33.390280593041098</v>
      </c>
      <c r="M30" s="318">
        <f>Balance!O84-Balance!N84</f>
        <v>33.390280593041098</v>
      </c>
      <c r="N30" s="318"/>
    </row>
    <row r="31" spans="1:14">
      <c r="A31" s="9" t="s">
        <v>743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</row>
    <row r="32" spans="1:14"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</row>
    <row r="33" spans="1:14" s="68" customFormat="1" ht="13.5" thickBot="1">
      <c r="A33" s="208" t="s">
        <v>744</v>
      </c>
      <c r="B33" s="320">
        <f>SUM(B28:B31)</f>
        <v>642.98396926696296</v>
      </c>
      <c r="C33" s="320">
        <f t="shared" ref="C33:M33" si="2">SUM(C28:C31)</f>
        <v>718.43806426705487</v>
      </c>
      <c r="D33" s="320">
        <f t="shared" si="2"/>
        <v>718.43806426700758</v>
      </c>
      <c r="E33" s="320">
        <f t="shared" si="2"/>
        <v>718.43806426701485</v>
      </c>
      <c r="F33" s="320">
        <f t="shared" si="2"/>
        <v>718.43806426708397</v>
      </c>
      <c r="G33" s="320">
        <f t="shared" si="2"/>
        <v>-9935.5516653070881</v>
      </c>
      <c r="H33" s="320">
        <f t="shared" si="2"/>
        <v>703.64672588797112</v>
      </c>
      <c r="I33" s="320">
        <f t="shared" si="2"/>
        <v>703.64672588798931</v>
      </c>
      <c r="J33" s="320">
        <f t="shared" si="2"/>
        <v>703.64672588805843</v>
      </c>
      <c r="K33" s="320">
        <f t="shared" si="2"/>
        <v>703.6467258879602</v>
      </c>
      <c r="L33" s="320">
        <f t="shared" si="2"/>
        <v>703.64672588803296</v>
      </c>
      <c r="M33" s="320">
        <f t="shared" si="2"/>
        <v>-10470.933868669581</v>
      </c>
      <c r="N33" s="319"/>
    </row>
    <row r="34" spans="1:14" s="68" customFormat="1" ht="13.5" thickTop="1"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</row>
    <row r="35" spans="1:14" s="68" customFormat="1">
      <c r="A35" s="68" t="s">
        <v>745</v>
      </c>
      <c r="B35" s="319">
        <f>B17+B24+B33</f>
        <v>1758.5041629299931</v>
      </c>
      <c r="C35" s="319">
        <f t="shared" ref="C35:M35" si="3">C17+C24+C33</f>
        <v>4380.7590525161722</v>
      </c>
      <c r="D35" s="319">
        <f t="shared" si="3"/>
        <v>-15912.183217851692</v>
      </c>
      <c r="E35" s="319">
        <f t="shared" si="3"/>
        <v>3141.0214297272291</v>
      </c>
      <c r="F35" s="319">
        <f t="shared" si="3"/>
        <v>2518.1048962624286</v>
      </c>
      <c r="G35" s="319">
        <f t="shared" si="3"/>
        <v>-10644.786737832861</v>
      </c>
      <c r="H35" s="319">
        <f t="shared" si="3"/>
        <v>382.82904992623207</v>
      </c>
      <c r="I35" s="319">
        <f t="shared" si="3"/>
        <v>5103.5686930109268</v>
      </c>
      <c r="J35" s="319">
        <f t="shared" si="3"/>
        <v>-13478.452252272671</v>
      </c>
      <c r="K35" s="319">
        <f t="shared" si="3"/>
        <v>3142.0399712116969</v>
      </c>
      <c r="L35" s="319">
        <f t="shared" si="3"/>
        <v>6215.5072018205256</v>
      </c>
      <c r="M35" s="319">
        <f t="shared" si="3"/>
        <v>2862.7795551960189</v>
      </c>
      <c r="N35" s="319"/>
    </row>
    <row r="36" spans="1:14" s="68" customFormat="1"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</row>
    <row r="37" spans="1:14" s="68" customFormat="1">
      <c r="A37" s="68" t="s">
        <v>746</v>
      </c>
      <c r="B37" s="319">
        <f>Balance!C49</f>
        <v>36444.9</v>
      </c>
      <c r="C37" s="319">
        <f>B39</f>
        <v>38203.404162929997</v>
      </c>
      <c r="D37" s="319">
        <f t="shared" ref="D37:M37" si="4">C39</f>
        <v>42584.163215446169</v>
      </c>
      <c r="E37" s="319">
        <f t="shared" si="4"/>
        <v>26671.979997594477</v>
      </c>
      <c r="F37" s="319">
        <f t="shared" si="4"/>
        <v>29813.001427321706</v>
      </c>
      <c r="G37" s="319">
        <f t="shared" si="4"/>
        <v>32331.106323584136</v>
      </c>
      <c r="H37" s="319">
        <f t="shared" si="4"/>
        <v>21686.319585751276</v>
      </c>
      <c r="I37" s="319">
        <f t="shared" si="4"/>
        <v>22069.148635677509</v>
      </c>
      <c r="J37" s="319">
        <f t="shared" si="4"/>
        <v>27172.717328688435</v>
      </c>
      <c r="K37" s="319">
        <f t="shared" si="4"/>
        <v>13694.265076415764</v>
      </c>
      <c r="L37" s="319">
        <f t="shared" si="4"/>
        <v>16836.305047627462</v>
      </c>
      <c r="M37" s="319">
        <f t="shared" si="4"/>
        <v>23051.812249447987</v>
      </c>
      <c r="N37" s="319"/>
    </row>
    <row r="38" spans="1:14" s="68" customFormat="1"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</row>
    <row r="39" spans="1:14" s="68" customFormat="1" ht="15.75" thickBot="1">
      <c r="A39" s="321" t="s">
        <v>747</v>
      </c>
      <c r="B39" s="322">
        <f>B37+B35</f>
        <v>38203.404162929997</v>
      </c>
      <c r="C39" s="322">
        <f t="shared" ref="C39:M39" si="5">C37+C35</f>
        <v>42584.163215446169</v>
      </c>
      <c r="D39" s="322">
        <f t="shared" si="5"/>
        <v>26671.979997594477</v>
      </c>
      <c r="E39" s="322">
        <f t="shared" si="5"/>
        <v>29813.001427321706</v>
      </c>
      <c r="F39" s="322">
        <f t="shared" si="5"/>
        <v>32331.106323584136</v>
      </c>
      <c r="G39" s="322">
        <f t="shared" si="5"/>
        <v>21686.319585751276</v>
      </c>
      <c r="H39" s="322">
        <f t="shared" si="5"/>
        <v>22069.148635677509</v>
      </c>
      <c r="I39" s="322">
        <f t="shared" si="5"/>
        <v>27172.717328688435</v>
      </c>
      <c r="J39" s="322">
        <f t="shared" si="5"/>
        <v>13694.265076415764</v>
      </c>
      <c r="K39" s="322">
        <f t="shared" si="5"/>
        <v>16836.305047627462</v>
      </c>
      <c r="L39" s="322">
        <f t="shared" si="5"/>
        <v>23051.812249447987</v>
      </c>
      <c r="M39" s="322">
        <f t="shared" si="5"/>
        <v>25914.591804644006</v>
      </c>
      <c r="N39" s="319"/>
    </row>
    <row r="40" spans="1:14" s="68" customFormat="1" ht="13.5" thickTop="1"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</row>
    <row r="41" spans="1:14"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</row>
    <row r="42" spans="1:14"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</row>
    <row r="43" spans="1:14"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</row>
    <row r="44" spans="1:14"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</row>
    <row r="45" spans="1:14"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</row>
    <row r="46" spans="1:14"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</row>
    <row r="47" spans="1:14"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</row>
    <row r="48" spans="1:14"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</row>
    <row r="49" spans="2:14"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</row>
    <row r="50" spans="2:14"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</row>
    <row r="51" spans="2:14"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</row>
    <row r="52" spans="2:14"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</row>
    <row r="53" spans="2:14"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</row>
    <row r="54" spans="2:14"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</row>
    <row r="55" spans="2:14"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</row>
    <row r="56" spans="2:14"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</row>
    <row r="57" spans="2:14"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</row>
    <row r="58" spans="2:14"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</row>
    <row r="59" spans="2:14"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</row>
    <row r="60" spans="2:14"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</row>
    <row r="61" spans="2:14"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</row>
    <row r="62" spans="2:14"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</row>
    <row r="63" spans="2:14">
      <c r="B63" s="318"/>
      <c r="C63" s="318"/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8"/>
    </row>
    <row r="64" spans="2:14">
      <c r="B64" s="318"/>
      <c r="C64" s="318"/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</row>
    <row r="65" spans="2:14">
      <c r="B65" s="318"/>
      <c r="C65" s="318"/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</row>
    <row r="66" spans="2:14">
      <c r="B66" s="318"/>
      <c r="C66" s="318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</row>
    <row r="67" spans="2:14">
      <c r="B67" s="318"/>
      <c r="C67" s="318"/>
      <c r="D67" s="318"/>
      <c r="E67" s="318"/>
      <c r="F67" s="318"/>
      <c r="G67" s="318"/>
      <c r="H67" s="318"/>
      <c r="I67" s="318"/>
      <c r="J67" s="318"/>
      <c r="K67" s="318"/>
      <c r="L67" s="318"/>
      <c r="M67" s="318"/>
      <c r="N67" s="318"/>
    </row>
    <row r="68" spans="2:14">
      <c r="B68" s="318"/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</row>
    <row r="69" spans="2:14">
      <c r="B69" s="318"/>
      <c r="C69" s="318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</row>
    <row r="70" spans="2:14">
      <c r="B70" s="318"/>
      <c r="C70" s="318"/>
      <c r="D70" s="318"/>
      <c r="E70" s="318"/>
      <c r="F70" s="318"/>
      <c r="G70" s="318"/>
      <c r="H70" s="318"/>
      <c r="I70" s="318"/>
      <c r="J70" s="318"/>
      <c r="K70" s="318"/>
      <c r="L70" s="318"/>
      <c r="M70" s="318"/>
      <c r="N70" s="318"/>
    </row>
    <row r="71" spans="2:14">
      <c r="B71" s="318"/>
      <c r="C71" s="318"/>
      <c r="D71" s="318"/>
      <c r="E71" s="318"/>
      <c r="F71" s="318"/>
      <c r="G71" s="318"/>
      <c r="H71" s="318"/>
      <c r="I71" s="318"/>
      <c r="J71" s="318"/>
      <c r="K71" s="318"/>
      <c r="L71" s="318"/>
      <c r="M71" s="318"/>
      <c r="N71" s="318"/>
    </row>
    <row r="72" spans="2:14">
      <c r="B72" s="318"/>
      <c r="C72" s="318"/>
      <c r="D72" s="318"/>
      <c r="E72" s="318"/>
      <c r="F72" s="318"/>
      <c r="G72" s="318"/>
      <c r="H72" s="318"/>
      <c r="I72" s="318"/>
      <c r="J72" s="318"/>
      <c r="K72" s="318"/>
      <c r="L72" s="318"/>
      <c r="M72" s="318"/>
      <c r="N72" s="318"/>
    </row>
    <row r="73" spans="2:14">
      <c r="B73" s="318"/>
      <c r="C73" s="318"/>
      <c r="D73" s="318"/>
      <c r="E73" s="318"/>
      <c r="F73" s="318"/>
      <c r="G73" s="318"/>
      <c r="H73" s="318"/>
      <c r="I73" s="318"/>
      <c r="J73" s="318"/>
      <c r="K73" s="318"/>
      <c r="L73" s="318"/>
      <c r="M73" s="318"/>
      <c r="N73" s="318"/>
    </row>
    <row r="74" spans="2:14">
      <c r="B74" s="318"/>
      <c r="C74" s="318"/>
      <c r="D74" s="318"/>
      <c r="E74" s="318"/>
      <c r="F74" s="318"/>
      <c r="G74" s="318"/>
      <c r="H74" s="318"/>
      <c r="I74" s="318"/>
      <c r="J74" s="318"/>
      <c r="K74" s="318"/>
      <c r="L74" s="318"/>
      <c r="M74" s="318"/>
      <c r="N74" s="318"/>
    </row>
    <row r="75" spans="2:14">
      <c r="B75" s="318"/>
      <c r="C75" s="318"/>
      <c r="D75" s="318"/>
      <c r="E75" s="318"/>
      <c r="F75" s="318"/>
      <c r="G75" s="318"/>
      <c r="H75" s="318"/>
      <c r="I75" s="318"/>
      <c r="J75" s="318"/>
      <c r="K75" s="318"/>
      <c r="L75" s="318"/>
      <c r="M75" s="318"/>
      <c r="N75" s="318"/>
    </row>
    <row r="76" spans="2:14">
      <c r="B76" s="318"/>
      <c r="C76" s="318"/>
      <c r="D76" s="318"/>
      <c r="E76" s="318"/>
      <c r="F76" s="318"/>
      <c r="G76" s="318"/>
      <c r="H76" s="318"/>
      <c r="I76" s="318"/>
      <c r="J76" s="318"/>
      <c r="K76" s="318"/>
      <c r="L76" s="318"/>
      <c r="M76" s="318"/>
      <c r="N76" s="318"/>
    </row>
    <row r="77" spans="2:14"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18"/>
      <c r="N77" s="318"/>
    </row>
    <row r="78" spans="2:14"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</row>
    <row r="79" spans="2:14"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</row>
    <row r="80" spans="2:14"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8"/>
      <c r="N80" s="318"/>
    </row>
    <row r="81" spans="2:14"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</row>
    <row r="82" spans="2:14"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</row>
    <row r="83" spans="2:14">
      <c r="B83" s="318"/>
      <c r="C83" s="318"/>
      <c r="D83" s="318"/>
      <c r="E83" s="318"/>
      <c r="F83" s="318"/>
      <c r="G83" s="318"/>
      <c r="H83" s="318"/>
      <c r="I83" s="318"/>
      <c r="J83" s="318"/>
      <c r="K83" s="318"/>
      <c r="L83" s="318"/>
      <c r="M83" s="318"/>
      <c r="N83" s="318"/>
    </row>
    <row r="84" spans="2:14">
      <c r="B84" s="318"/>
      <c r="C84" s="318"/>
      <c r="D84" s="318"/>
      <c r="E84" s="318"/>
      <c r="F84" s="318"/>
      <c r="G84" s="318"/>
      <c r="H84" s="318"/>
      <c r="I84" s="318"/>
      <c r="J84" s="318"/>
      <c r="K84" s="318"/>
      <c r="L84" s="318"/>
      <c r="M84" s="318"/>
      <c r="N84" s="318"/>
    </row>
    <row r="85" spans="2:14">
      <c r="B85" s="318"/>
      <c r="C85" s="318"/>
      <c r="D85" s="318"/>
      <c r="E85" s="318"/>
      <c r="F85" s="318"/>
      <c r="G85" s="318"/>
      <c r="H85" s="318"/>
      <c r="I85" s="318"/>
      <c r="J85" s="318"/>
      <c r="K85" s="318"/>
      <c r="L85" s="318"/>
      <c r="M85" s="318"/>
      <c r="N85" s="318"/>
    </row>
    <row r="86" spans="2:14">
      <c r="B86" s="318"/>
      <c r="C86" s="318"/>
      <c r="D86" s="318"/>
      <c r="E86" s="318"/>
      <c r="F86" s="318"/>
      <c r="G86" s="318"/>
      <c r="H86" s="318"/>
      <c r="I86" s="318"/>
      <c r="J86" s="318"/>
      <c r="K86" s="318"/>
      <c r="L86" s="318"/>
      <c r="M86" s="318"/>
      <c r="N86" s="318"/>
    </row>
    <row r="87" spans="2:14"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18"/>
      <c r="N87" s="318"/>
    </row>
    <row r="88" spans="2:14"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18"/>
      <c r="N88" s="318"/>
    </row>
    <row r="89" spans="2:14"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</row>
    <row r="90" spans="2:14"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</row>
    <row r="91" spans="2:14"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</row>
    <row r="92" spans="2:14">
      <c r="B92" s="318"/>
      <c r="C92" s="318"/>
      <c r="D92" s="318"/>
      <c r="E92" s="318"/>
      <c r="F92" s="318"/>
      <c r="G92" s="318"/>
      <c r="H92" s="318"/>
      <c r="I92" s="318"/>
      <c r="J92" s="318"/>
      <c r="K92" s="318"/>
      <c r="L92" s="318"/>
      <c r="M92" s="318"/>
      <c r="N92" s="318"/>
    </row>
    <row r="93" spans="2:14">
      <c r="B93" s="318"/>
      <c r="C93" s="318"/>
      <c r="D93" s="318"/>
      <c r="E93" s="318"/>
      <c r="F93" s="318"/>
      <c r="G93" s="318"/>
      <c r="H93" s="318"/>
      <c r="I93" s="318"/>
      <c r="J93" s="318"/>
      <c r="K93" s="318"/>
      <c r="L93" s="318"/>
      <c r="M93" s="318"/>
      <c r="N93" s="318"/>
    </row>
    <row r="94" spans="2:14">
      <c r="B94" s="318"/>
      <c r="C94" s="318"/>
      <c r="D94" s="318"/>
      <c r="E94" s="318"/>
      <c r="F94" s="318"/>
      <c r="G94" s="318"/>
      <c r="H94" s="318"/>
      <c r="I94" s="318"/>
      <c r="J94" s="318"/>
      <c r="K94" s="318"/>
      <c r="L94" s="318"/>
      <c r="M94" s="318"/>
      <c r="N94" s="318"/>
    </row>
    <row r="95" spans="2:14">
      <c r="B95" s="318"/>
      <c r="C95" s="318"/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</row>
    <row r="96" spans="2:14">
      <c r="B96" s="318"/>
      <c r="C96" s="318"/>
      <c r="D96" s="318"/>
      <c r="E96" s="318"/>
      <c r="F96" s="318"/>
      <c r="G96" s="318"/>
      <c r="H96" s="318"/>
      <c r="I96" s="318"/>
      <c r="J96" s="318"/>
      <c r="K96" s="318"/>
      <c r="L96" s="318"/>
      <c r="M96" s="318"/>
      <c r="N96" s="318"/>
    </row>
    <row r="97" spans="2:14"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</row>
    <row r="98" spans="2:14"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18"/>
      <c r="N98" s="318"/>
    </row>
    <row r="99" spans="2:14"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18"/>
      <c r="N99" s="318"/>
    </row>
    <row r="100" spans="2:14"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</row>
    <row r="101" spans="2:14"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</row>
    <row r="102" spans="2:14"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</row>
    <row r="103" spans="2:14"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</row>
    <row r="104" spans="2:14"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</row>
    <row r="105" spans="2:14">
      <c r="B105" s="318"/>
      <c r="C105" s="318"/>
      <c r="D105" s="318"/>
      <c r="E105" s="318"/>
      <c r="F105" s="318"/>
      <c r="G105" s="318"/>
      <c r="H105" s="318"/>
      <c r="I105" s="318"/>
      <c r="J105" s="318"/>
      <c r="K105" s="318"/>
      <c r="L105" s="318"/>
      <c r="M105" s="318"/>
      <c r="N105" s="318"/>
    </row>
    <row r="106" spans="2:14">
      <c r="B106" s="318"/>
      <c r="C106" s="318"/>
      <c r="D106" s="318"/>
      <c r="E106" s="318"/>
      <c r="F106" s="318"/>
      <c r="G106" s="318"/>
      <c r="H106" s="318"/>
      <c r="I106" s="318"/>
      <c r="J106" s="318"/>
      <c r="K106" s="318"/>
      <c r="L106" s="318"/>
      <c r="M106" s="318"/>
      <c r="N106" s="318"/>
    </row>
    <row r="107" spans="2:14"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  <c r="L107" s="318"/>
      <c r="M107" s="318"/>
      <c r="N107" s="318"/>
    </row>
    <row r="108" spans="2:14"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  <c r="L108" s="318"/>
      <c r="M108" s="318"/>
      <c r="N108" s="318"/>
    </row>
    <row r="109" spans="2:14">
      <c r="B109" s="318"/>
      <c r="C109" s="318"/>
      <c r="D109" s="318"/>
      <c r="E109" s="318"/>
      <c r="F109" s="318"/>
      <c r="G109" s="318"/>
      <c r="H109" s="318"/>
      <c r="I109" s="318"/>
      <c r="J109" s="318"/>
      <c r="K109" s="318"/>
      <c r="L109" s="318"/>
      <c r="M109" s="318"/>
      <c r="N109" s="318"/>
    </row>
    <row r="110" spans="2:14"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18"/>
      <c r="N110" s="318"/>
    </row>
    <row r="111" spans="2:14"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18"/>
      <c r="N111" s="318"/>
    </row>
    <row r="112" spans="2:14"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</row>
    <row r="113" spans="2:14"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</row>
    <row r="114" spans="2:14"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</row>
    <row r="115" spans="2:14"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8"/>
      <c r="M115" s="318"/>
      <c r="N115" s="318"/>
    </row>
    <row r="116" spans="2:14"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8"/>
      <c r="N116" s="318"/>
    </row>
    <row r="117" spans="2:14"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8"/>
      <c r="N117" s="318"/>
    </row>
    <row r="118" spans="2:14"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18"/>
      <c r="N118" s="318"/>
    </row>
    <row r="119" spans="2:14"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</row>
    <row r="120" spans="2:14"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</row>
    <row r="121" spans="2:14"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</row>
    <row r="122" spans="2:14"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18"/>
      <c r="N122" s="318"/>
    </row>
    <row r="123" spans="2:14"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</row>
  </sheetData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39"/>
  <sheetViews>
    <sheetView view="pageBreakPreview" zoomScale="75" zoomScaleNormal="75" workbookViewId="0">
      <selection activeCell="F15" sqref="F15"/>
    </sheetView>
  </sheetViews>
  <sheetFormatPr defaultRowHeight="12.75"/>
  <cols>
    <col min="3" max="3" width="12.5703125" customWidth="1"/>
    <col min="4" max="14" width="10.85546875" bestFit="1" customWidth="1"/>
    <col min="15" max="15" width="41" customWidth="1"/>
    <col min="18" max="18" width="10.42578125" bestFit="1" customWidth="1"/>
    <col min="19" max="19" width="10.42578125" customWidth="1"/>
    <col min="20" max="29" width="10.42578125" bestFit="1" customWidth="1"/>
    <col min="33" max="44" width="10.42578125" bestFit="1" customWidth="1"/>
  </cols>
  <sheetData>
    <row r="1" spans="1:44">
      <c r="A1" s="2" t="s">
        <v>502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44" ht="20.25">
      <c r="A2" s="111" t="s">
        <v>1307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4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44" ht="58.9" customHeight="1"/>
    <row r="5" spans="1:44">
      <c r="A5" s="2" t="s">
        <v>1281</v>
      </c>
      <c r="P5" s="2" t="s">
        <v>597</v>
      </c>
      <c r="AE5" s="2" t="s">
        <v>598</v>
      </c>
    </row>
    <row r="6" spans="1:44" ht="6.6" customHeight="1" thickBot="1">
      <c r="A6" s="2"/>
      <c r="P6" s="2"/>
      <c r="AE6" s="2"/>
    </row>
    <row r="7" spans="1:44" ht="13.5" thickBot="1">
      <c r="B7" t="s">
        <v>90</v>
      </c>
      <c r="C7" s="132">
        <v>4.2973999999999997</v>
      </c>
      <c r="D7" t="s">
        <v>782</v>
      </c>
      <c r="Q7" t="s">
        <v>90</v>
      </c>
      <c r="R7" s="14">
        <f>N11</f>
        <v>4.369596320000003</v>
      </c>
      <c r="AF7" t="s">
        <v>90</v>
      </c>
      <c r="AG7" s="14">
        <f>AC11</f>
        <v>4.5880761360000015</v>
      </c>
    </row>
    <row r="8" spans="1:44" ht="13.5" thickBot="1">
      <c r="B8" t="s">
        <v>63</v>
      </c>
      <c r="C8" s="127">
        <v>1.68</v>
      </c>
      <c r="Q8" t="s">
        <v>63</v>
      </c>
      <c r="R8" s="14">
        <v>5</v>
      </c>
      <c r="AF8" t="s">
        <v>63</v>
      </c>
      <c r="AG8" s="14">
        <v>5</v>
      </c>
    </row>
    <row r="9" spans="1:44">
      <c r="B9" t="s">
        <v>62</v>
      </c>
      <c r="C9">
        <f>$C$8/12/100+1</f>
        <v>1.0014000000000001</v>
      </c>
      <c r="Q9" t="s">
        <v>62</v>
      </c>
      <c r="R9">
        <f>$R$8/12/100+1</f>
        <v>1.0041666666666667</v>
      </c>
      <c r="AF9" t="s">
        <v>62</v>
      </c>
      <c r="AG9">
        <f>$AG$8/12/100+1</f>
        <v>1.0041666666666667</v>
      </c>
    </row>
    <row r="10" spans="1:44"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55</v>
      </c>
      <c r="I10" s="1" t="s">
        <v>56</v>
      </c>
      <c r="J10" s="1" t="s">
        <v>57</v>
      </c>
      <c r="K10" s="1" t="s">
        <v>58</v>
      </c>
      <c r="L10" s="1" t="s">
        <v>59</v>
      </c>
      <c r="M10" s="1" t="s">
        <v>60</v>
      </c>
      <c r="N10" s="1" t="s">
        <v>61</v>
      </c>
      <c r="R10" s="1" t="s">
        <v>50</v>
      </c>
      <c r="S10" s="1" t="s">
        <v>51</v>
      </c>
      <c r="T10" s="1" t="s">
        <v>52</v>
      </c>
      <c r="U10" s="1" t="s">
        <v>53</v>
      </c>
      <c r="V10" s="1" t="s">
        <v>54</v>
      </c>
      <c r="W10" s="1" t="s">
        <v>55</v>
      </c>
      <c r="X10" s="1" t="s">
        <v>56</v>
      </c>
      <c r="Y10" s="1" t="s">
        <v>57</v>
      </c>
      <c r="Z10" s="1" t="s">
        <v>58</v>
      </c>
      <c r="AA10" s="1" t="s">
        <v>59</v>
      </c>
      <c r="AB10" s="1" t="s">
        <v>60</v>
      </c>
      <c r="AC10" s="1" t="s">
        <v>61</v>
      </c>
      <c r="AG10" s="1" t="s">
        <v>50</v>
      </c>
      <c r="AH10" s="1" t="s">
        <v>51</v>
      </c>
      <c r="AI10" s="1" t="s">
        <v>52</v>
      </c>
      <c r="AJ10" s="1" t="s">
        <v>53</v>
      </c>
      <c r="AK10" s="1" t="s">
        <v>54</v>
      </c>
      <c r="AL10" s="1" t="s">
        <v>55</v>
      </c>
      <c r="AM10" s="1" t="s">
        <v>56</v>
      </c>
      <c r="AN10" s="1" t="s">
        <v>57</v>
      </c>
      <c r="AO10" s="1" t="s">
        <v>58</v>
      </c>
      <c r="AP10" s="1" t="s">
        <v>59</v>
      </c>
      <c r="AQ10" s="1" t="s">
        <v>60</v>
      </c>
      <c r="AR10" s="1" t="s">
        <v>61</v>
      </c>
    </row>
    <row r="11" spans="1:44">
      <c r="B11" s="8">
        <f>C7</f>
        <v>4.2973999999999997</v>
      </c>
      <c r="C11" s="8">
        <f>$C$7*C9</f>
        <v>4.3034163599999999</v>
      </c>
      <c r="D11" s="8">
        <f>C11-B11+C11</f>
        <v>4.3094327200000002</v>
      </c>
      <c r="E11" s="8">
        <f>D11-C11+D11</f>
        <v>4.3154490800000005</v>
      </c>
      <c r="F11" s="8">
        <f t="shared" ref="F11:N11" si="0">E11-D11+E11</f>
        <v>4.3214654400000008</v>
      </c>
      <c r="G11" s="8">
        <f t="shared" si="0"/>
        <v>4.327481800000001</v>
      </c>
      <c r="H11" s="8">
        <f t="shared" si="0"/>
        <v>4.3334981600000013</v>
      </c>
      <c r="I11" s="8">
        <f t="shared" si="0"/>
        <v>4.3395145200000016</v>
      </c>
      <c r="J11" s="8">
        <f t="shared" si="0"/>
        <v>4.3455308800000019</v>
      </c>
      <c r="K11" s="8">
        <f t="shared" si="0"/>
        <v>4.3515472400000021</v>
      </c>
      <c r="L11" s="8">
        <f t="shared" si="0"/>
        <v>4.3575636000000024</v>
      </c>
      <c r="M11" s="8">
        <f t="shared" si="0"/>
        <v>4.3635799600000027</v>
      </c>
      <c r="N11" s="8">
        <f t="shared" si="0"/>
        <v>4.369596320000003</v>
      </c>
      <c r="Q11" s="8">
        <f>R7</f>
        <v>4.369596320000003</v>
      </c>
      <c r="R11" s="8">
        <f>$R$7*R9</f>
        <v>4.3878029713333362</v>
      </c>
      <c r="S11" s="8">
        <f t="shared" ref="S11:AC11" si="1">R11-Q11+R11</f>
        <v>4.4060096226666694</v>
      </c>
      <c r="T11" s="8">
        <f t="shared" si="1"/>
        <v>4.4242162740000026</v>
      </c>
      <c r="U11" s="8">
        <f t="shared" si="1"/>
        <v>4.4424229253333358</v>
      </c>
      <c r="V11" s="8">
        <f t="shared" si="1"/>
        <v>4.460629576666669</v>
      </c>
      <c r="W11" s="8">
        <f t="shared" si="1"/>
        <v>4.4788362280000023</v>
      </c>
      <c r="X11" s="8">
        <f t="shared" si="1"/>
        <v>4.4970428793333355</v>
      </c>
      <c r="Y11" s="8">
        <f t="shared" si="1"/>
        <v>4.5152495306666687</v>
      </c>
      <c r="Z11" s="8">
        <f t="shared" si="1"/>
        <v>4.5334561820000019</v>
      </c>
      <c r="AA11" s="8">
        <f t="shared" si="1"/>
        <v>4.5516628333333351</v>
      </c>
      <c r="AB11" s="8">
        <f t="shared" si="1"/>
        <v>4.5698694846666683</v>
      </c>
      <c r="AC11" s="8">
        <f t="shared" si="1"/>
        <v>4.5880761360000015</v>
      </c>
      <c r="AF11" s="8">
        <f>AG7</f>
        <v>4.5880761360000015</v>
      </c>
      <c r="AG11" s="8">
        <f>$AG$7*AG9</f>
        <v>4.6071931199000016</v>
      </c>
      <c r="AH11" s="8">
        <f t="shared" ref="AH11:AR11" si="2">AG11-AF11+AG11</f>
        <v>4.6263101038000016</v>
      </c>
      <c r="AI11" s="8">
        <f t="shared" si="2"/>
        <v>4.6454270877000017</v>
      </c>
      <c r="AJ11" s="8">
        <f t="shared" si="2"/>
        <v>4.6645440716000017</v>
      </c>
      <c r="AK11" s="8">
        <f t="shared" si="2"/>
        <v>4.6836610555000018</v>
      </c>
      <c r="AL11" s="8">
        <f t="shared" si="2"/>
        <v>4.7027780394000018</v>
      </c>
      <c r="AM11" s="8">
        <f t="shared" si="2"/>
        <v>4.7218950233000019</v>
      </c>
      <c r="AN11" s="8">
        <f t="shared" si="2"/>
        <v>4.7410120072000019</v>
      </c>
      <c r="AO11" s="8">
        <f t="shared" si="2"/>
        <v>4.760128991100002</v>
      </c>
      <c r="AP11" s="8">
        <f t="shared" si="2"/>
        <v>4.779245975000002</v>
      </c>
      <c r="AQ11" s="8">
        <f t="shared" si="2"/>
        <v>4.7983629589000021</v>
      </c>
      <c r="AR11" s="8">
        <f t="shared" si="2"/>
        <v>4.8174799428000021</v>
      </c>
    </row>
    <row r="14" spans="1:44">
      <c r="A14" s="2" t="s">
        <v>1282</v>
      </c>
      <c r="P14" s="2" t="s">
        <v>64</v>
      </c>
      <c r="AE14" s="2" t="s">
        <v>64</v>
      </c>
    </row>
    <row r="15" spans="1:44" ht="6.6" customHeight="1" thickBot="1">
      <c r="A15" s="2"/>
      <c r="P15" s="2"/>
      <c r="AE15" s="2"/>
    </row>
    <row r="16" spans="1:44" ht="13.5" thickBot="1">
      <c r="B16" t="s">
        <v>63</v>
      </c>
      <c r="C16" s="128">
        <v>1.06</v>
      </c>
      <c r="Q16" t="s">
        <v>63</v>
      </c>
      <c r="R16" s="15">
        <v>1.04</v>
      </c>
      <c r="AF16" t="s">
        <v>63</v>
      </c>
      <c r="AG16" s="15">
        <v>1.06</v>
      </c>
    </row>
    <row r="17" spans="1:44">
      <c r="B17" t="s">
        <v>62</v>
      </c>
      <c r="C17">
        <f>C16/12/100</f>
        <v>8.833333333333333E-4</v>
      </c>
      <c r="Q17" t="s">
        <v>62</v>
      </c>
      <c r="R17">
        <f>R16/12/100</f>
        <v>8.6666666666666674E-4</v>
      </c>
      <c r="AF17" t="s">
        <v>62</v>
      </c>
      <c r="AG17">
        <f>AG16/12/100</f>
        <v>8.833333333333333E-4</v>
      </c>
    </row>
    <row r="18" spans="1:44"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55</v>
      </c>
      <c r="I18" s="1" t="s">
        <v>56</v>
      </c>
      <c r="J18" s="1" t="s">
        <v>57</v>
      </c>
      <c r="K18" s="1" t="s">
        <v>58</v>
      </c>
      <c r="L18" s="1" t="s">
        <v>59</v>
      </c>
      <c r="M18" s="1" t="s">
        <v>60</v>
      </c>
      <c r="N18" s="1" t="s">
        <v>61</v>
      </c>
      <c r="R18" s="1" t="s">
        <v>50</v>
      </c>
      <c r="S18" s="1" t="s">
        <v>51</v>
      </c>
      <c r="T18" s="1" t="s">
        <v>52</v>
      </c>
      <c r="U18" s="1" t="s">
        <v>53</v>
      </c>
      <c r="V18" s="1" t="s">
        <v>54</v>
      </c>
      <c r="W18" s="1" t="s">
        <v>55</v>
      </c>
      <c r="X18" s="1" t="s">
        <v>56</v>
      </c>
      <c r="Y18" s="1" t="s">
        <v>57</v>
      </c>
      <c r="Z18" s="1" t="s">
        <v>58</v>
      </c>
      <c r="AA18" s="1" t="s">
        <v>59</v>
      </c>
      <c r="AB18" s="1" t="s">
        <v>60</v>
      </c>
      <c r="AC18" s="1" t="s">
        <v>61</v>
      </c>
      <c r="AG18" s="1" t="s">
        <v>50</v>
      </c>
      <c r="AH18" s="1" t="s">
        <v>51</v>
      </c>
      <c r="AI18" s="1" t="s">
        <v>52</v>
      </c>
      <c r="AJ18" s="1" t="s">
        <v>53</v>
      </c>
      <c r="AK18" s="1" t="s">
        <v>54</v>
      </c>
      <c r="AL18" s="1" t="s">
        <v>55</v>
      </c>
      <c r="AM18" s="1" t="s">
        <v>56</v>
      </c>
      <c r="AN18" s="1" t="s">
        <v>57</v>
      </c>
      <c r="AO18" s="1" t="s">
        <v>58</v>
      </c>
      <c r="AP18" s="1" t="s">
        <v>59</v>
      </c>
      <c r="AQ18" s="1" t="s">
        <v>60</v>
      </c>
      <c r="AR18" s="1" t="s">
        <v>61</v>
      </c>
    </row>
    <row r="19" spans="1:44">
      <c r="C19">
        <f>1+C17</f>
        <v>1.0008833333333333</v>
      </c>
      <c r="D19">
        <f>C19+$C$17</f>
        <v>1.0017666666666667</v>
      </c>
      <c r="E19">
        <f t="shared" ref="E19:N19" si="3">D19+$C$17</f>
        <v>1.00265</v>
      </c>
      <c r="F19">
        <f t="shared" si="3"/>
        <v>1.0035333333333334</v>
      </c>
      <c r="G19">
        <f t="shared" si="3"/>
        <v>1.0044166666666667</v>
      </c>
      <c r="H19">
        <f t="shared" si="3"/>
        <v>1.0053000000000001</v>
      </c>
      <c r="I19">
        <f t="shared" si="3"/>
        <v>1.0061833333333334</v>
      </c>
      <c r="J19">
        <f t="shared" si="3"/>
        <v>1.0070666666666668</v>
      </c>
      <c r="K19">
        <f t="shared" si="3"/>
        <v>1.0079500000000001</v>
      </c>
      <c r="L19">
        <f t="shared" si="3"/>
        <v>1.0088333333333335</v>
      </c>
      <c r="M19">
        <f t="shared" si="3"/>
        <v>1.0097166666666668</v>
      </c>
      <c r="N19">
        <f t="shared" si="3"/>
        <v>1.0106000000000002</v>
      </c>
      <c r="R19">
        <f>1+R17</f>
        <v>1.0008666666666666</v>
      </c>
      <c r="S19">
        <f>R19+$C$17</f>
        <v>1.0017499999999999</v>
      </c>
      <c r="T19">
        <f t="shared" ref="T19:AC19" si="4">S19+$C$17</f>
        <v>1.0026333333333333</v>
      </c>
      <c r="U19">
        <f t="shared" si="4"/>
        <v>1.0035166666666666</v>
      </c>
      <c r="V19">
        <f t="shared" si="4"/>
        <v>1.0044</v>
      </c>
      <c r="W19">
        <f t="shared" si="4"/>
        <v>1.0052833333333333</v>
      </c>
      <c r="X19">
        <f t="shared" si="4"/>
        <v>1.0061666666666667</v>
      </c>
      <c r="Y19">
        <f t="shared" si="4"/>
        <v>1.00705</v>
      </c>
      <c r="Z19">
        <f t="shared" si="4"/>
        <v>1.0079333333333333</v>
      </c>
      <c r="AA19">
        <f t="shared" si="4"/>
        <v>1.0088166666666667</v>
      </c>
      <c r="AB19">
        <f t="shared" si="4"/>
        <v>1.0097</v>
      </c>
      <c r="AC19">
        <f t="shared" si="4"/>
        <v>1.0105833333333334</v>
      </c>
      <c r="AG19">
        <f>1+AG17</f>
        <v>1.0008833333333333</v>
      </c>
      <c r="AH19">
        <f>AG19+$C$17</f>
        <v>1.0017666666666667</v>
      </c>
      <c r="AI19">
        <f t="shared" ref="AI19:AR19" si="5">AH19+$C$17</f>
        <v>1.00265</v>
      </c>
      <c r="AJ19">
        <f t="shared" si="5"/>
        <v>1.0035333333333334</v>
      </c>
      <c r="AK19">
        <f t="shared" si="5"/>
        <v>1.0044166666666667</v>
      </c>
      <c r="AL19">
        <f t="shared" si="5"/>
        <v>1.0053000000000001</v>
      </c>
      <c r="AM19">
        <f t="shared" si="5"/>
        <v>1.0061833333333334</v>
      </c>
      <c r="AN19">
        <f t="shared" si="5"/>
        <v>1.0070666666666668</v>
      </c>
      <c r="AO19">
        <f t="shared" si="5"/>
        <v>1.0079500000000001</v>
      </c>
      <c r="AP19">
        <f t="shared" si="5"/>
        <v>1.0088333333333335</v>
      </c>
      <c r="AQ19">
        <f t="shared" si="5"/>
        <v>1.0097166666666668</v>
      </c>
      <c r="AR19">
        <f t="shared" si="5"/>
        <v>1.0106000000000002</v>
      </c>
    </row>
    <row r="22" spans="1:44">
      <c r="A22" s="2" t="s">
        <v>1283</v>
      </c>
      <c r="P22" t="s">
        <v>69</v>
      </c>
      <c r="AE22" t="s">
        <v>69</v>
      </c>
    </row>
    <row r="23" spans="1:44" ht="4.1500000000000004" customHeight="1">
      <c r="A23" s="2"/>
    </row>
    <row r="24" spans="1:44" ht="13.5" thickBot="1">
      <c r="C24" s="1" t="s">
        <v>50</v>
      </c>
      <c r="D24" s="1" t="s">
        <v>51</v>
      </c>
      <c r="E24" s="1" t="s">
        <v>52</v>
      </c>
      <c r="F24" s="1" t="s">
        <v>53</v>
      </c>
      <c r="G24" s="1" t="s">
        <v>54</v>
      </c>
      <c r="H24" s="1" t="s">
        <v>55</v>
      </c>
      <c r="I24" s="1" t="s">
        <v>56</v>
      </c>
      <c r="J24" s="1" t="s">
        <v>57</v>
      </c>
      <c r="K24" s="1" t="s">
        <v>58</v>
      </c>
      <c r="L24" s="1" t="s">
        <v>59</v>
      </c>
      <c r="M24" s="1" t="s">
        <v>60</v>
      </c>
      <c r="N24" s="1" t="s">
        <v>61</v>
      </c>
      <c r="R24" s="1" t="s">
        <v>50</v>
      </c>
      <c r="S24" s="1" t="s">
        <v>51</v>
      </c>
      <c r="T24" s="1" t="s">
        <v>52</v>
      </c>
      <c r="U24" s="1" t="s">
        <v>53</v>
      </c>
      <c r="V24" s="1" t="s">
        <v>54</v>
      </c>
      <c r="W24" s="1" t="s">
        <v>55</v>
      </c>
      <c r="X24" s="1" t="s">
        <v>56</v>
      </c>
      <c r="Y24" s="1" t="s">
        <v>57</v>
      </c>
      <c r="Z24" s="1" t="s">
        <v>58</v>
      </c>
      <c r="AA24" s="1" t="s">
        <v>59</v>
      </c>
      <c r="AB24" s="1" t="s">
        <v>60</v>
      </c>
      <c r="AC24" s="1" t="s">
        <v>61</v>
      </c>
      <c r="AG24" s="1" t="s">
        <v>50</v>
      </c>
      <c r="AH24" s="1" t="s">
        <v>51</v>
      </c>
      <c r="AI24" s="1" t="s">
        <v>52</v>
      </c>
      <c r="AJ24" s="1" t="s">
        <v>53</v>
      </c>
      <c r="AK24" s="1" t="s">
        <v>54</v>
      </c>
      <c r="AL24" s="1" t="s">
        <v>55</v>
      </c>
      <c r="AM24" s="1" t="s">
        <v>56</v>
      </c>
      <c r="AN24" s="1" t="s">
        <v>57</v>
      </c>
      <c r="AO24" s="1" t="s">
        <v>58</v>
      </c>
      <c r="AP24" s="1" t="s">
        <v>59</v>
      </c>
      <c r="AQ24" s="1" t="s">
        <v>60</v>
      </c>
      <c r="AR24" s="1" t="s">
        <v>61</v>
      </c>
    </row>
    <row r="25" spans="1:44" ht="13.5" thickBot="1">
      <c r="C25" s="129">
        <v>2.5000000000000001E-2</v>
      </c>
      <c r="D25" s="38">
        <f>C25</f>
        <v>2.5000000000000001E-2</v>
      </c>
      <c r="E25" s="38">
        <f t="shared" ref="E25:N25" si="6">D25</f>
        <v>2.5000000000000001E-2</v>
      </c>
      <c r="F25" s="38">
        <f t="shared" si="6"/>
        <v>2.5000000000000001E-2</v>
      </c>
      <c r="G25" s="38">
        <f t="shared" si="6"/>
        <v>2.5000000000000001E-2</v>
      </c>
      <c r="H25" s="38">
        <f t="shared" si="6"/>
        <v>2.5000000000000001E-2</v>
      </c>
      <c r="I25" s="38">
        <f t="shared" si="6"/>
        <v>2.5000000000000001E-2</v>
      </c>
      <c r="J25" s="38">
        <f t="shared" si="6"/>
        <v>2.5000000000000001E-2</v>
      </c>
      <c r="K25" s="38">
        <f t="shared" si="6"/>
        <v>2.5000000000000001E-2</v>
      </c>
      <c r="L25" s="38">
        <f t="shared" si="6"/>
        <v>2.5000000000000001E-2</v>
      </c>
      <c r="M25" s="38">
        <f t="shared" si="6"/>
        <v>2.5000000000000001E-2</v>
      </c>
      <c r="N25" s="38">
        <f t="shared" si="6"/>
        <v>2.5000000000000001E-2</v>
      </c>
      <c r="R25" s="37">
        <f>N25</f>
        <v>2.5000000000000001E-2</v>
      </c>
      <c r="S25" s="38">
        <f>R25</f>
        <v>2.5000000000000001E-2</v>
      </c>
      <c r="T25" s="38">
        <f t="shared" ref="T25:AC25" si="7">S25</f>
        <v>2.5000000000000001E-2</v>
      </c>
      <c r="U25" s="38">
        <f t="shared" si="7"/>
        <v>2.5000000000000001E-2</v>
      </c>
      <c r="V25" s="38">
        <f t="shared" si="7"/>
        <v>2.5000000000000001E-2</v>
      </c>
      <c r="W25" s="38">
        <f t="shared" si="7"/>
        <v>2.5000000000000001E-2</v>
      </c>
      <c r="X25" s="38">
        <f t="shared" si="7"/>
        <v>2.5000000000000001E-2</v>
      </c>
      <c r="Y25" s="38">
        <f t="shared" si="7"/>
        <v>2.5000000000000001E-2</v>
      </c>
      <c r="Z25" s="38">
        <f t="shared" si="7"/>
        <v>2.5000000000000001E-2</v>
      </c>
      <c r="AA25" s="38">
        <f t="shared" si="7"/>
        <v>2.5000000000000001E-2</v>
      </c>
      <c r="AB25" s="38">
        <f t="shared" si="7"/>
        <v>2.5000000000000001E-2</v>
      </c>
      <c r="AC25" s="38">
        <f t="shared" si="7"/>
        <v>2.5000000000000001E-2</v>
      </c>
      <c r="AG25" s="37">
        <f>AC25</f>
        <v>2.5000000000000001E-2</v>
      </c>
      <c r="AH25" s="38">
        <f>AG25</f>
        <v>2.5000000000000001E-2</v>
      </c>
      <c r="AI25" s="38">
        <f t="shared" ref="AI25:AR25" si="8">AH25</f>
        <v>2.5000000000000001E-2</v>
      </c>
      <c r="AJ25" s="38">
        <f t="shared" si="8"/>
        <v>2.5000000000000001E-2</v>
      </c>
      <c r="AK25" s="38">
        <f t="shared" si="8"/>
        <v>2.5000000000000001E-2</v>
      </c>
      <c r="AL25" s="38">
        <f t="shared" si="8"/>
        <v>2.5000000000000001E-2</v>
      </c>
      <c r="AM25" s="38">
        <f t="shared" si="8"/>
        <v>2.5000000000000001E-2</v>
      </c>
      <c r="AN25" s="38">
        <f t="shared" si="8"/>
        <v>2.5000000000000001E-2</v>
      </c>
      <c r="AO25" s="38">
        <f t="shared" si="8"/>
        <v>2.5000000000000001E-2</v>
      </c>
      <c r="AP25" s="38">
        <f t="shared" si="8"/>
        <v>2.5000000000000001E-2</v>
      </c>
      <c r="AQ25" s="38">
        <f t="shared" si="8"/>
        <v>2.5000000000000001E-2</v>
      </c>
      <c r="AR25" s="38">
        <f t="shared" si="8"/>
        <v>2.5000000000000001E-2</v>
      </c>
    </row>
    <row r="26" spans="1:44">
      <c r="C26" s="215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R26" s="37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G26" s="37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</row>
    <row r="27" spans="1:44" s="9" customFormat="1">
      <c r="C27" s="215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</row>
    <row r="28" spans="1:44" s="9" customFormat="1">
      <c r="A28" s="68" t="s">
        <v>1284</v>
      </c>
      <c r="C28" s="215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</row>
    <row r="29" spans="1:44" s="9" customFormat="1" ht="5.45" customHeight="1">
      <c r="A29" s="68"/>
      <c r="C29" s="215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</row>
    <row r="30" spans="1:44" s="9" customFormat="1">
      <c r="C30" s="1" t="s">
        <v>50</v>
      </c>
      <c r="D30" s="1" t="s">
        <v>51</v>
      </c>
      <c r="E30" s="1" t="s">
        <v>52</v>
      </c>
      <c r="F30" s="1" t="s">
        <v>53</v>
      </c>
      <c r="G30" s="1" t="s">
        <v>54</v>
      </c>
      <c r="H30" s="1" t="s">
        <v>55</v>
      </c>
      <c r="I30" s="1" t="s">
        <v>56</v>
      </c>
      <c r="J30" s="1" t="s">
        <v>57</v>
      </c>
      <c r="K30" s="1" t="s">
        <v>58</v>
      </c>
      <c r="L30" s="1" t="s">
        <v>59</v>
      </c>
      <c r="M30" s="1" t="s">
        <v>60</v>
      </c>
      <c r="N30" s="1" t="s">
        <v>61</v>
      </c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</row>
    <row r="31" spans="1:44">
      <c r="C31" s="216">
        <v>0.28000000000000003</v>
      </c>
      <c r="D31" s="216">
        <v>0.28000000000000003</v>
      </c>
      <c r="E31" s="216">
        <v>0.28000000000000003</v>
      </c>
      <c r="F31" s="216">
        <v>0.28000000000000003</v>
      </c>
      <c r="G31" s="216">
        <v>0.28000000000000003</v>
      </c>
      <c r="H31" s="216">
        <v>0.28000000000000003</v>
      </c>
      <c r="I31" s="216">
        <v>0.28000000000000003</v>
      </c>
      <c r="J31" s="216">
        <v>0.28000000000000003</v>
      </c>
      <c r="K31" s="216">
        <v>0.28000000000000003</v>
      </c>
      <c r="L31" s="216">
        <v>0.28000000000000003</v>
      </c>
      <c r="M31" s="216">
        <v>0.28000000000000003</v>
      </c>
      <c r="N31" s="216">
        <v>0.28000000000000003</v>
      </c>
    </row>
    <row r="33" spans="1:1">
      <c r="A33" s="68" t="s">
        <v>1323</v>
      </c>
    </row>
    <row r="35" spans="1:1">
      <c r="A35" t="s">
        <v>1325</v>
      </c>
    </row>
    <row r="36" spans="1:1">
      <c r="A36" t="s">
        <v>1322</v>
      </c>
    </row>
    <row r="37" spans="1:1">
      <c r="A37" t="s">
        <v>1324</v>
      </c>
    </row>
    <row r="38" spans="1:1">
      <c r="A38" t="s">
        <v>1327</v>
      </c>
    </row>
    <row r="39" spans="1:1">
      <c r="A39" t="s">
        <v>1326</v>
      </c>
    </row>
  </sheetData>
  <pageMargins left="0.39370078740157483" right="0.39370078740157483" top="0.39370078740157483" bottom="0.39370078740157483" header="0.27559055118110237" footer="0.51181102362204722"/>
  <pageSetup scale="70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S282"/>
  <sheetViews>
    <sheetView view="pageBreakPreview" topLeftCell="B189" zoomScale="75" zoomScaleNormal="75" workbookViewId="0">
      <selection activeCell="C171" sqref="C171"/>
    </sheetView>
  </sheetViews>
  <sheetFormatPr defaultRowHeight="12.75"/>
  <cols>
    <col min="1" max="1" width="7.85546875" hidden="1" customWidth="1"/>
    <col min="2" max="2" width="39.28515625" style="108" customWidth="1"/>
    <col min="3" max="6" width="10.42578125" customWidth="1"/>
    <col min="7" max="7" width="11" customWidth="1"/>
    <col min="8" max="14" width="10.42578125" customWidth="1"/>
    <col min="15" max="15" width="11.5703125" customWidth="1"/>
    <col min="16" max="16" width="46" customWidth="1"/>
    <col min="17" max="17" width="29.28515625" customWidth="1"/>
    <col min="18" max="23" width="10.5703125" bestFit="1" customWidth="1"/>
    <col min="24" max="24" width="10.85546875" bestFit="1" customWidth="1"/>
    <col min="25" max="26" width="10.5703125" bestFit="1" customWidth="1"/>
    <col min="27" max="29" width="10.85546875" bestFit="1" customWidth="1"/>
    <col min="30" max="30" width="11.7109375" bestFit="1" customWidth="1"/>
    <col min="32" max="32" width="31.140625" customWidth="1"/>
    <col min="33" max="38" width="10.5703125" bestFit="1" customWidth="1"/>
    <col min="39" max="44" width="10.85546875" bestFit="1" customWidth="1"/>
    <col min="45" max="45" width="12.140625" bestFit="1" customWidth="1"/>
  </cols>
  <sheetData>
    <row r="1" spans="1:45">
      <c r="B1" s="2" t="s">
        <v>502</v>
      </c>
      <c r="Q1" s="2" t="s">
        <v>606</v>
      </c>
      <c r="AF1" s="2" t="s">
        <v>607</v>
      </c>
    </row>
    <row r="2" spans="1:45" ht="20.25">
      <c r="B2" s="111" t="s">
        <v>16</v>
      </c>
      <c r="Q2" s="2" t="s">
        <v>121</v>
      </c>
      <c r="AF2" s="2" t="s">
        <v>121</v>
      </c>
    </row>
    <row r="3" spans="1:45" ht="15" customHeight="1">
      <c r="B3" s="2"/>
      <c r="Q3" s="2" t="s">
        <v>91</v>
      </c>
      <c r="AF3" s="2" t="s">
        <v>91</v>
      </c>
    </row>
    <row r="4" spans="1:45" ht="13.9" customHeight="1"/>
    <row r="5" spans="1:45" ht="18">
      <c r="B5" s="219" t="s">
        <v>14</v>
      </c>
      <c r="Q5" s="42" t="s">
        <v>92</v>
      </c>
      <c r="AF5" s="42" t="s">
        <v>92</v>
      </c>
    </row>
    <row r="6" spans="1:45">
      <c r="B6" s="107"/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55</v>
      </c>
      <c r="I6" s="1" t="s">
        <v>56</v>
      </c>
      <c r="J6" s="1" t="s">
        <v>57</v>
      </c>
      <c r="K6" s="1" t="s">
        <v>58</v>
      </c>
      <c r="L6" s="1" t="s">
        <v>59</v>
      </c>
      <c r="M6" s="1" t="s">
        <v>60</v>
      </c>
      <c r="N6" s="1" t="s">
        <v>61</v>
      </c>
      <c r="O6" s="12" t="s">
        <v>97</v>
      </c>
      <c r="R6" s="1" t="s">
        <v>50</v>
      </c>
      <c r="S6" s="1" t="s">
        <v>51</v>
      </c>
      <c r="T6" s="1" t="s">
        <v>52</v>
      </c>
      <c r="U6" s="1" t="s">
        <v>53</v>
      </c>
      <c r="V6" s="1" t="s">
        <v>54</v>
      </c>
      <c r="W6" s="1" t="s">
        <v>55</v>
      </c>
      <c r="X6" s="1" t="s">
        <v>56</v>
      </c>
      <c r="Y6" s="1" t="s">
        <v>57</v>
      </c>
      <c r="Z6" s="1" t="s">
        <v>58</v>
      </c>
      <c r="AA6" s="1" t="s">
        <v>59</v>
      </c>
      <c r="AB6" s="1" t="s">
        <v>60</v>
      </c>
      <c r="AC6" s="1" t="s">
        <v>61</v>
      </c>
      <c r="AD6" s="12" t="s">
        <v>97</v>
      </c>
      <c r="AG6" s="1" t="s">
        <v>50</v>
      </c>
      <c r="AH6" s="1" t="s">
        <v>51</v>
      </c>
      <c r="AI6" s="1" t="s">
        <v>52</v>
      </c>
      <c r="AJ6" s="1" t="s">
        <v>53</v>
      </c>
      <c r="AK6" s="1" t="s">
        <v>54</v>
      </c>
      <c r="AL6" s="1" t="s">
        <v>55</v>
      </c>
      <c r="AM6" s="1" t="s">
        <v>56</v>
      </c>
      <c r="AN6" s="1" t="s">
        <v>57</v>
      </c>
      <c r="AO6" s="1" t="s">
        <v>58</v>
      </c>
      <c r="AP6" s="1" t="s">
        <v>59</v>
      </c>
      <c r="AQ6" s="1" t="s">
        <v>60</v>
      </c>
      <c r="AR6" s="1" t="s">
        <v>61</v>
      </c>
      <c r="AS6" s="12" t="s">
        <v>97</v>
      </c>
    </row>
    <row r="7" spans="1:45">
      <c r="A7" s="56" t="s">
        <v>441</v>
      </c>
      <c r="B7" s="107" t="s">
        <v>93</v>
      </c>
      <c r="C7" s="3">
        <f>Sales!B13</f>
        <v>3169471.4617001018</v>
      </c>
      <c r="D7" s="3">
        <f>Sales!C13</f>
        <v>2995574.2622275664</v>
      </c>
      <c r="E7" s="3">
        <f>Sales!D13</f>
        <v>3125641.6402515704</v>
      </c>
      <c r="F7" s="3">
        <f>Sales!E13</f>
        <v>2968173.162304251</v>
      </c>
      <c r="G7" s="3">
        <f>Sales!F13</f>
        <v>2967853.3462193483</v>
      </c>
      <c r="H7" s="3">
        <f>Sales!G13</f>
        <v>2930787.0159181813</v>
      </c>
      <c r="I7" s="3">
        <f>Sales!H13</f>
        <v>3718911.8451972203</v>
      </c>
      <c r="J7" s="3">
        <f>Sales!I13</f>
        <v>3644121.7214025017</v>
      </c>
      <c r="K7" s="3">
        <f>Sales!J13</f>
        <v>3599775.3734217365</v>
      </c>
      <c r="L7" s="3">
        <f>Sales!K13</f>
        <v>3859768.3418397666</v>
      </c>
      <c r="M7" s="3">
        <f>Sales!L13</f>
        <v>3649402.2102973736</v>
      </c>
      <c r="N7" s="3">
        <f>Sales!M13</f>
        <v>3683523.1568561285</v>
      </c>
      <c r="O7" s="3">
        <f>SUM(C7:N7)</f>
        <v>40313003.537635744</v>
      </c>
      <c r="Q7" t="s">
        <v>93</v>
      </c>
      <c r="R7" s="3">
        <f>Sales!Q13</f>
        <v>3333074.1936260099</v>
      </c>
      <c r="S7" s="3">
        <f>Sales!R13</f>
        <v>3137840.2033763798</v>
      </c>
      <c r="T7" s="3">
        <f>Sales!S13</f>
        <v>3265626.1962989788</v>
      </c>
      <c r="U7" s="3">
        <f>Sales!T13</f>
        <v>3029846.5690221759</v>
      </c>
      <c r="V7" s="3">
        <f>Sales!U13</f>
        <v>3050767.0884960331</v>
      </c>
      <c r="W7" s="3">
        <f>Sales!V13</f>
        <v>2535986.4072410241</v>
      </c>
      <c r="X7" s="3">
        <f>Sales!W13</f>
        <v>3767179.9209035151</v>
      </c>
      <c r="Y7" s="3">
        <f>Sales!X13</f>
        <v>3642886.8421006333</v>
      </c>
      <c r="Z7" s="3">
        <f>Sales!Y13</f>
        <v>3299244.2917730319</v>
      </c>
      <c r="AA7" s="3">
        <f>Sales!Z13</f>
        <v>3963988.0998068941</v>
      </c>
      <c r="AB7" s="3">
        <f>Sales!AA13</f>
        <v>3723614.4451744375</v>
      </c>
      <c r="AC7" s="3">
        <f>Sales!AB13</f>
        <v>3840069.4759670966</v>
      </c>
      <c r="AD7" s="3">
        <f>SUM(R7:AC7)</f>
        <v>40590123.73378621</v>
      </c>
      <c r="AF7" t="s">
        <v>93</v>
      </c>
      <c r="AG7" s="3">
        <f>Sales!AF13</f>
        <v>3241308.9571332736</v>
      </c>
      <c r="AH7" s="3">
        <f>Sales!AG13</f>
        <v>3123235.6007666602</v>
      </c>
      <c r="AI7" s="3">
        <f>Sales!AH13</f>
        <v>3287605.6336116465</v>
      </c>
      <c r="AJ7" s="3">
        <f>Sales!AI13</f>
        <v>3031449.1098042824</v>
      </c>
      <c r="AK7" s="3">
        <f>Sales!AJ13</f>
        <v>2892413.6317136758</v>
      </c>
      <c r="AL7" s="3">
        <f>Sales!AK13</f>
        <v>2943729.5174026331</v>
      </c>
      <c r="AM7" s="3">
        <f>Sales!AL13</f>
        <v>3732404.4887608979</v>
      </c>
      <c r="AN7" s="3">
        <f>Sales!AM13</f>
        <v>3717354.4706610553</v>
      </c>
      <c r="AO7" s="3">
        <f>Sales!AN13</f>
        <v>3662811.6008851198</v>
      </c>
      <c r="AP7" s="3">
        <f>Sales!AO13</f>
        <v>3812051.5192789724</v>
      </c>
      <c r="AQ7" s="3">
        <f>Sales!AP13</f>
        <v>3715244.9570520669</v>
      </c>
      <c r="AR7" s="3">
        <f>Sales!AQ13</f>
        <v>3866103.296873006</v>
      </c>
      <c r="AS7" s="3">
        <f>SUM(AG7:AR7)</f>
        <v>41025712.783943288</v>
      </c>
    </row>
    <row r="8" spans="1:45">
      <c r="A8" s="56" t="s">
        <v>442</v>
      </c>
      <c r="B8" s="107" t="s">
        <v>94</v>
      </c>
      <c r="C8" s="3">
        <f>Sales!B60</f>
        <v>463559.72</v>
      </c>
      <c r="D8" s="3">
        <f>Sales!C60</f>
        <v>425830.9</v>
      </c>
      <c r="E8" s="3">
        <f>Sales!D60</f>
        <v>411365.95</v>
      </c>
      <c r="F8" s="3">
        <f>Sales!E60</f>
        <v>364421.74000000005</v>
      </c>
      <c r="G8" s="3">
        <f>Sales!F60</f>
        <v>265723.53999999998</v>
      </c>
      <c r="H8" s="3">
        <f>Sales!G60</f>
        <v>257799.66249999998</v>
      </c>
      <c r="I8" s="3">
        <f>Sales!H60</f>
        <v>267500.79550000001</v>
      </c>
      <c r="J8" s="3">
        <f>Sales!I60</f>
        <v>268010.761</v>
      </c>
      <c r="K8" s="3">
        <f>Sales!J60</f>
        <v>297196.98</v>
      </c>
      <c r="L8" s="3">
        <f>Sales!K60</f>
        <v>368122.05</v>
      </c>
      <c r="M8" s="3">
        <f>Sales!L60</f>
        <v>402812.73499999999</v>
      </c>
      <c r="N8" s="3">
        <f>Sales!M60</f>
        <v>442883.49</v>
      </c>
      <c r="O8" s="3">
        <f>SUM(C8:N8)</f>
        <v>4235228.324</v>
      </c>
      <c r="Q8" t="s">
        <v>94</v>
      </c>
      <c r="R8" s="3">
        <f>Sales!Q60</f>
        <v>471124.04</v>
      </c>
      <c r="S8" s="3">
        <f>Sales!R60</f>
        <v>432736.29</v>
      </c>
      <c r="T8" s="3">
        <f>Sales!S60</f>
        <v>418021.85</v>
      </c>
      <c r="U8" s="3">
        <f>Sales!T60</f>
        <v>368402.33999999997</v>
      </c>
      <c r="V8" s="3">
        <f>Sales!U60</f>
        <v>268976.07</v>
      </c>
      <c r="W8" s="3">
        <f>Sales!V60</f>
        <v>260993.7885</v>
      </c>
      <c r="X8" s="3">
        <f>Sales!W60</f>
        <v>271559.0735</v>
      </c>
      <c r="Y8" s="3">
        <f>Sales!X60</f>
        <v>272067.45500000002</v>
      </c>
      <c r="Z8" s="3">
        <f>Sales!Y60</f>
        <v>301379.75</v>
      </c>
      <c r="AA8" s="3">
        <f>Sales!Z60</f>
        <v>372663.43999999994</v>
      </c>
      <c r="AB8" s="3">
        <f>Sales!AA60</f>
        <v>407532.375</v>
      </c>
      <c r="AC8" s="3">
        <f>Sales!AB60</f>
        <v>447809.27</v>
      </c>
      <c r="AD8" s="3">
        <f>SUM(R8:AC8)</f>
        <v>4293265.7420000006</v>
      </c>
      <c r="AF8" t="s">
        <v>94</v>
      </c>
      <c r="AG8" s="3">
        <f>Sales!AF60</f>
        <v>471124.04</v>
      </c>
      <c r="AH8" s="3">
        <f>Sales!AG60</f>
        <v>432736.29</v>
      </c>
      <c r="AI8" s="3">
        <f>Sales!AH60</f>
        <v>418021.85</v>
      </c>
      <c r="AJ8" s="3">
        <f>Sales!AI60</f>
        <v>368402.33999999997</v>
      </c>
      <c r="AK8" s="3">
        <f>Sales!AJ60</f>
        <v>268976.07</v>
      </c>
      <c r="AL8" s="3">
        <f>Sales!AK60</f>
        <v>260993.7885</v>
      </c>
      <c r="AM8" s="3">
        <f>Sales!AL60</f>
        <v>271559.0735</v>
      </c>
      <c r="AN8" s="3">
        <f>Sales!AM60</f>
        <v>272067.45500000002</v>
      </c>
      <c r="AO8" s="3">
        <f>Sales!AN60</f>
        <v>301379.75</v>
      </c>
      <c r="AP8" s="3">
        <f>Sales!AO60</f>
        <v>372663.43999999994</v>
      </c>
      <c r="AQ8" s="3">
        <f>Sales!AP60</f>
        <v>407532.375</v>
      </c>
      <c r="AR8" s="3">
        <f>Sales!AQ60</f>
        <v>447809.27</v>
      </c>
      <c r="AS8" s="3">
        <f>SUM(AG8:AR8)</f>
        <v>4293265.7420000006</v>
      </c>
    </row>
    <row r="9" spans="1:45">
      <c r="A9" s="56" t="s">
        <v>443</v>
      </c>
      <c r="B9" s="107" t="s">
        <v>95</v>
      </c>
      <c r="C9" s="3">
        <f>Sales!B74</f>
        <v>67419.579173603372</v>
      </c>
      <c r="D9" s="3">
        <f>Sales!C74</f>
        <v>61443.121915127609</v>
      </c>
      <c r="E9" s="3">
        <f>Sales!D74</f>
        <v>57315.425443509113</v>
      </c>
      <c r="F9" s="3">
        <f>Sales!E74</f>
        <v>41230.393363969597</v>
      </c>
      <c r="G9" s="3">
        <f>Sales!F74</f>
        <v>18613.753615324273</v>
      </c>
      <c r="H9" s="3">
        <f>Sales!G74</f>
        <v>18251.019633523967</v>
      </c>
      <c r="I9" s="3">
        <f>Sales!H74</f>
        <v>17863.076536036104</v>
      </c>
      <c r="J9" s="3">
        <f>Sales!I74</f>
        <v>17860.160735988135</v>
      </c>
      <c r="K9" s="3">
        <f>Sales!J74</f>
        <v>21613.048144227425</v>
      </c>
      <c r="L9" s="3">
        <f>Sales!K74</f>
        <v>38987.428663118058</v>
      </c>
      <c r="M9" s="3">
        <f>Sales!L74</f>
        <v>45451.258328723256</v>
      </c>
      <c r="N9" s="3">
        <f>Sales!M74</f>
        <v>51897.288306028197</v>
      </c>
      <c r="O9" s="3">
        <f>SUM(C9:N9)</f>
        <v>457945.55385917902</v>
      </c>
      <c r="Q9" t="s">
        <v>95</v>
      </c>
      <c r="R9" s="3">
        <f>Sales!Q74</f>
        <v>66122.959917645494</v>
      </c>
      <c r="S9" s="3">
        <f>Sales!R74</f>
        <v>60096.328123710031</v>
      </c>
      <c r="T9" s="3">
        <f>Sales!S74</f>
        <v>55906.353731747942</v>
      </c>
      <c r="U9" s="3">
        <f>Sales!T74</f>
        <v>40107.77969471032</v>
      </c>
      <c r="V9" s="3">
        <f>Sales!U74</f>
        <v>18058.141483291194</v>
      </c>
      <c r="W9" s="3">
        <f>Sales!V74</f>
        <v>17658.7747293715</v>
      </c>
      <c r="X9" s="3">
        <f>Sales!W74</f>
        <v>17237.345090979325</v>
      </c>
      <c r="Y9" s="3">
        <f>Sales!X74</f>
        <v>17188.835184606232</v>
      </c>
      <c r="Z9" s="3">
        <f>Sales!Y74</f>
        <v>33292.524277452023</v>
      </c>
      <c r="AA9" s="3">
        <f>Sales!Z74</f>
        <v>54340.975827259012</v>
      </c>
      <c r="AB9" s="3">
        <f>Sales!AA74</f>
        <v>57941.479704931604</v>
      </c>
      <c r="AC9" s="3">
        <f>Sales!AB74</f>
        <v>63236.640238700675</v>
      </c>
      <c r="AD9" s="3">
        <f>SUM(R9:AC9)</f>
        <v>501188.13800440537</v>
      </c>
      <c r="AF9" t="s">
        <v>95</v>
      </c>
      <c r="AG9" s="3">
        <f>Sales!AF74</f>
        <v>62974.247540614779</v>
      </c>
      <c r="AH9" s="3">
        <f>Sales!AG74</f>
        <v>57234.598213057194</v>
      </c>
      <c r="AI9" s="3">
        <f>Sales!AH74</f>
        <v>53244.146411188529</v>
      </c>
      <c r="AJ9" s="3">
        <f>Sales!AI74</f>
        <v>38197.885423533648</v>
      </c>
      <c r="AK9" s="3">
        <f>Sales!AJ74</f>
        <v>17198.229984086855</v>
      </c>
      <c r="AL9" s="3">
        <f>Sales!AK74</f>
        <v>16817.880694639527</v>
      </c>
      <c r="AM9" s="3">
        <f>Sales!AL74</f>
        <v>16416.519134266026</v>
      </c>
      <c r="AN9" s="3">
        <f>Sales!AM74</f>
        <v>16370.319223434506</v>
      </c>
      <c r="AO9" s="3">
        <f>Sales!AN74</f>
        <v>31707.165978525736</v>
      </c>
      <c r="AP9" s="3">
        <f>Sales!AO74</f>
        <v>51753.310311675246</v>
      </c>
      <c r="AQ9" s="3">
        <f>Sales!AP74</f>
        <v>55182.361623744378</v>
      </c>
      <c r="AR9" s="3">
        <f>Sales!AQ74</f>
        <v>60225.371655905401</v>
      </c>
      <c r="AS9" s="3">
        <f>SUM(AG9:AR9)</f>
        <v>477322.03619467182</v>
      </c>
    </row>
    <row r="10" spans="1:45" hidden="1">
      <c r="A10" s="20"/>
      <c r="B10" s="107" t="s">
        <v>96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Q10" t="s">
        <v>96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F10" t="s">
        <v>96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5">
      <c r="B11" s="10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5" ht="13.5" thickBot="1">
      <c r="B12" s="136" t="s">
        <v>97</v>
      </c>
      <c r="C12" s="10">
        <f>SUM(C7:C10)</f>
        <v>3700450.7608737056</v>
      </c>
      <c r="D12" s="10">
        <f t="shared" ref="D12:O12" si="0">SUM(D7:D10)</f>
        <v>3482848.284142694</v>
      </c>
      <c r="E12" s="10">
        <f t="shared" si="0"/>
        <v>3594323.0156950797</v>
      </c>
      <c r="F12" s="10">
        <f t="shared" si="0"/>
        <v>3373825.2956682206</v>
      </c>
      <c r="G12" s="10">
        <f t="shared" si="0"/>
        <v>3252190.6398346727</v>
      </c>
      <c r="H12" s="10">
        <f t="shared" si="0"/>
        <v>3206837.6980517055</v>
      </c>
      <c r="I12" s="10">
        <f t="shared" si="0"/>
        <v>4004275.7172332564</v>
      </c>
      <c r="J12" s="10">
        <f t="shared" si="0"/>
        <v>3929992.6431384897</v>
      </c>
      <c r="K12" s="10">
        <f t="shared" si="0"/>
        <v>3918585.4015659639</v>
      </c>
      <c r="L12" s="10">
        <f t="shared" si="0"/>
        <v>4266877.8205028847</v>
      </c>
      <c r="M12" s="10">
        <f t="shared" si="0"/>
        <v>4097666.2036260967</v>
      </c>
      <c r="N12" s="10">
        <f t="shared" si="0"/>
        <v>4178303.9351621564</v>
      </c>
      <c r="O12" s="10">
        <f t="shared" si="0"/>
        <v>45006177.415494926</v>
      </c>
      <c r="Q12" t="s">
        <v>97</v>
      </c>
      <c r="R12" s="10">
        <f>SUM(R7:R10)</f>
        <v>3870321.1935436553</v>
      </c>
      <c r="S12" s="10">
        <f t="shared" ref="S12:AD12" si="1">SUM(S7:S10)</f>
        <v>3630672.82150009</v>
      </c>
      <c r="T12" s="10">
        <f t="shared" si="1"/>
        <v>3739554.4000307266</v>
      </c>
      <c r="U12" s="10">
        <f t="shared" si="1"/>
        <v>3438356.6887168861</v>
      </c>
      <c r="V12" s="10">
        <f t="shared" si="1"/>
        <v>3337801.299979324</v>
      </c>
      <c r="W12" s="10">
        <f t="shared" si="1"/>
        <v>2814638.9704703954</v>
      </c>
      <c r="X12" s="10">
        <f t="shared" si="1"/>
        <v>4055976.3394944943</v>
      </c>
      <c r="Y12" s="10">
        <f t="shared" si="1"/>
        <v>3932143.1322852396</v>
      </c>
      <c r="Z12" s="10">
        <f t="shared" si="1"/>
        <v>3633916.5660504838</v>
      </c>
      <c r="AA12" s="10">
        <f t="shared" si="1"/>
        <v>4390992.515634153</v>
      </c>
      <c r="AB12" s="10">
        <f t="shared" si="1"/>
        <v>4189088.2998793689</v>
      </c>
      <c r="AC12" s="10">
        <f t="shared" si="1"/>
        <v>4351115.3862057971</v>
      </c>
      <c r="AD12" s="10">
        <f t="shared" si="1"/>
        <v>45384577.613790616</v>
      </c>
      <c r="AF12" t="s">
        <v>97</v>
      </c>
      <c r="AG12" s="10">
        <f>SUM(AG7:AG10)</f>
        <v>3775407.2446738882</v>
      </c>
      <c r="AH12" s="10">
        <f t="shared" ref="AH12:AS12" si="2">SUM(AH7:AH10)</f>
        <v>3613206.4889797173</v>
      </c>
      <c r="AI12" s="10">
        <f t="shared" si="2"/>
        <v>3758871.630022835</v>
      </c>
      <c r="AJ12" s="10">
        <f t="shared" si="2"/>
        <v>3438049.3352278159</v>
      </c>
      <c r="AK12" s="10">
        <f t="shared" si="2"/>
        <v>3178587.9316977626</v>
      </c>
      <c r="AL12" s="10">
        <f t="shared" si="2"/>
        <v>3221541.1865972723</v>
      </c>
      <c r="AM12" s="10">
        <f t="shared" si="2"/>
        <v>4020380.0813951637</v>
      </c>
      <c r="AN12" s="10">
        <f t="shared" si="2"/>
        <v>4005792.24488449</v>
      </c>
      <c r="AO12" s="10">
        <f t="shared" si="2"/>
        <v>3995898.5168636455</v>
      </c>
      <c r="AP12" s="10">
        <f t="shared" si="2"/>
        <v>4236468.2695906479</v>
      </c>
      <c r="AQ12" s="10">
        <f t="shared" si="2"/>
        <v>4177959.6936758114</v>
      </c>
      <c r="AR12" s="10">
        <f t="shared" si="2"/>
        <v>4374137.9385289121</v>
      </c>
      <c r="AS12" s="10">
        <f t="shared" si="2"/>
        <v>45796300.562137961</v>
      </c>
    </row>
    <row r="13" spans="1:45" ht="13.5" thickTop="1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Q15" s="42" t="s">
        <v>98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F15" s="42" t="s">
        <v>98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5" hidden="1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5" ht="18">
      <c r="B17" s="219" t="s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Q17" s="42" t="s">
        <v>99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F17" s="42" t="s">
        <v>99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5">
      <c r="B18" s="107"/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55</v>
      </c>
      <c r="I18" s="1" t="s">
        <v>56</v>
      </c>
      <c r="J18" s="1" t="s">
        <v>57</v>
      </c>
      <c r="K18" s="1" t="s">
        <v>58</v>
      </c>
      <c r="L18" s="1" t="s">
        <v>59</v>
      </c>
      <c r="M18" s="1" t="s">
        <v>60</v>
      </c>
      <c r="N18" s="1" t="s">
        <v>61</v>
      </c>
      <c r="O18" s="12" t="s">
        <v>97</v>
      </c>
      <c r="R18" s="1" t="s">
        <v>50</v>
      </c>
      <c r="S18" s="1" t="s">
        <v>51</v>
      </c>
      <c r="T18" s="1" t="s">
        <v>52</v>
      </c>
      <c r="U18" s="1" t="s">
        <v>53</v>
      </c>
      <c r="V18" s="1" t="s">
        <v>54</v>
      </c>
      <c r="W18" s="1" t="s">
        <v>55</v>
      </c>
      <c r="X18" s="1" t="s">
        <v>56</v>
      </c>
      <c r="Y18" s="1" t="s">
        <v>57</v>
      </c>
      <c r="Z18" s="1" t="s">
        <v>58</v>
      </c>
      <c r="AA18" s="1" t="s">
        <v>59</v>
      </c>
      <c r="AB18" s="1" t="s">
        <v>60</v>
      </c>
      <c r="AC18" s="1" t="s">
        <v>61</v>
      </c>
      <c r="AD18" s="12" t="s">
        <v>97</v>
      </c>
      <c r="AG18" s="1" t="s">
        <v>50</v>
      </c>
      <c r="AH18" s="1" t="s">
        <v>51</v>
      </c>
      <c r="AI18" s="1" t="s">
        <v>52</v>
      </c>
      <c r="AJ18" s="1" t="s">
        <v>53</v>
      </c>
      <c r="AK18" s="1" t="s">
        <v>54</v>
      </c>
      <c r="AL18" s="1" t="s">
        <v>55</v>
      </c>
      <c r="AM18" s="1" t="s">
        <v>56</v>
      </c>
      <c r="AN18" s="1" t="s">
        <v>57</v>
      </c>
      <c r="AO18" s="1" t="s">
        <v>58</v>
      </c>
      <c r="AP18" s="1" t="s">
        <v>59</v>
      </c>
      <c r="AQ18" s="1" t="s">
        <v>60</v>
      </c>
      <c r="AR18" s="1" t="s">
        <v>61</v>
      </c>
      <c r="AS18" s="12" t="s">
        <v>97</v>
      </c>
    </row>
    <row r="19" spans="1:45">
      <c r="A19" s="54" t="s">
        <v>229</v>
      </c>
      <c r="B19" s="55" t="str">
        <f>'O&amp;M Budget'!A5</f>
        <v>MATERIALS AND ENERGY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Q19" s="55" t="s">
        <v>614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F19" s="55" t="s">
        <v>614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56" t="s">
        <v>230</v>
      </c>
      <c r="B20" s="57" t="s">
        <v>564</v>
      </c>
      <c r="C20" s="3">
        <f>Gas!B12</f>
        <v>2494851.4658201998</v>
      </c>
      <c r="D20" s="3">
        <f>Gas!C12</f>
        <v>2259088.0037952997</v>
      </c>
      <c r="E20" s="3">
        <f>Gas!D12</f>
        <v>2450879.3781634998</v>
      </c>
      <c r="F20" s="3">
        <f>Gas!E12</f>
        <v>2235546.3389332998</v>
      </c>
      <c r="G20" s="3">
        <f>Gas!F12</f>
        <v>2247544.2591056996</v>
      </c>
      <c r="H20" s="3">
        <f>Gas!G12</f>
        <v>2198769.6915352</v>
      </c>
      <c r="I20" s="3">
        <f>Gas!H12</f>
        <v>2424694.2520500002</v>
      </c>
      <c r="J20" s="3">
        <f>Gas!I12</f>
        <v>2348705.2364483001</v>
      </c>
      <c r="K20" s="3">
        <f>Gas!J12</f>
        <v>2298678.7569140499</v>
      </c>
      <c r="L20" s="3">
        <f>Gas!K12</f>
        <v>2610856.13838665</v>
      </c>
      <c r="M20" s="3">
        <f>Gas!L12</f>
        <v>2378626.8692485997</v>
      </c>
      <c r="N20" s="3">
        <f>Gas!M12</f>
        <v>2429143.2367828502</v>
      </c>
      <c r="O20" s="3">
        <f>SUM(C20:N20)</f>
        <v>28377383.627183646</v>
      </c>
      <c r="Q20" s="57" t="s">
        <v>564</v>
      </c>
      <c r="R20" s="3">
        <f>Gas!Q12</f>
        <v>2565994.2939999998</v>
      </c>
      <c r="S20" s="3">
        <f>Gas!R12</f>
        <v>2323803.6634999998</v>
      </c>
      <c r="T20" s="3">
        <f>Gas!S12</f>
        <v>2519564.1660000002</v>
      </c>
      <c r="U20" s="3">
        <f>Gas!T12</f>
        <v>2320478.656</v>
      </c>
      <c r="V20" s="3">
        <f>Gas!U12</f>
        <v>2333590.9919999996</v>
      </c>
      <c r="W20" s="3">
        <f>Gas!V12</f>
        <v>2283532.5559999999</v>
      </c>
      <c r="X20" s="3">
        <f>Gas!W12</f>
        <v>2444994.0239999997</v>
      </c>
      <c r="Y20" s="3">
        <f>Gas!X12</f>
        <v>2368146.1359999999</v>
      </c>
      <c r="Z20" s="3">
        <f>Gas!Y12</f>
        <v>2316734.656</v>
      </c>
      <c r="AA20" s="3">
        <f>Gas!Z12</f>
        <v>2650822.4279999998</v>
      </c>
      <c r="AB20" s="3">
        <f>Gas!AA12</f>
        <v>2460003.7239999999</v>
      </c>
      <c r="AC20" s="3">
        <f>Gas!AB12</f>
        <v>2511905.0919999997</v>
      </c>
      <c r="AD20" s="3">
        <f>SUM(R20:AC20)</f>
        <v>29099570.387499996</v>
      </c>
      <c r="AF20" s="57" t="s">
        <v>564</v>
      </c>
      <c r="AG20" s="3">
        <f>Gas!AF12</f>
        <v>2565994.2939999998</v>
      </c>
      <c r="AH20" s="3">
        <f>Gas!AG12</f>
        <v>2323803.6634999998</v>
      </c>
      <c r="AI20" s="3">
        <f>Gas!AH12</f>
        <v>2519564.1660000002</v>
      </c>
      <c r="AJ20" s="3">
        <f>Gas!AI12</f>
        <v>2320478.656</v>
      </c>
      <c r="AK20" s="3">
        <f>Gas!AJ12</f>
        <v>2333590.9919999996</v>
      </c>
      <c r="AL20" s="3">
        <f>Gas!AK12</f>
        <v>2283532.5559999999</v>
      </c>
      <c r="AM20" s="3">
        <f>Gas!AL12</f>
        <v>2444994.0239999997</v>
      </c>
      <c r="AN20" s="3">
        <f>Gas!AM12</f>
        <v>2368146.1359999999</v>
      </c>
      <c r="AO20" s="3">
        <f>Gas!AN12</f>
        <v>2316734.656</v>
      </c>
      <c r="AP20" s="3">
        <f>Gas!AO12</f>
        <v>2650822.4279999998</v>
      </c>
      <c r="AQ20" s="3">
        <f>Gas!AP12</f>
        <v>2460003.7239999999</v>
      </c>
      <c r="AR20" s="3">
        <f>Gas!AQ12</f>
        <v>2511905.0919999997</v>
      </c>
      <c r="AS20" s="3">
        <f>SUM(AG20:AR20)</f>
        <v>29099570.387499996</v>
      </c>
    </row>
    <row r="21" spans="1:45">
      <c r="A21" s="63" t="s">
        <v>231</v>
      </c>
      <c r="B21" s="57" t="s">
        <v>566</v>
      </c>
      <c r="C21" s="3">
        <f>Materials!C7/Factors!C11</f>
        <v>6822.021748320909</v>
      </c>
      <c r="D21" s="3">
        <f>Materials!D7/Factors!D11</f>
        <v>6812.4975855290759</v>
      </c>
      <c r="E21" s="3">
        <f>Materials!E7/Factors!E11</f>
        <v>6802.9999788573559</v>
      </c>
      <c r="F21" s="3">
        <f>Materials!F7/Factors!F11</f>
        <v>6793.5288173911658</v>
      </c>
      <c r="G21" s="3">
        <f>Materials!G7/Factors!G11</f>
        <v>6784.0839908327271</v>
      </c>
      <c r="H21" s="3">
        <f>Materials!H7/Factors!H11</f>
        <v>6774.6653894967831</v>
      </c>
      <c r="I21" s="3">
        <f>Materials!I7/Factors!I11</f>
        <v>6765.2729043063528</v>
      </c>
      <c r="J21" s="3">
        <f>Materials!J7/Factors!J11</f>
        <v>6755.9064267885233</v>
      </c>
      <c r="K21" s="3">
        <f>Materials!K7/Factors!K11</f>
        <v>6746.565849070269</v>
      </c>
      <c r="L21" s="3">
        <f>Materials!L7/Factors!L11</f>
        <v>6737.2510638743133</v>
      </c>
      <c r="M21" s="3">
        <f>Materials!M7/Factors!M11</f>
        <v>6727.9619645150224</v>
      </c>
      <c r="N21" s="3">
        <f>Materials!N7/Factors!N11</f>
        <v>6718.6984448943285</v>
      </c>
      <c r="O21" s="3">
        <f t="shared" ref="O21:O31" si="3">SUM(C21:N21)</f>
        <v>81241.454163876828</v>
      </c>
      <c r="Q21" s="57" t="s">
        <v>566</v>
      </c>
      <c r="R21" s="3">
        <f>Materials!R7/Factors!R11</f>
        <v>8305.295437850129</v>
      </c>
      <c r="S21" s="3">
        <f>Materials!S7/Factors!S11</f>
        <v>8270.9760352143858</v>
      </c>
      <c r="T21" s="3">
        <f>Materials!T7/Factors!T11</f>
        <v>8236.9390967978652</v>
      </c>
      <c r="U21" s="3">
        <f>Materials!U7/Factors!U11</f>
        <v>8203.1811496798418</v>
      </c>
      <c r="V21" s="3">
        <f>Materials!V7/Factors!V11</f>
        <v>8169.6987776403321</v>
      </c>
      <c r="W21" s="3">
        <f>Materials!W7/Factors!W11</f>
        <v>8136.4886200076489</v>
      </c>
      <c r="X21" s="3">
        <f>Materials!X7/Factors!X11</f>
        <v>8103.5473705339336</v>
      </c>
      <c r="Y21" s="3">
        <f>Materials!Y7/Factors!Y11</f>
        <v>8070.8717762979095</v>
      </c>
      <c r="Z21" s="3">
        <f>Materials!Z7/Factors!Z11</f>
        <v>8038.4586366340627</v>
      </c>
      <c r="AA21" s="3">
        <f>Materials!AA7/Factors!AA11</f>
        <v>8006.3048020875267</v>
      </c>
      <c r="AB21" s="3">
        <f>Materials!AB7/Factors!AB11</f>
        <v>7974.4071733939518</v>
      </c>
      <c r="AC21" s="3">
        <f>Materials!AC7/Factors!AC11</f>
        <v>7942.7627004836586</v>
      </c>
      <c r="AD21" s="3">
        <f t="shared" ref="AD21:AD31" si="4">SUM(R21:AC21)</f>
        <v>97458.931576621238</v>
      </c>
      <c r="AF21" s="57" t="s">
        <v>566</v>
      </c>
      <c r="AG21" s="3">
        <f>Materials!AG7/Factors!AG11</f>
        <v>7909.8051789048877</v>
      </c>
      <c r="AH21" s="3">
        <f>Materials!AH7/Factors!AH11</f>
        <v>7877.1200335375124</v>
      </c>
      <c r="AI21" s="3">
        <f>Materials!AI7/Factors!AI11</f>
        <v>7844.7039017122552</v>
      </c>
      <c r="AJ21" s="3">
        <f>Materials!AJ7/Factors!AJ11</f>
        <v>7812.5534758855656</v>
      </c>
      <c r="AK21" s="3">
        <f>Materials!AK7/Factors!AK11</f>
        <v>7780.6655025146038</v>
      </c>
      <c r="AL21" s="3">
        <f>Materials!AL7/Factors!AL11</f>
        <v>7749.0367809596664</v>
      </c>
      <c r="AM21" s="3">
        <f>Materials!AM7/Factors!AM11</f>
        <v>7717.6641624132708</v>
      </c>
      <c r="AN21" s="3">
        <f>Materials!AN7/Factors!AN11</f>
        <v>7686.5445488551522</v>
      </c>
      <c r="AO21" s="3">
        <f>Materials!AO7/Factors!AO11</f>
        <v>7655.6748920324408</v>
      </c>
      <c r="AP21" s="3">
        <f>Materials!AP7/Factors!AP11</f>
        <v>7625.0521924643108</v>
      </c>
      <c r="AQ21" s="3">
        <f>Materials!AQ7/Factors!AQ11</f>
        <v>7594.673498470429</v>
      </c>
      <c r="AR21" s="3">
        <f>Materials!AR7/Factors!AR11</f>
        <v>7564.5359052225303</v>
      </c>
      <c r="AS21" s="3">
        <f t="shared" ref="AS21:AS31" si="5">SUM(AG21:AR21)</f>
        <v>92818.030072972615</v>
      </c>
    </row>
    <row r="22" spans="1:45">
      <c r="A22" s="63" t="s">
        <v>233</v>
      </c>
      <c r="B22" s="57" t="s">
        <v>567</v>
      </c>
      <c r="C22" s="3">
        <f>Materials!C13/Factors!C11</f>
        <v>8468.4926930937254</v>
      </c>
      <c r="D22" s="3">
        <f>Materials!D13/Factors!D11</f>
        <v>8456.6699071241092</v>
      </c>
      <c r="E22" s="3">
        <f>Materials!E13/Factors!E11</f>
        <v>8444.8800865007524</v>
      </c>
      <c r="F22" s="3">
        <f>Materials!F13/Factors!F11</f>
        <v>8433.1230935402291</v>
      </c>
      <c r="G22" s="3">
        <f>Materials!G13/Factors!G11</f>
        <v>8421.398791324782</v>
      </c>
      <c r="H22" s="3">
        <f>Materials!H13/Factors!H11</f>
        <v>8409.7070436969989</v>
      </c>
      <c r="I22" s="3">
        <f>Materials!I13/Factors!I11</f>
        <v>8398.0477152545591</v>
      </c>
      <c r="J22" s="3">
        <f>Materials!J13/Factors!J11</f>
        <v>8386.4206713449894</v>
      </c>
      <c r="K22" s="3">
        <f>Materials!K13/Factors!K11</f>
        <v>8374.8257780604908</v>
      </c>
      <c r="L22" s="3">
        <f>Materials!L13/Factors!L11</f>
        <v>8363.2629022327928</v>
      </c>
      <c r="M22" s="3">
        <f>Materials!M13/Factors!M11</f>
        <v>8351.7319114280599</v>
      </c>
      <c r="N22" s="3">
        <f>Materials!N13/Factors!N11</f>
        <v>8340.2326739418277</v>
      </c>
      <c r="O22" s="3">
        <f t="shared" si="3"/>
        <v>100848.79326754331</v>
      </c>
      <c r="Q22" s="57" t="s">
        <v>567</v>
      </c>
      <c r="R22" s="3">
        <f>Materials!R13/Factors!R11</f>
        <v>8305.6258993611573</v>
      </c>
      <c r="S22" s="3">
        <f>Materials!S13/Factors!S11</f>
        <v>8271.3051311819781</v>
      </c>
      <c r="T22" s="3">
        <f>Materials!T13/Factors!T11</f>
        <v>8237.2668384610661</v>
      </c>
      <c r="U22" s="3">
        <f>Materials!U13/Factors!U11</f>
        <v>8203.5075481395033</v>
      </c>
      <c r="V22" s="3">
        <f>Materials!V13/Factors!V11</f>
        <v>8170.0238438613842</v>
      </c>
      <c r="W22" s="3">
        <f>Materials!W13/Factors!W11</f>
        <v>8136.8123648212968</v>
      </c>
      <c r="X22" s="3">
        <f>Materials!X13/Factors!X11</f>
        <v>8103.8698046398349</v>
      </c>
      <c r="Y22" s="3">
        <f>Materials!Y13/Factors!Y11</f>
        <v>8071.1929102662871</v>
      </c>
      <c r="Z22" s="3">
        <f>Materials!Z13/Factors!Z11</f>
        <v>8038.7784809077884</v>
      </c>
      <c r="AA22" s="3">
        <f>Materials!AA13/Factors!AA11</f>
        <v>8006.6233669841577</v>
      </c>
      <c r="AB22" s="3">
        <f>Materials!AB13/Factors!AB11</f>
        <v>7974.7244691077267</v>
      </c>
      <c r="AC22" s="3">
        <f>Materials!AC13/Factors!AC11</f>
        <v>7943.0787370874577</v>
      </c>
      <c r="AD22" s="3">
        <f t="shared" si="4"/>
        <v>97462.809394819633</v>
      </c>
      <c r="AF22" s="57" t="s">
        <v>567</v>
      </c>
      <c r="AG22" s="3">
        <f>Materials!AG13/Factors!AG11</f>
        <v>7910.1199041534855</v>
      </c>
      <c r="AH22" s="3">
        <f>Materials!AH13/Factors!AH11</f>
        <v>7877.4334582685533</v>
      </c>
      <c r="AI22" s="3">
        <f>Materials!AI13/Factors!AI11</f>
        <v>7845.0160366295877</v>
      </c>
      <c r="AJ22" s="3">
        <f>Materials!AJ13/Factors!AJ11</f>
        <v>7812.8643315614336</v>
      </c>
      <c r="AK22" s="3">
        <f>Materials!AK13/Factors!AK11</f>
        <v>7780.9750893917953</v>
      </c>
      <c r="AL22" s="3">
        <f>Materials!AL13/Factors!AL11</f>
        <v>7749.3451093536169</v>
      </c>
      <c r="AM22" s="3">
        <f>Materials!AM13/Factors!AM11</f>
        <v>7717.9712425141288</v>
      </c>
      <c r="AN22" s="3">
        <f>Materials!AN13/Factors!AN11</f>
        <v>7686.8503907297973</v>
      </c>
      <c r="AO22" s="3">
        <f>Materials!AO13/Factors!AO11</f>
        <v>7655.9795056264647</v>
      </c>
      <c r="AP22" s="3">
        <f>Materials!AP13/Factors!AP11</f>
        <v>7625.3555876039591</v>
      </c>
      <c r="AQ22" s="3">
        <f>Materials!AQ13/Factors!AQ11</f>
        <v>7594.9756848645011</v>
      </c>
      <c r="AR22" s="3">
        <f>Materials!AR13/Factors!AR11</f>
        <v>7564.8368924642455</v>
      </c>
      <c r="AS22" s="3">
        <f t="shared" si="5"/>
        <v>92821.723233161567</v>
      </c>
    </row>
    <row r="23" spans="1:45">
      <c r="A23" s="63" t="s">
        <v>234</v>
      </c>
      <c r="B23" s="57" t="s">
        <v>568</v>
      </c>
      <c r="C23" s="3">
        <f>Materials!C8/Factors!C$11</f>
        <v>29046.689779280387</v>
      </c>
      <c r="D23" s="3">
        <f>Materials!D8/Factors!D$11</f>
        <v>26685.646921992087</v>
      </c>
      <c r="E23" s="3">
        <f>Materials!E8/Factors!E$11</f>
        <v>26648.443271632808</v>
      </c>
      <c r="F23" s="3">
        <f>Materials!F8/Factors!F$11</f>
        <v>27768.35813362422</v>
      </c>
      <c r="G23" s="3">
        <f>Materials!G8/Factors!G$11</f>
        <v>27729.752670479163</v>
      </c>
      <c r="H23" s="3">
        <f>Materials!H8/Factors!H$11</f>
        <v>29998.858935710257</v>
      </c>
      <c r="I23" s="3">
        <f>Materials!I8/Factors!I$11</f>
        <v>29957.268123163223</v>
      </c>
      <c r="J23" s="3">
        <f>Materials!J8/Factors!J$11</f>
        <v>29915.792475049664</v>
      </c>
      <c r="K23" s="3">
        <f>Materials!K8/Factors!K$11</f>
        <v>29874.431513697629</v>
      </c>
      <c r="L23" s="3">
        <f>Materials!L8/Factors!L$11</f>
        <v>28685.754580839606</v>
      </c>
      <c r="M23" s="3">
        <f>Materials!M8/Factors!M$11</f>
        <v>28646.203609386805</v>
      </c>
      <c r="N23" s="3">
        <f>Materials!N8/Factors!N$11</f>
        <v>27462.491088879331</v>
      </c>
      <c r="O23" s="3">
        <f t="shared" si="3"/>
        <v>342419.69110373524</v>
      </c>
      <c r="Q23" s="57" t="s">
        <v>568</v>
      </c>
      <c r="R23" s="3">
        <f>Materials!R8/Factors!R$11</f>
        <v>29627.5837473387</v>
      </c>
      <c r="S23" s="3">
        <f>Materials!S8/Factors!S$11</f>
        <v>27144.743258098912</v>
      </c>
      <c r="T23" s="3">
        <f>Materials!T8/Factors!T$11</f>
        <v>27033.036495719905</v>
      </c>
      <c r="U23" s="3">
        <f>Materials!U8/Factors!U$11</f>
        <v>28092.777769607714</v>
      </c>
      <c r="V23" s="3">
        <f>Materials!V8/Factors!V$11</f>
        <v>27978.11337054809</v>
      </c>
      <c r="W23" s="3">
        <f>Materials!W8/Factors!W$11</f>
        <v>30186.412969239725</v>
      </c>
      <c r="X23" s="3">
        <f>Materials!X8/Factors!X$11</f>
        <v>30064.200770983694</v>
      </c>
      <c r="Y23" s="3">
        <f>Materials!Y8/Factors!Y$11</f>
        <v>29942.974154971664</v>
      </c>
      <c r="Z23" s="3">
        <f>Materials!Z8/Factors!Z$11</f>
        <v>29822.721246718767</v>
      </c>
      <c r="AA23" s="3">
        <f>Materials!AA8/Factors!AA$11</f>
        <v>28560.990732434511</v>
      </c>
      <c r="AB23" s="3">
        <f>Materials!AB8/Factors!AB$11</f>
        <v>28447.201924735571</v>
      </c>
      <c r="AC23" s="3">
        <f>Materials!AC8/Factors!AC$11</f>
        <v>27200.943554699537</v>
      </c>
      <c r="AD23" s="3">
        <f t="shared" si="4"/>
        <v>344101.69999509683</v>
      </c>
      <c r="AF23" s="57" t="s">
        <v>568</v>
      </c>
      <c r="AG23" s="3">
        <f>Materials!AG8/Factors!AG$11</f>
        <v>29909.751211599076</v>
      </c>
      <c r="AH23" s="3">
        <f>Materials!AH8/Factors!AH$11</f>
        <v>27403.264622461764</v>
      </c>
      <c r="AI23" s="3">
        <f>Materials!AI8/Factors!AI$11</f>
        <v>27290.493986155339</v>
      </c>
      <c r="AJ23" s="3">
        <f>Materials!AJ8/Factors!AJ$11</f>
        <v>28360.328034080172</v>
      </c>
      <c r="AK23" s="3">
        <f>Materials!AK8/Factors!AK$11</f>
        <v>28244.571593124743</v>
      </c>
      <c r="AL23" s="3">
        <f>Materials!AL8/Factors!AL$11</f>
        <v>30473.902616565822</v>
      </c>
      <c r="AM23" s="3">
        <f>Materials!AM8/Factors!AM$11</f>
        <v>30350.526492612113</v>
      </c>
      <c r="AN23" s="3">
        <f>Materials!AN8/Factors!AN$11</f>
        <v>30228.145337399968</v>
      </c>
      <c r="AO23" s="3">
        <f>Materials!AO8/Factors!AO$11</f>
        <v>30106.747163354183</v>
      </c>
      <c r="AP23" s="3">
        <f>Materials!AP8/Factors!AP$11</f>
        <v>28833.000167981507</v>
      </c>
      <c r="AQ23" s="3">
        <f>Materials!AQ8/Factors!AQ$11</f>
        <v>28718.127657352099</v>
      </c>
      <c r="AR23" s="3">
        <f>Materials!AR8/Factors!AR$11</f>
        <v>27460.000159982388</v>
      </c>
      <c r="AS23" s="3">
        <f t="shared" si="5"/>
        <v>347378.85904266906</v>
      </c>
    </row>
    <row r="24" spans="1:45">
      <c r="A24" s="63" t="s">
        <v>236</v>
      </c>
      <c r="B24" s="57" t="s">
        <v>569</v>
      </c>
      <c r="C24" s="3">
        <f>Materials!C9/Factors!C$11</f>
        <v>4647.470364684862</v>
      </c>
      <c r="D24" s="3">
        <f>Materials!D9/Factors!D$11</f>
        <v>4640.9820733899287</v>
      </c>
      <c r="E24" s="3">
        <f>Materials!E9/Factors!E$11</f>
        <v>4634.5118733274448</v>
      </c>
      <c r="F24" s="3">
        <f>Materials!F9/Factors!F$11</f>
        <v>4628.0596889373701</v>
      </c>
      <c r="G24" s="3">
        <f>Materials!G9/Factors!G$11</f>
        <v>4621.6254450798606</v>
      </c>
      <c r="H24" s="3">
        <f>Materials!H9/Factors!H$11</f>
        <v>4615.2090670323478</v>
      </c>
      <c r="I24" s="3">
        <f>Materials!I9/Factors!I$11</f>
        <v>4608.8104804866498</v>
      </c>
      <c r="J24" s="3">
        <f>Materials!J9/Factors!J$11</f>
        <v>4602.429611546102</v>
      </c>
      <c r="K24" s="3">
        <f>Materials!K9/Factors!K$11</f>
        <v>4596.0663867227122</v>
      </c>
      <c r="L24" s="3">
        <f>Materials!L9/Factors!L$11</f>
        <v>4589.7207329343373</v>
      </c>
      <c r="M24" s="3">
        <f>Materials!M9/Factors!M$11</f>
        <v>4583.3925775018888</v>
      </c>
      <c r="N24" s="3">
        <f>Materials!N9/Factors!N$11</f>
        <v>4577.0818481465549</v>
      </c>
      <c r="O24" s="3">
        <f t="shared" si="3"/>
        <v>55345.360149790053</v>
      </c>
      <c r="P24" s="3"/>
      <c r="Q24" s="57" t="s">
        <v>569</v>
      </c>
      <c r="R24" s="3">
        <f>Materials!R9/Factors!R$11</f>
        <v>4740.4133995741913</v>
      </c>
      <c r="S24" s="3">
        <f>Materials!S9/Factors!S$11</f>
        <v>4720.8249144519841</v>
      </c>
      <c r="T24" s="3">
        <f>Materials!T9/Factors!T$11</f>
        <v>4701.3976514295482</v>
      </c>
      <c r="U24" s="3">
        <f>Materials!U9/Factors!U$11</f>
        <v>4682.1296282679523</v>
      </c>
      <c r="V24" s="3">
        <f>Materials!V9/Factors!V$11</f>
        <v>4663.018895091348</v>
      </c>
      <c r="W24" s="3">
        <f>Materials!W9/Factors!W$11</f>
        <v>4644.0635337291887</v>
      </c>
      <c r="X24" s="3">
        <f>Materials!X9/Factors!X$11</f>
        <v>4625.2616570744149</v>
      </c>
      <c r="Y24" s="3">
        <f>Materials!Y9/Factors!Y$11</f>
        <v>4606.6114084571791</v>
      </c>
      <c r="Z24" s="3">
        <f>Materials!Z9/Factors!Z$11</f>
        <v>4588.1109610336562</v>
      </c>
      <c r="AA24" s="3">
        <f>Materials!AA9/Factors!AA$11</f>
        <v>4569.7585171895216</v>
      </c>
      <c r="AB24" s="3">
        <f>Materials!AB9/Factors!AB$11</f>
        <v>4551.5523079576915</v>
      </c>
      <c r="AC24" s="3">
        <f>Materials!AC9/Factors!AC$11</f>
        <v>4533.4905924499226</v>
      </c>
      <c r="AD24" s="3">
        <f t="shared" si="4"/>
        <v>55626.633466706604</v>
      </c>
      <c r="AF24" s="57" t="s">
        <v>569</v>
      </c>
      <c r="AG24" s="3">
        <f>Materials!AG9/Factors!AG$11</f>
        <v>4785.560193855852</v>
      </c>
      <c r="AH24" s="3">
        <f>Materials!AH9/Factors!AH$11</f>
        <v>4765.7851517324807</v>
      </c>
      <c r="AI24" s="3">
        <f>Materials!AI9/Factors!AI$11</f>
        <v>4746.1728671574501</v>
      </c>
      <c r="AJ24" s="3">
        <f>Materials!AJ9/Factors!AJ$11</f>
        <v>4726.721339013362</v>
      </c>
      <c r="AK24" s="3">
        <f>Materials!AK9/Factors!AK$11</f>
        <v>4707.4285988541242</v>
      </c>
      <c r="AL24" s="3">
        <f>Materials!AL9/Factors!AL$11</f>
        <v>4688.2927102408958</v>
      </c>
      <c r="AM24" s="3">
        <f>Materials!AM9/Factors!AM$11</f>
        <v>4669.3117680941714</v>
      </c>
      <c r="AN24" s="3">
        <f>Materials!AN9/Factors!AN$11</f>
        <v>4650.4838980615332</v>
      </c>
      <c r="AO24" s="3">
        <f>Materials!AO9/Factors!AO$11</f>
        <v>4631.8072559006441</v>
      </c>
      <c r="AP24" s="3">
        <f>Materials!AP9/Factors!AP$11</f>
        <v>4613.2800268770416</v>
      </c>
      <c r="AQ24" s="3">
        <f>Materials!AQ9/Factors!AQ$11</f>
        <v>4594.9004251763354</v>
      </c>
      <c r="AR24" s="3">
        <f>Materials!AR9/Factors!AR$11</f>
        <v>4576.6666933303977</v>
      </c>
      <c r="AS24" s="3">
        <f t="shared" si="5"/>
        <v>56156.410928294288</v>
      </c>
    </row>
    <row r="25" spans="1:45">
      <c r="A25" s="63" t="s">
        <v>238</v>
      </c>
      <c r="B25" s="57" t="s">
        <v>570</v>
      </c>
      <c r="C25" s="3">
        <f>Materials!C10/Factors!C$11</f>
        <v>2323.735182342431</v>
      </c>
      <c r="D25" s="3">
        <f>Materials!D10/Factors!D$11</f>
        <v>2320.4910366949644</v>
      </c>
      <c r="E25" s="3">
        <f>Materials!E10/Factors!E$11</f>
        <v>2317.2559366637224</v>
      </c>
      <c r="F25" s="3">
        <f>Materials!F10/Factors!F$11</f>
        <v>2314.029844468685</v>
      </c>
      <c r="G25" s="3">
        <f>Materials!G10/Factors!G$11</f>
        <v>2310.8127225399303</v>
      </c>
      <c r="H25" s="3">
        <f>Materials!H10/Factors!H$11</f>
        <v>2307.6045335161739</v>
      </c>
      <c r="I25" s="3">
        <f>Materials!I10/Factors!I$11</f>
        <v>2304.4052402433249</v>
      </c>
      <c r="J25" s="3">
        <f>Materials!J10/Factors!J$11</f>
        <v>2301.214805773051</v>
      </c>
      <c r="K25" s="3">
        <f>Materials!K10/Factors!K$11</f>
        <v>2298.0331933613561</v>
      </c>
      <c r="L25" s="3">
        <f>Materials!L10/Factors!L$11</f>
        <v>2294.8603664671687</v>
      </c>
      <c r="M25" s="3">
        <f>Materials!M10/Factors!M$11</f>
        <v>2291.6962887509444</v>
      </c>
      <c r="N25" s="3">
        <f>Materials!N10/Factors!N$11</f>
        <v>2288.5409240732774</v>
      </c>
      <c r="O25" s="3">
        <f t="shared" si="3"/>
        <v>27672.680074895026</v>
      </c>
      <c r="Q25" s="57" t="s">
        <v>570</v>
      </c>
      <c r="R25" s="3">
        <f>Materials!R10/Factors!R$11</f>
        <v>2370.2066997870957</v>
      </c>
      <c r="S25" s="3">
        <f>Materials!S10/Factors!S$11</f>
        <v>2360.4124572259921</v>
      </c>
      <c r="T25" s="3">
        <f>Materials!T10/Factors!T$11</f>
        <v>2350.6988257147741</v>
      </c>
      <c r="U25" s="3">
        <f>Materials!U10/Factors!U$11</f>
        <v>2341.0648141339761</v>
      </c>
      <c r="V25" s="3">
        <f>Materials!V10/Factors!V$11</f>
        <v>2331.509447545674</v>
      </c>
      <c r="W25" s="3">
        <f>Materials!W10/Factors!W$11</f>
        <v>2322.0317668645944</v>
      </c>
      <c r="X25" s="3">
        <f>Materials!X10/Factors!X$11</f>
        <v>2312.6308285372074</v>
      </c>
      <c r="Y25" s="3">
        <f>Materials!Y10/Factors!Y$11</f>
        <v>2303.3057042285895</v>
      </c>
      <c r="Z25" s="3">
        <f>Materials!Z10/Factors!Z$11</f>
        <v>2294.0554805168281</v>
      </c>
      <c r="AA25" s="3">
        <f>Materials!AA10/Factors!AA$11</f>
        <v>2284.8792585947608</v>
      </c>
      <c r="AB25" s="3">
        <f>Materials!AB10/Factors!AB$11</f>
        <v>2275.7761539788457</v>
      </c>
      <c r="AC25" s="3">
        <f>Materials!AC10/Factors!AC$11</f>
        <v>2266.7452962249613</v>
      </c>
      <c r="AD25" s="3">
        <f t="shared" si="4"/>
        <v>27813.316733353302</v>
      </c>
      <c r="AF25" s="57" t="s">
        <v>570</v>
      </c>
      <c r="AG25" s="3">
        <f>Materials!AG10/Factors!AG$11</f>
        <v>2392.780096927926</v>
      </c>
      <c r="AH25" s="3">
        <f>Materials!AH10/Factors!AH$11</f>
        <v>2382.8925758662403</v>
      </c>
      <c r="AI25" s="3">
        <f>Materials!AI10/Factors!AI$11</f>
        <v>2373.0864335787251</v>
      </c>
      <c r="AJ25" s="3">
        <f>Materials!AJ10/Factors!AJ$11</f>
        <v>2363.360669506681</v>
      </c>
      <c r="AK25" s="3">
        <f>Materials!AK10/Factors!AK$11</f>
        <v>2353.7142994270621</v>
      </c>
      <c r="AL25" s="3">
        <f>Materials!AL10/Factors!AL$11</f>
        <v>2344.1463551204479</v>
      </c>
      <c r="AM25" s="3">
        <f>Materials!AM10/Factors!AM$11</f>
        <v>2334.6558840470857</v>
      </c>
      <c r="AN25" s="3">
        <f>Materials!AN10/Factors!AN$11</f>
        <v>2325.2419490307666</v>
      </c>
      <c r="AO25" s="3">
        <f>Materials!AO10/Factors!AO$11</f>
        <v>2315.9036279503221</v>
      </c>
      <c r="AP25" s="3">
        <f>Materials!AP10/Factors!AP$11</f>
        <v>2306.6400134385208</v>
      </c>
      <c r="AQ25" s="3">
        <f>Materials!AQ10/Factors!AQ$11</f>
        <v>2297.4502125881677</v>
      </c>
      <c r="AR25" s="3">
        <f>Materials!AR10/Factors!AR$11</f>
        <v>2288.3333466651989</v>
      </c>
      <c r="AS25" s="3">
        <f t="shared" si="5"/>
        <v>28078.205464147144</v>
      </c>
    </row>
    <row r="26" spans="1:45">
      <c r="A26" s="63" t="s">
        <v>240</v>
      </c>
      <c r="B26" s="57" t="s">
        <v>571</v>
      </c>
      <c r="C26" s="3">
        <f>Materials!C11/Factors!C$11</f>
        <v>1045.6808320540938</v>
      </c>
      <c r="D26" s="3">
        <f>Materials!D11/Factors!D$11</f>
        <v>1044.2209665127339</v>
      </c>
      <c r="E26" s="3">
        <f>Materials!E11/Factors!E$11</f>
        <v>1042.765171498675</v>
      </c>
      <c r="F26" s="3">
        <f>Materials!F11/Factors!F$11</f>
        <v>1041.3134300109084</v>
      </c>
      <c r="G26" s="3">
        <f>Materials!G11/Factors!G$11</f>
        <v>1039.8657251429686</v>
      </c>
      <c r="H26" s="3">
        <f>Materials!H11/Factors!H$11</f>
        <v>1038.422040082278</v>
      </c>
      <c r="I26" s="3">
        <f>Materials!I11/Factors!I$11</f>
        <v>1036.9823581094961</v>
      </c>
      <c r="J26" s="3">
        <f>Materials!J11/Factors!J$11</f>
        <v>1035.5466625978729</v>
      </c>
      <c r="K26" s="3">
        <f>Materials!K11/Factors!K$11</f>
        <v>1034.1149370126102</v>
      </c>
      <c r="L26" s="3">
        <f>Materials!L11/Factors!L$11</f>
        <v>1032.6871649102259</v>
      </c>
      <c r="M26" s="3">
        <f>Materials!M11/Factors!M$11</f>
        <v>1031.2633299379249</v>
      </c>
      <c r="N26" s="3">
        <f>Materials!N11/Factors!N$11</f>
        <v>1029.8434158329749</v>
      </c>
      <c r="O26" s="3">
        <f t="shared" si="3"/>
        <v>12452.706033702761</v>
      </c>
      <c r="Q26" s="57" t="s">
        <v>571</v>
      </c>
      <c r="R26" s="3">
        <f>Materials!R11/Factors!R$11</f>
        <v>1066.5930149041931</v>
      </c>
      <c r="S26" s="3">
        <f>Materials!S11/Factors!S$11</f>
        <v>1062.1856057516966</v>
      </c>
      <c r="T26" s="3">
        <f>Materials!T11/Factors!T$11</f>
        <v>1057.8144715716485</v>
      </c>
      <c r="U26" s="3">
        <f>Materials!U11/Factors!U$11</f>
        <v>1053.4791663602891</v>
      </c>
      <c r="V26" s="3">
        <f>Materials!V11/Factors!V$11</f>
        <v>1049.1792513955534</v>
      </c>
      <c r="W26" s="3">
        <f>Materials!W11/Factors!W$11</f>
        <v>1044.9142950890673</v>
      </c>
      <c r="X26" s="3">
        <f>Materials!X11/Factors!X$11</f>
        <v>1040.6838728417433</v>
      </c>
      <c r="Y26" s="3">
        <f>Materials!Y11/Factors!Y$11</f>
        <v>1036.4875669028654</v>
      </c>
      <c r="Z26" s="3">
        <f>Materials!Z11/Factors!Z$11</f>
        <v>1032.3249662325727</v>
      </c>
      <c r="AA26" s="3">
        <f>Materials!AA11/Factors!AA$11</f>
        <v>1028.1956663676424</v>
      </c>
      <c r="AB26" s="3">
        <f>Materials!AB11/Factors!AB$11</f>
        <v>1024.0992692904806</v>
      </c>
      <c r="AC26" s="3">
        <f>Materials!AC11/Factors!AC$11</f>
        <v>1020.0353833012326</v>
      </c>
      <c r="AD26" s="3">
        <f t="shared" si="4"/>
        <v>12515.992530008984</v>
      </c>
      <c r="AF26" s="57" t="s">
        <v>571</v>
      </c>
      <c r="AG26" s="3">
        <f>Materials!AG11/Factors!AG$11</f>
        <v>1076.7510436175669</v>
      </c>
      <c r="AH26" s="3">
        <f>Materials!AH11/Factors!AH$11</f>
        <v>1072.3016591398082</v>
      </c>
      <c r="AI26" s="3">
        <f>Materials!AI11/Factors!AI$11</f>
        <v>1067.8888951104263</v>
      </c>
      <c r="AJ26" s="3">
        <f>Materials!AJ11/Factors!AJ$11</f>
        <v>1063.5123012780066</v>
      </c>
      <c r="AK26" s="3">
        <f>Materials!AK11/Factors!AK$11</f>
        <v>1059.171434742178</v>
      </c>
      <c r="AL26" s="3">
        <f>Materials!AL11/Factors!AL$11</f>
        <v>1054.8658598042016</v>
      </c>
      <c r="AM26" s="3">
        <f>Materials!AM11/Factors!AM$11</f>
        <v>1050.5951478211887</v>
      </c>
      <c r="AN26" s="3">
        <f>Materials!AN11/Factors!AN$11</f>
        <v>1046.3588770638451</v>
      </c>
      <c r="AO26" s="3">
        <f>Materials!AO11/Factors!AO$11</f>
        <v>1042.1566325776448</v>
      </c>
      <c r="AP26" s="3">
        <f>Materials!AP11/Factors!AP$11</f>
        <v>1037.9880060473342</v>
      </c>
      <c r="AQ26" s="3">
        <f>Materials!AQ11/Factors!AQ$11</f>
        <v>1033.8525956646756</v>
      </c>
      <c r="AR26" s="3">
        <f>Materials!AR11/Factors!AR$11</f>
        <v>1029.7500059993395</v>
      </c>
      <c r="AS26" s="3">
        <f t="shared" si="5"/>
        <v>12635.192458866217</v>
      </c>
    </row>
    <row r="27" spans="1:45">
      <c r="A27" s="63" t="s">
        <v>242</v>
      </c>
      <c r="B27" s="57" t="s">
        <v>572</v>
      </c>
      <c r="C27" s="21">
        <f>SiteServices!C11</f>
        <v>16956</v>
      </c>
      <c r="D27" s="21">
        <f>SiteServices!D11</f>
        <v>16956</v>
      </c>
      <c r="E27" s="21">
        <f>SiteServices!E11</f>
        <v>17898</v>
      </c>
      <c r="F27" s="21">
        <f>SiteServices!F11</f>
        <v>18840</v>
      </c>
      <c r="G27" s="21">
        <f>SiteServices!G11</f>
        <v>18840</v>
      </c>
      <c r="H27" s="21">
        <f>SiteServices!H11</f>
        <v>20724</v>
      </c>
      <c r="I27" s="21">
        <f>SiteServices!I11</f>
        <v>21197</v>
      </c>
      <c r="J27" s="21">
        <f>SiteServices!J11</f>
        <v>22160.5</v>
      </c>
      <c r="K27" s="21">
        <f>SiteServices!K11</f>
        <v>21197</v>
      </c>
      <c r="L27" s="21">
        <f>SiteServices!L11</f>
        <v>21197</v>
      </c>
      <c r="M27" s="21">
        <f>SiteServices!M11</f>
        <v>19270</v>
      </c>
      <c r="N27" s="21">
        <f>SiteServices!N11</f>
        <v>17343</v>
      </c>
      <c r="O27" s="3">
        <f t="shared" si="3"/>
        <v>232578.5</v>
      </c>
      <c r="Q27" s="57" t="s">
        <v>572</v>
      </c>
      <c r="R27" s="21">
        <f>SiteServices!Q11</f>
        <v>16956</v>
      </c>
      <c r="S27" s="21">
        <f>SiteServices!R11</f>
        <v>16956</v>
      </c>
      <c r="T27" s="21">
        <f>SiteServices!S11</f>
        <v>17898</v>
      </c>
      <c r="U27" s="21">
        <f>SiteServices!T11</f>
        <v>18840</v>
      </c>
      <c r="V27" s="21">
        <f>SiteServices!U11</f>
        <v>18840</v>
      </c>
      <c r="W27" s="21">
        <f>SiteServices!V11</f>
        <v>20724</v>
      </c>
      <c r="X27" s="21">
        <f>SiteServices!W11</f>
        <v>21197</v>
      </c>
      <c r="Y27" s="21">
        <f>SiteServices!X11</f>
        <v>22160.5</v>
      </c>
      <c r="Z27" s="21">
        <f>SiteServices!Y11</f>
        <v>21197</v>
      </c>
      <c r="AA27" s="21">
        <f>SiteServices!Z11</f>
        <v>21197</v>
      </c>
      <c r="AB27" s="21">
        <f>SiteServices!AA11</f>
        <v>19270</v>
      </c>
      <c r="AC27" s="21">
        <f>SiteServices!AB11</f>
        <v>17343</v>
      </c>
      <c r="AD27" s="3">
        <f t="shared" si="4"/>
        <v>232578.5</v>
      </c>
      <c r="AF27" s="57" t="s">
        <v>572</v>
      </c>
      <c r="AG27" s="21">
        <f>SiteServices!AE11</f>
        <v>16956</v>
      </c>
      <c r="AH27" s="21">
        <f>SiteServices!AF11</f>
        <v>16956</v>
      </c>
      <c r="AI27" s="21">
        <f>SiteServices!AG11</f>
        <v>17898</v>
      </c>
      <c r="AJ27" s="21">
        <f>SiteServices!AH11</f>
        <v>18840</v>
      </c>
      <c r="AK27" s="21">
        <f>SiteServices!AI11</f>
        <v>18840</v>
      </c>
      <c r="AL27" s="21">
        <f>SiteServices!AJ11</f>
        <v>20724</v>
      </c>
      <c r="AM27" s="21">
        <f>SiteServices!AK11</f>
        <v>21197</v>
      </c>
      <c r="AN27" s="21">
        <f>SiteServices!AL11</f>
        <v>22160.5</v>
      </c>
      <c r="AO27" s="21">
        <f>SiteServices!AM11</f>
        <v>21197</v>
      </c>
      <c r="AP27" s="21">
        <f>SiteServices!AN11</f>
        <v>21197</v>
      </c>
      <c r="AQ27" s="21">
        <f>SiteServices!AO11</f>
        <v>19270</v>
      </c>
      <c r="AR27" s="21">
        <f>SiteServices!AP11</f>
        <v>17343</v>
      </c>
      <c r="AS27" s="3">
        <f t="shared" si="5"/>
        <v>232578.5</v>
      </c>
    </row>
    <row r="28" spans="1:45">
      <c r="A28" s="63" t="s">
        <v>243</v>
      </c>
      <c r="B28" s="57" t="s">
        <v>573</v>
      </c>
      <c r="C28" s="21">
        <f>SiteServices!C17</f>
        <v>46.121014285714288</v>
      </c>
      <c r="D28" s="21">
        <f>SiteServices!D17</f>
        <v>46.121014285714288</v>
      </c>
      <c r="E28" s="21">
        <f>SiteServices!E17</f>
        <v>46.121014285714288</v>
      </c>
      <c r="F28" s="21">
        <f>SiteServices!F17</f>
        <v>46.121014285714288</v>
      </c>
      <c r="G28" s="21">
        <f>SiteServices!G17</f>
        <v>46.121014285714288</v>
      </c>
      <c r="H28" s="21">
        <f>SiteServices!H17</f>
        <v>46.121014285714288</v>
      </c>
      <c r="I28" s="21">
        <f>SiteServices!I17</f>
        <v>47.178835714285711</v>
      </c>
      <c r="J28" s="21">
        <f>SiteServices!J17</f>
        <v>47.178835714285711</v>
      </c>
      <c r="K28" s="21">
        <f>SiteServices!K17</f>
        <v>47.178835714285711</v>
      </c>
      <c r="L28" s="21">
        <f>SiteServices!L17</f>
        <v>47.178835714285711</v>
      </c>
      <c r="M28" s="21">
        <f>SiteServices!M17</f>
        <v>47.178835714285711</v>
      </c>
      <c r="N28" s="21">
        <f>SiteServices!N17</f>
        <v>47.178835714285711</v>
      </c>
      <c r="O28" s="3">
        <f t="shared" si="3"/>
        <v>559.79909999999995</v>
      </c>
      <c r="Q28" s="57" t="s">
        <v>573</v>
      </c>
      <c r="R28" s="21">
        <f>SiteServices!Q17</f>
        <v>46.121014285714288</v>
      </c>
      <c r="S28" s="21">
        <f>SiteServices!R17</f>
        <v>46.121014285714288</v>
      </c>
      <c r="T28" s="21">
        <f>SiteServices!S17</f>
        <v>46.121014285714288</v>
      </c>
      <c r="U28" s="21">
        <f>SiteServices!T17</f>
        <v>46.121014285714288</v>
      </c>
      <c r="V28" s="21">
        <f>SiteServices!U17</f>
        <v>46.121014285714288</v>
      </c>
      <c r="W28" s="21">
        <f>SiteServices!V17</f>
        <v>46.121014285714288</v>
      </c>
      <c r="X28" s="21">
        <f>SiteServices!W17</f>
        <v>47.178835714285711</v>
      </c>
      <c r="Y28" s="21">
        <f>SiteServices!X17</f>
        <v>47.178835714285711</v>
      </c>
      <c r="Z28" s="21">
        <f>SiteServices!Y17</f>
        <v>47.178835714285711</v>
      </c>
      <c r="AA28" s="21">
        <f>SiteServices!Z17</f>
        <v>47.178835714285711</v>
      </c>
      <c r="AB28" s="21">
        <f>SiteServices!AA17</f>
        <v>47.178835714285711</v>
      </c>
      <c r="AC28" s="21">
        <f>SiteServices!AB17</f>
        <v>47.178835714285711</v>
      </c>
      <c r="AD28" s="3">
        <f t="shared" si="4"/>
        <v>559.79909999999995</v>
      </c>
      <c r="AF28" s="57" t="s">
        <v>573</v>
      </c>
      <c r="AG28" s="21">
        <f>SiteServices!AE17</f>
        <v>46.121014285714288</v>
      </c>
      <c r="AH28" s="21">
        <f>SiteServices!AF17</f>
        <v>46.121014285714288</v>
      </c>
      <c r="AI28" s="21">
        <f>SiteServices!AG17</f>
        <v>46.121014285714288</v>
      </c>
      <c r="AJ28" s="21">
        <f>SiteServices!AH17</f>
        <v>46.121014285714288</v>
      </c>
      <c r="AK28" s="21">
        <f>SiteServices!AI17</f>
        <v>46.121014285714288</v>
      </c>
      <c r="AL28" s="21">
        <f>SiteServices!AJ17</f>
        <v>46.121014285714288</v>
      </c>
      <c r="AM28" s="21">
        <f>SiteServices!AK17</f>
        <v>47.178835714285711</v>
      </c>
      <c r="AN28" s="21">
        <f>SiteServices!AL17</f>
        <v>47.178835714285711</v>
      </c>
      <c r="AO28" s="21">
        <f>SiteServices!AM17</f>
        <v>47.178835714285711</v>
      </c>
      <c r="AP28" s="21">
        <f>SiteServices!AN17</f>
        <v>47.178835714285711</v>
      </c>
      <c r="AQ28" s="21">
        <f>SiteServices!AO17</f>
        <v>47.178835714285711</v>
      </c>
      <c r="AR28" s="21">
        <f>SiteServices!AP17</f>
        <v>47.178835714285711</v>
      </c>
      <c r="AS28" s="3">
        <f t="shared" si="5"/>
        <v>559.79909999999995</v>
      </c>
    </row>
    <row r="29" spans="1:45">
      <c r="A29" s="63" t="s">
        <v>245</v>
      </c>
      <c r="B29" s="57" t="s">
        <v>574</v>
      </c>
      <c r="C29" s="21">
        <f>SiteServices!C37</f>
        <v>1648</v>
      </c>
      <c r="D29" s="21">
        <f>SiteServices!D37</f>
        <v>1236</v>
      </c>
      <c r="E29" s="21">
        <f>SiteServices!E37</f>
        <v>1524.3999999999999</v>
      </c>
      <c r="F29" s="21">
        <f>SiteServices!F37</f>
        <v>1030</v>
      </c>
      <c r="G29" s="21">
        <f>SiteServices!G37</f>
        <v>206</v>
      </c>
      <c r="H29" s="21">
        <f>SiteServices!H37</f>
        <v>206</v>
      </c>
      <c r="I29" s="21">
        <f>SiteServices!I37</f>
        <v>210.5</v>
      </c>
      <c r="J29" s="21">
        <f>SiteServices!J37</f>
        <v>210.5</v>
      </c>
      <c r="K29" s="21">
        <f>SiteServices!K37</f>
        <v>421</v>
      </c>
      <c r="L29" s="21">
        <f>SiteServices!L37</f>
        <v>842</v>
      </c>
      <c r="M29" s="21">
        <f>SiteServices!M37</f>
        <v>1052.5</v>
      </c>
      <c r="N29" s="21">
        <f>SiteServices!N37</f>
        <v>1473.5</v>
      </c>
      <c r="O29" s="3">
        <f t="shared" si="3"/>
        <v>10060.4</v>
      </c>
      <c r="Q29" s="57" t="s">
        <v>574</v>
      </c>
      <c r="R29" s="21">
        <f>SiteServices!Q37</f>
        <v>1648</v>
      </c>
      <c r="S29" s="21">
        <f>SiteServices!R37</f>
        <v>1236</v>
      </c>
      <c r="T29" s="21">
        <f>SiteServices!S37</f>
        <v>1524.3999999999999</v>
      </c>
      <c r="U29" s="21">
        <f>SiteServices!T37</f>
        <v>1030</v>
      </c>
      <c r="V29" s="21">
        <f>SiteServices!U37</f>
        <v>206</v>
      </c>
      <c r="W29" s="21">
        <f>SiteServices!V37</f>
        <v>206</v>
      </c>
      <c r="X29" s="21">
        <f>SiteServices!W37</f>
        <v>210.5</v>
      </c>
      <c r="Y29" s="21">
        <f>SiteServices!X37</f>
        <v>210.5</v>
      </c>
      <c r="Z29" s="21">
        <f>SiteServices!Y37</f>
        <v>421</v>
      </c>
      <c r="AA29" s="21">
        <f>SiteServices!Z37</f>
        <v>842</v>
      </c>
      <c r="AB29" s="21">
        <f>SiteServices!AA37</f>
        <v>1052.5</v>
      </c>
      <c r="AC29" s="21">
        <f>SiteServices!AB37</f>
        <v>1473.5</v>
      </c>
      <c r="AD29" s="3">
        <f t="shared" si="4"/>
        <v>10060.4</v>
      </c>
      <c r="AF29" s="57" t="s">
        <v>574</v>
      </c>
      <c r="AG29" s="21">
        <f>SiteServices!AE37</f>
        <v>1648</v>
      </c>
      <c r="AH29" s="21">
        <f>SiteServices!AF37</f>
        <v>1236</v>
      </c>
      <c r="AI29" s="21">
        <f>SiteServices!AG37</f>
        <v>1524.3999999999999</v>
      </c>
      <c r="AJ29" s="21">
        <f>SiteServices!AH37</f>
        <v>1030</v>
      </c>
      <c r="AK29" s="21">
        <f>SiteServices!AI37</f>
        <v>206</v>
      </c>
      <c r="AL29" s="21">
        <f>SiteServices!AJ37</f>
        <v>206</v>
      </c>
      <c r="AM29" s="21">
        <f>SiteServices!AK37</f>
        <v>210.5</v>
      </c>
      <c r="AN29" s="21">
        <f>SiteServices!AL37</f>
        <v>210.5</v>
      </c>
      <c r="AO29" s="21">
        <f>SiteServices!AM37</f>
        <v>421</v>
      </c>
      <c r="AP29" s="21">
        <f>SiteServices!AN37</f>
        <v>842</v>
      </c>
      <c r="AQ29" s="21">
        <f>SiteServices!AO37</f>
        <v>1052.5</v>
      </c>
      <c r="AR29" s="21">
        <f>SiteServices!AP37</f>
        <v>1473.5</v>
      </c>
      <c r="AS29" s="3">
        <f t="shared" si="5"/>
        <v>10060.4</v>
      </c>
    </row>
    <row r="30" spans="1:45">
      <c r="A30" s="63" t="s">
        <v>246</v>
      </c>
      <c r="B30" s="57" t="s">
        <v>575</v>
      </c>
      <c r="C30" s="21">
        <f>Materials!C12/Factors!C11</f>
        <v>743.59525834957788</v>
      </c>
      <c r="D30" s="21">
        <f>Materials!D12/Factors!D11</f>
        <v>742.55713174238861</v>
      </c>
      <c r="E30" s="21">
        <f>Materials!E12/Factors!E11</f>
        <v>741.52189973239115</v>
      </c>
      <c r="F30" s="21">
        <f>Materials!F12/Factors!F11</f>
        <v>740.48955022997927</v>
      </c>
      <c r="G30" s="21">
        <f>Materials!G12/Factors!G11</f>
        <v>739.46007121277762</v>
      </c>
      <c r="H30" s="21">
        <f>Materials!H12/Factors!H11</f>
        <v>738.43345072517559</v>
      </c>
      <c r="I30" s="21">
        <f>Materials!I12/Factors!I11</f>
        <v>737.40967687786394</v>
      </c>
      <c r="J30" s="21">
        <f>Materials!J12/Factors!J11</f>
        <v>736.38873784737632</v>
      </c>
      <c r="K30" s="21">
        <f>Materials!K12/Factors!K11</f>
        <v>735.3706218756339</v>
      </c>
      <c r="L30" s="21">
        <f>Materials!L12/Factors!L11</f>
        <v>734.35531726949398</v>
      </c>
      <c r="M30" s="21">
        <f>Materials!M12/Factors!M11</f>
        <v>733.34281240030214</v>
      </c>
      <c r="N30" s="21">
        <f>Materials!N12/Factors!N11</f>
        <v>732.33309570344886</v>
      </c>
      <c r="O30" s="3">
        <f t="shared" si="3"/>
        <v>8855.2576239664086</v>
      </c>
      <c r="Q30" s="57" t="s">
        <v>575</v>
      </c>
      <c r="R30" s="21">
        <f>Materials!R12/Factors!R11</f>
        <v>758.46614393187065</v>
      </c>
      <c r="S30" s="21">
        <f>Materials!S12/Factors!S11</f>
        <v>755.33198631231755</v>
      </c>
      <c r="T30" s="21">
        <f>Materials!T12/Factors!T11</f>
        <v>752.22362422872777</v>
      </c>
      <c r="U30" s="21">
        <f>Materials!U12/Factors!U11</f>
        <v>749.14074052287231</v>
      </c>
      <c r="V30" s="21">
        <f>Materials!V12/Factors!V11</f>
        <v>746.08302321461576</v>
      </c>
      <c r="W30" s="21">
        <f>Materials!W12/Factors!W11</f>
        <v>743.0501653966702</v>
      </c>
      <c r="X30" s="21">
        <f>Materials!X12/Factors!X11</f>
        <v>740.04186513190632</v>
      </c>
      <c r="Y30" s="21">
        <f>Materials!Y12/Factors!Y11</f>
        <v>737.0578253531487</v>
      </c>
      <c r="Z30" s="21">
        <f>Materials!Z12/Factors!Z11</f>
        <v>734.09775376538505</v>
      </c>
      <c r="AA30" s="21">
        <f>Materials!AA12/Factors!AA11</f>
        <v>731.16136275032352</v>
      </c>
      <c r="AB30" s="21">
        <f>Materials!AB12/Factors!AB11</f>
        <v>728.24836927323065</v>
      </c>
      <c r="AC30" s="21">
        <f>Materials!AC12/Factors!AC11</f>
        <v>725.35849479198771</v>
      </c>
      <c r="AD30" s="3">
        <f t="shared" si="4"/>
        <v>8900.2613546730554</v>
      </c>
      <c r="AF30" s="57" t="s">
        <v>575</v>
      </c>
      <c r="AG30" s="21">
        <f>Materials!AG12/Factors!AG11</f>
        <v>765.68963101693646</v>
      </c>
      <c r="AH30" s="21">
        <f>Materials!AH12/Factors!AH11</f>
        <v>762.52562427719704</v>
      </c>
      <c r="AI30" s="21">
        <f>Materials!AI12/Factors!AI11</f>
        <v>759.38765874519208</v>
      </c>
      <c r="AJ30" s="21">
        <f>Materials!AJ12/Factors!AJ11</f>
        <v>756.27541424213803</v>
      </c>
      <c r="AK30" s="21">
        <f>Materials!AK12/Factors!AK11</f>
        <v>753.18857581665986</v>
      </c>
      <c r="AL30" s="21">
        <f>Materials!AL12/Factors!AL11</f>
        <v>750.12683363854342</v>
      </c>
      <c r="AM30" s="21">
        <f>Materials!AM12/Factors!AM11</f>
        <v>747.08988289506749</v>
      </c>
      <c r="AN30" s="21">
        <f>Materials!AN12/Factors!AN11</f>
        <v>744.07742368984543</v>
      </c>
      <c r="AO30" s="21">
        <f>Materials!AO12/Factors!AO11</f>
        <v>741.08916094410301</v>
      </c>
      <c r="AP30" s="21">
        <f>Materials!AP12/Factors!AP11</f>
        <v>738.12480430032667</v>
      </c>
      <c r="AQ30" s="21">
        <f>Materials!AQ12/Factors!AQ11</f>
        <v>735.1840680282138</v>
      </c>
      <c r="AR30" s="21">
        <f>Materials!AR12/Factors!AR11</f>
        <v>732.26667093286369</v>
      </c>
      <c r="AS30" s="3">
        <f t="shared" si="5"/>
        <v>8985.0257485270886</v>
      </c>
    </row>
    <row r="31" spans="1:45">
      <c r="A31" s="64" t="s">
        <v>248</v>
      </c>
      <c r="B31" s="57" t="s">
        <v>595</v>
      </c>
      <c r="C31" s="21">
        <f>'P&amp;LPLN'!C30/Factors!C11</f>
        <v>1580.139923992853</v>
      </c>
      <c r="D31" s="21">
        <f>'P&amp;LPLN'!D30/Factors!D11</f>
        <v>1577.9339049525756</v>
      </c>
      <c r="E31" s="21">
        <f>'P&amp;LPLN'!E30/Factors!E11</f>
        <v>1575.7340369313313</v>
      </c>
      <c r="F31" s="21">
        <f>'P&amp;LPLN'!F30/Factors!F11</f>
        <v>1573.5402942387059</v>
      </c>
      <c r="G31" s="21">
        <f>'P&amp;LPLN'!G30/Factors!G11</f>
        <v>1571.3526513271524</v>
      </c>
      <c r="H31" s="21">
        <f>'P&amp;LPLN'!H30/Factors!H11</f>
        <v>1569.1710827909981</v>
      </c>
      <c r="I31" s="21">
        <f>'P&amp;LPLN'!I30/Factors!I11</f>
        <v>1566.9955633654608</v>
      </c>
      <c r="J31" s="21">
        <f>'P&amp;LPLN'!J30/Factors!J11</f>
        <v>1564.8260679256748</v>
      </c>
      <c r="K31" s="21">
        <f>'P&amp;LPLN'!K30/Factors!K11</f>
        <v>1562.6625714857221</v>
      </c>
      <c r="L31" s="21">
        <f>'P&amp;LPLN'!L30/Factors!L11</f>
        <v>1560.5050491976747</v>
      </c>
      <c r="M31" s="21">
        <f>'P&amp;LPLN'!M30/Factors!M11</f>
        <v>1558.353476350642</v>
      </c>
      <c r="N31" s="21">
        <f>'P&amp;LPLN'!N30/Factors!N11</f>
        <v>1556.2078283698288</v>
      </c>
      <c r="O31" s="3">
        <f t="shared" si="3"/>
        <v>18817.422450928618</v>
      </c>
      <c r="Q31" s="55" t="s">
        <v>595</v>
      </c>
      <c r="R31" s="21">
        <f>'P&amp;LPLN'!S30/Factors!R11</f>
        <v>1611.7405558552252</v>
      </c>
      <c r="S31" s="21">
        <f>'P&amp;LPLN'!T30/Factors!S11</f>
        <v>1605.0804709136746</v>
      </c>
      <c r="T31" s="21">
        <f>'P&amp;LPLN'!U30/Factors!T11</f>
        <v>1598.4752014860464</v>
      </c>
      <c r="U31" s="21">
        <f>'P&amp;LPLN'!V30/Factors!U11</f>
        <v>1591.9240736111037</v>
      </c>
      <c r="V31" s="21">
        <f>'P&amp;LPLN'!W30/Factors!V11</f>
        <v>1585.4264243310583</v>
      </c>
      <c r="W31" s="21">
        <f>'P&amp;LPLN'!X30/Factors!W11</f>
        <v>1578.9816014679241</v>
      </c>
      <c r="X31" s="21">
        <f>'P&amp;LPLN'!Y30/Factors!X11</f>
        <v>1572.588963405301</v>
      </c>
      <c r="Y31" s="21">
        <f>'P&amp;LPLN'!Z30/Factors!Y11</f>
        <v>1566.2478788754408</v>
      </c>
      <c r="Z31" s="21">
        <f>'P&amp;LPLN'!AA30/Factors!Z11</f>
        <v>1559.9577267514433</v>
      </c>
      <c r="AA31" s="21">
        <f>'P&amp;LPLN'!AB30/Factors!AA11</f>
        <v>1553.7178958444374</v>
      </c>
      <c r="AB31" s="21">
        <f>'P&amp;LPLN'!AC30/Factors!AB11</f>
        <v>1547.527784705615</v>
      </c>
      <c r="AC31" s="21">
        <f>'P&amp;LPLN'!AD30/Factors!AC11</f>
        <v>18496.641617195684</v>
      </c>
      <c r="AD31" s="3">
        <f t="shared" si="4"/>
        <v>35868.310194442951</v>
      </c>
      <c r="AF31" s="55" t="s">
        <v>595</v>
      </c>
      <c r="AG31" s="21">
        <f>'P&amp;LPLN'!AG30/Factors!AG11</f>
        <v>1627.0904659109899</v>
      </c>
      <c r="AH31" s="21">
        <f>'P&amp;LPLN'!AH30/Factors!AH11</f>
        <v>1620.3669515890435</v>
      </c>
      <c r="AI31" s="21">
        <f>'P&amp;LPLN'!AI30/Factors!AI11</f>
        <v>1613.6987748335332</v>
      </c>
      <c r="AJ31" s="21">
        <f>'P&amp;LPLN'!AJ30/Factors!AJ11</f>
        <v>1607.0852552645433</v>
      </c>
      <c r="AK31" s="21">
        <f>'P&amp;LPLN'!AK30/Factors!AK11</f>
        <v>1600.5257236104023</v>
      </c>
      <c r="AL31" s="21">
        <f>'P&amp;LPLN'!AL30/Factors!AL11</f>
        <v>1594.0195214819046</v>
      </c>
      <c r="AM31" s="21">
        <f>'P&amp;LPLN'!AM30/Factors!AM11</f>
        <v>1587.5660011520183</v>
      </c>
      <c r="AN31" s="21">
        <f>'P&amp;LPLN'!AN30/Factors!AN11</f>
        <v>1581.1645253409215</v>
      </c>
      <c r="AO31" s="21">
        <f>'P&amp;LPLN'!AO30/Factors!AO11</f>
        <v>1574.814467006219</v>
      </c>
      <c r="AP31" s="21">
        <f>'P&amp;LPLN'!AP30/Factors!AP11</f>
        <v>1568.5152091381942</v>
      </c>
      <c r="AQ31" s="21">
        <f>'P&amp;LPLN'!AQ30/Factors!AQ11</f>
        <v>1562.2661445599542</v>
      </c>
      <c r="AR31" s="21">
        <f>'P&amp;LPLN'!AR30/Factors!AR11</f>
        <v>1556.0666757323354</v>
      </c>
      <c r="AS31" s="3">
        <f t="shared" si="5"/>
        <v>19093.179715620059</v>
      </c>
    </row>
    <row r="32" spans="1:45" ht="13.5" thickBot="1">
      <c r="A32" s="20"/>
      <c r="B32" s="136" t="s">
        <v>97</v>
      </c>
      <c r="C32" s="19">
        <f>SUM(C20:C31)</f>
        <v>2568179.4126166045</v>
      </c>
      <c r="D32" s="19">
        <f t="shared" ref="D32:O32" si="6">SUM(D20:D31)</f>
        <v>2329607.1243375237</v>
      </c>
      <c r="E32" s="19">
        <f t="shared" si="6"/>
        <v>2522556.0114329299</v>
      </c>
      <c r="F32" s="19">
        <f t="shared" si="6"/>
        <v>2308754.9028000268</v>
      </c>
      <c r="G32" s="19">
        <f t="shared" si="6"/>
        <v>2319854.7321879249</v>
      </c>
      <c r="H32" s="19">
        <f t="shared" si="6"/>
        <v>2275197.8840925368</v>
      </c>
      <c r="I32" s="19">
        <f t="shared" si="6"/>
        <v>2501524.1229475215</v>
      </c>
      <c r="J32" s="19">
        <f t="shared" si="6"/>
        <v>2426421.940742888</v>
      </c>
      <c r="K32" s="19">
        <f t="shared" si="6"/>
        <v>2375566.006601051</v>
      </c>
      <c r="L32" s="19">
        <f t="shared" si="6"/>
        <v>2686940.7144000898</v>
      </c>
      <c r="M32" s="19">
        <f t="shared" si="6"/>
        <v>2452920.4940545862</v>
      </c>
      <c r="N32" s="19">
        <f t="shared" si="6"/>
        <v>2500712.3449384058</v>
      </c>
      <c r="O32" s="19">
        <f t="shared" si="6"/>
        <v>29268235.691152085</v>
      </c>
      <c r="Q32" s="20"/>
      <c r="R32" s="19">
        <f t="shared" ref="R32:AD32" si="7">SUM(R20:R31)</f>
        <v>2641430.3399128881</v>
      </c>
      <c r="S32" s="19">
        <f t="shared" si="7"/>
        <v>2396232.6443734369</v>
      </c>
      <c r="T32" s="19">
        <f t="shared" si="7"/>
        <v>2593000.5392196956</v>
      </c>
      <c r="U32" s="19">
        <f t="shared" si="7"/>
        <v>2395311.9819046082</v>
      </c>
      <c r="V32" s="19">
        <f t="shared" si="7"/>
        <v>2407376.1660479135</v>
      </c>
      <c r="W32" s="19">
        <f t="shared" si="7"/>
        <v>2361301.4323309017</v>
      </c>
      <c r="X32" s="19">
        <f t="shared" si="7"/>
        <v>2523011.5279688616</v>
      </c>
      <c r="Y32" s="19">
        <f t="shared" si="7"/>
        <v>2446899.0640610666</v>
      </c>
      <c r="Z32" s="19">
        <f t="shared" si="7"/>
        <v>2394508.3400882753</v>
      </c>
      <c r="AA32" s="19">
        <f t="shared" si="7"/>
        <v>2727650.2384379674</v>
      </c>
      <c r="AB32" s="19">
        <f t="shared" si="7"/>
        <v>2534896.9402881572</v>
      </c>
      <c r="AC32" s="19">
        <f t="shared" si="7"/>
        <v>2600897.8272119486</v>
      </c>
      <c r="AD32" s="19">
        <f t="shared" si="7"/>
        <v>30022517.041845717</v>
      </c>
      <c r="AF32" s="20"/>
      <c r="AG32" s="19">
        <f t="shared" ref="AG32:AS32" si="8">SUM(AG20:AG31)</f>
        <v>2641021.9627402727</v>
      </c>
      <c r="AH32" s="19">
        <f t="shared" si="8"/>
        <v>2395803.4745911583</v>
      </c>
      <c r="AI32" s="19">
        <f t="shared" si="8"/>
        <v>2592573.1355682085</v>
      </c>
      <c r="AJ32" s="19">
        <f t="shared" si="8"/>
        <v>2394897.4778351178</v>
      </c>
      <c r="AK32" s="19">
        <f t="shared" si="8"/>
        <v>2406963.3538317676</v>
      </c>
      <c r="AL32" s="19">
        <f t="shared" si="8"/>
        <v>2360912.412801451</v>
      </c>
      <c r="AM32" s="19">
        <f t="shared" si="8"/>
        <v>2522624.0834172624</v>
      </c>
      <c r="AN32" s="19">
        <f t="shared" si="8"/>
        <v>2446513.1817858857</v>
      </c>
      <c r="AO32" s="19">
        <f t="shared" si="8"/>
        <v>2394124.0075411061</v>
      </c>
      <c r="AP32" s="19">
        <f t="shared" si="8"/>
        <v>2727256.5628435658</v>
      </c>
      <c r="AQ32" s="19">
        <f t="shared" si="8"/>
        <v>2534504.8331224183</v>
      </c>
      <c r="AR32" s="19">
        <f t="shared" si="8"/>
        <v>2583541.2271860433</v>
      </c>
      <c r="AS32" s="19">
        <f t="shared" si="8"/>
        <v>30000735.713264257</v>
      </c>
    </row>
    <row r="33" spans="1:45" ht="13.5" thickTop="1">
      <c r="A33" s="20"/>
      <c r="B33" s="19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0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F33" s="20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>
      <c r="A34" s="20"/>
      <c r="B34" s="19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0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F34" s="20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>
      <c r="A35" s="20"/>
      <c r="B35" s="316"/>
      <c r="C35" s="39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3"/>
      <c r="Q35" s="58"/>
      <c r="R35" s="22" t="s">
        <v>117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F35" s="58"/>
      <c r="AG35" s="22" t="s">
        <v>117</v>
      </c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spans="1:45">
      <c r="A36" s="54" t="s">
        <v>228</v>
      </c>
      <c r="B36" s="55" t="s">
        <v>17</v>
      </c>
      <c r="C36" s="21">
        <f>Depreciation!B29</f>
        <v>668537.49583333335</v>
      </c>
      <c r="D36" s="21">
        <f>Depreciation!C29</f>
        <v>668537.49583333335</v>
      </c>
      <c r="E36" s="21">
        <f>Depreciation!D29</f>
        <v>668537.49583333335</v>
      </c>
      <c r="F36" s="21">
        <f>Depreciation!E29</f>
        <v>668537.49583333335</v>
      </c>
      <c r="G36" s="21">
        <f>Depreciation!F29</f>
        <v>668537.49583333335</v>
      </c>
      <c r="H36" s="21">
        <f>Depreciation!G29</f>
        <v>668537.49583333335</v>
      </c>
      <c r="I36" s="21">
        <f>Depreciation!H29</f>
        <v>668537.49583333335</v>
      </c>
      <c r="J36" s="21">
        <f>Depreciation!I29</f>
        <v>668537.49583333335</v>
      </c>
      <c r="K36" s="21">
        <f>Depreciation!J29</f>
        <v>668537.49583333335</v>
      </c>
      <c r="L36" s="21">
        <f>Depreciation!K29</f>
        <v>668537.49583333335</v>
      </c>
      <c r="M36" s="21">
        <f>Depreciation!L29</f>
        <v>668537.49583333335</v>
      </c>
      <c r="N36" s="21">
        <f>Depreciation!M29</f>
        <v>668537.49583333335</v>
      </c>
      <c r="O36" s="3">
        <f>SUM(C36:N36)</f>
        <v>8022449.950000002</v>
      </c>
      <c r="Q36" s="55" t="s">
        <v>117</v>
      </c>
      <c r="R36" s="21">
        <f>Depreciation!Q29</f>
        <v>0</v>
      </c>
      <c r="S36" s="21">
        <f>Depreciation!R29</f>
        <v>0</v>
      </c>
      <c r="T36" s="21">
        <f>Depreciation!S29</f>
        <v>0</v>
      </c>
      <c r="U36" s="21">
        <f>Depreciation!T29</f>
        <v>0</v>
      </c>
      <c r="V36" s="21">
        <f>Depreciation!U29</f>
        <v>0</v>
      </c>
      <c r="W36" s="21">
        <f>Depreciation!V29</f>
        <v>0</v>
      </c>
      <c r="X36" s="21">
        <f>Depreciation!W29</f>
        <v>0</v>
      </c>
      <c r="Y36" s="21">
        <f>Depreciation!X29</f>
        <v>0</v>
      </c>
      <c r="Z36" s="21">
        <f>Depreciation!Y29</f>
        <v>0</v>
      </c>
      <c r="AA36" s="21">
        <f>Depreciation!Z29</f>
        <v>0</v>
      </c>
      <c r="AB36" s="21">
        <f>Depreciation!AA29</f>
        <v>0</v>
      </c>
      <c r="AC36" s="21">
        <f>Depreciation!AB29</f>
        <v>0</v>
      </c>
      <c r="AD36" s="3">
        <f>SUM(R36:AC36)</f>
        <v>0</v>
      </c>
      <c r="AF36" s="55" t="s">
        <v>117</v>
      </c>
      <c r="AG36" s="21">
        <f>Depreciation!AF29</f>
        <v>0</v>
      </c>
      <c r="AH36" s="21">
        <f>Depreciation!AG29</f>
        <v>0</v>
      </c>
      <c r="AI36" s="21">
        <f>Depreciation!AH29</f>
        <v>0</v>
      </c>
      <c r="AJ36" s="21">
        <f>Depreciation!AI29</f>
        <v>0</v>
      </c>
      <c r="AK36" s="21">
        <f>Depreciation!AJ29</f>
        <v>0</v>
      </c>
      <c r="AL36" s="21">
        <f>Depreciation!AK29</f>
        <v>0</v>
      </c>
      <c r="AM36" s="21">
        <f>Depreciation!AL29</f>
        <v>0</v>
      </c>
      <c r="AN36" s="21">
        <f>Depreciation!AM29</f>
        <v>0</v>
      </c>
      <c r="AO36" s="21">
        <f>Depreciation!AN29</f>
        <v>0</v>
      </c>
      <c r="AP36" s="21">
        <f>Depreciation!AO29</f>
        <v>0</v>
      </c>
      <c r="AQ36" s="21">
        <f>Depreciation!AP29</f>
        <v>0</v>
      </c>
      <c r="AR36" s="21">
        <f>Depreciation!AQ29</f>
        <v>0</v>
      </c>
      <c r="AS36" s="3">
        <f>SUM(AG36:AR36)</f>
        <v>0</v>
      </c>
    </row>
    <row r="37" spans="1:45" ht="13.5" thickBot="1">
      <c r="A37" s="20"/>
      <c r="B37" s="136" t="s">
        <v>97</v>
      </c>
      <c r="C37" s="19">
        <f>C36</f>
        <v>668537.49583333335</v>
      </c>
      <c r="D37" s="19">
        <f t="shared" ref="D37:O37" si="9">D36</f>
        <v>668537.49583333335</v>
      </c>
      <c r="E37" s="19">
        <f t="shared" si="9"/>
        <v>668537.49583333335</v>
      </c>
      <c r="F37" s="19">
        <f t="shared" si="9"/>
        <v>668537.49583333335</v>
      </c>
      <c r="G37" s="19">
        <f t="shared" si="9"/>
        <v>668537.49583333335</v>
      </c>
      <c r="H37" s="19">
        <f t="shared" si="9"/>
        <v>668537.49583333335</v>
      </c>
      <c r="I37" s="19">
        <f t="shared" si="9"/>
        <v>668537.49583333335</v>
      </c>
      <c r="J37" s="19">
        <f t="shared" si="9"/>
        <v>668537.49583333335</v>
      </c>
      <c r="K37" s="19">
        <f t="shared" si="9"/>
        <v>668537.49583333335</v>
      </c>
      <c r="L37" s="19">
        <f t="shared" si="9"/>
        <v>668537.49583333335</v>
      </c>
      <c r="M37" s="19">
        <f t="shared" si="9"/>
        <v>668537.49583333335</v>
      </c>
      <c r="N37" s="19">
        <f t="shared" si="9"/>
        <v>668537.49583333335</v>
      </c>
      <c r="O37" s="19">
        <f t="shared" si="9"/>
        <v>8022449.950000002</v>
      </c>
      <c r="P37" s="20"/>
      <c r="Q37" s="49"/>
      <c r="R37" s="19">
        <f t="shared" ref="R37:AD37" si="10">R36</f>
        <v>0</v>
      </c>
      <c r="S37" s="19">
        <f t="shared" si="10"/>
        <v>0</v>
      </c>
      <c r="T37" s="19">
        <f t="shared" si="10"/>
        <v>0</v>
      </c>
      <c r="U37" s="19">
        <f t="shared" si="10"/>
        <v>0</v>
      </c>
      <c r="V37" s="19">
        <f t="shared" si="10"/>
        <v>0</v>
      </c>
      <c r="W37" s="19">
        <f t="shared" si="10"/>
        <v>0</v>
      </c>
      <c r="X37" s="19">
        <f t="shared" si="10"/>
        <v>0</v>
      </c>
      <c r="Y37" s="19">
        <f t="shared" si="10"/>
        <v>0</v>
      </c>
      <c r="Z37" s="19">
        <f t="shared" si="10"/>
        <v>0</v>
      </c>
      <c r="AA37" s="19">
        <f t="shared" si="10"/>
        <v>0</v>
      </c>
      <c r="AB37" s="19">
        <f t="shared" si="10"/>
        <v>0</v>
      </c>
      <c r="AC37" s="19">
        <f t="shared" si="10"/>
        <v>0</v>
      </c>
      <c r="AD37" s="19">
        <f t="shared" si="10"/>
        <v>0</v>
      </c>
      <c r="AF37" s="49"/>
      <c r="AG37" s="19">
        <f t="shared" ref="AG37:AS37" si="11">AG36</f>
        <v>0</v>
      </c>
      <c r="AH37" s="19">
        <f t="shared" si="11"/>
        <v>0</v>
      </c>
      <c r="AI37" s="19">
        <f t="shared" si="11"/>
        <v>0</v>
      </c>
      <c r="AJ37" s="19">
        <f t="shared" si="11"/>
        <v>0</v>
      </c>
      <c r="AK37" s="19">
        <f t="shared" si="11"/>
        <v>0</v>
      </c>
      <c r="AL37" s="19">
        <f t="shared" si="11"/>
        <v>0</v>
      </c>
      <c r="AM37" s="19">
        <f t="shared" si="11"/>
        <v>0</v>
      </c>
      <c r="AN37" s="19">
        <f t="shared" si="11"/>
        <v>0</v>
      </c>
      <c r="AO37" s="19">
        <f t="shared" si="11"/>
        <v>0</v>
      </c>
      <c r="AP37" s="19">
        <f t="shared" si="11"/>
        <v>0</v>
      </c>
      <c r="AQ37" s="19">
        <f t="shared" si="11"/>
        <v>0</v>
      </c>
      <c r="AR37" s="19">
        <f t="shared" si="11"/>
        <v>0</v>
      </c>
      <c r="AS37" s="19">
        <f t="shared" si="11"/>
        <v>0</v>
      </c>
    </row>
    <row r="38" spans="1:45" ht="13.5" thickTop="1">
      <c r="A38" s="20"/>
      <c r="B38" s="19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0"/>
      <c r="Q38" s="20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0"/>
      <c r="AF38" s="20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0"/>
    </row>
    <row r="39" spans="1:45">
      <c r="A39" s="63" t="s">
        <v>250</v>
      </c>
      <c r="B39" s="60" t="s">
        <v>18</v>
      </c>
      <c r="C39" s="21">
        <f>SiteServices!C43</f>
        <v>3253.2292552794033</v>
      </c>
      <c r="D39" s="21">
        <f>SiteServices!D43</f>
        <v>3248.6874513729499</v>
      </c>
      <c r="E39" s="21">
        <f>SiteServices!E43</f>
        <v>3244.1583113292113</v>
      </c>
      <c r="F39" s="21">
        <f>SiteServices!F43</f>
        <v>3239.6417822561593</v>
      </c>
      <c r="G39" s="21">
        <f>SiteServices!G43</f>
        <v>3235.1378115559023</v>
      </c>
      <c r="H39" s="21">
        <f>SiteServices!H43</f>
        <v>3230.6463469226433</v>
      </c>
      <c r="I39" s="21">
        <f>SiteServices!I43</f>
        <v>3226.1673363406549</v>
      </c>
      <c r="J39" s="21">
        <f>SiteServices!J43</f>
        <v>3221.7007280822713</v>
      </c>
      <c r="K39" s="21">
        <f>SiteServices!K43</f>
        <v>3217.2464707058984</v>
      </c>
      <c r="L39" s="21">
        <f>SiteServices!L43</f>
        <v>3212.8045130540359</v>
      </c>
      <c r="M39" s="21">
        <f>SiteServices!M43</f>
        <v>3208.3748042513221</v>
      </c>
      <c r="N39" s="21">
        <f>SiteServices!N43</f>
        <v>3203.9572937025887</v>
      </c>
      <c r="O39" s="3">
        <f>SUM(C39:N39)</f>
        <v>38741.75210485304</v>
      </c>
      <c r="Q39" s="59" t="s">
        <v>576</v>
      </c>
      <c r="R39" s="21">
        <f>SiteServices!Q43</f>
        <v>2853.5921238494448</v>
      </c>
      <c r="S39" s="21">
        <f>SiteServices!R43</f>
        <v>2841.8004208583316</v>
      </c>
      <c r="T39" s="21">
        <f>SiteServices!S43</f>
        <v>2830.1057689206432</v>
      </c>
      <c r="U39" s="21">
        <f>SiteServices!T43</f>
        <v>2818.5069747857224</v>
      </c>
      <c r="V39" s="21">
        <f>SiteServices!U43</f>
        <v>2807.0028646845562</v>
      </c>
      <c r="W39" s="21">
        <f>SiteServices!V43</f>
        <v>2795.5922839338064</v>
      </c>
      <c r="X39" s="21">
        <f>SiteServices!W43</f>
        <v>2784.274096549459</v>
      </c>
      <c r="Y39" s="21">
        <f>SiteServices!X43</f>
        <v>2773.0471848698239</v>
      </c>
      <c r="Z39" s="21">
        <f>SiteServices!Y43</f>
        <v>2761.910449187616</v>
      </c>
      <c r="AA39" s="21">
        <f>SiteServices!Z43</f>
        <v>2750.8628073908658</v>
      </c>
      <c r="AB39" s="21">
        <f>SiteServices!AA43</f>
        <v>2739.903194612416</v>
      </c>
      <c r="AC39" s="21">
        <f>SiteServices!AB43</f>
        <v>2729.0305628877636</v>
      </c>
      <c r="AD39" s="3">
        <f>SUM(R39:AC39)</f>
        <v>33485.628732530451</v>
      </c>
      <c r="AF39" s="59" t="s">
        <v>576</v>
      </c>
      <c r="AG39" s="21">
        <f>SiteServices!AE43</f>
        <v>2717.70678461852</v>
      </c>
      <c r="AH39" s="21">
        <f>SiteServices!AF43</f>
        <v>2706.47659129365</v>
      </c>
      <c r="AI39" s="21">
        <f>SiteServices!AG43</f>
        <v>2695.3388275434704</v>
      </c>
      <c r="AJ39" s="21">
        <f>SiteServices!AH43</f>
        <v>2684.292356938784</v>
      </c>
      <c r="AK39" s="21">
        <f>SiteServices!AI43</f>
        <v>2673.3360616043396</v>
      </c>
      <c r="AL39" s="21">
        <f>SiteServices!AJ43</f>
        <v>2662.4688418417204</v>
      </c>
      <c r="AM39" s="21">
        <f>SiteServices!AK43</f>
        <v>2651.6896157613896</v>
      </c>
      <c r="AN39" s="21">
        <f>SiteServices!AL43</f>
        <v>2640.9973189236421</v>
      </c>
      <c r="AO39" s="21">
        <f>SiteServices!AM43</f>
        <v>2630.3909039882055</v>
      </c>
      <c r="AP39" s="21">
        <f>SiteServices!AN43</f>
        <v>2619.8693403722527</v>
      </c>
      <c r="AQ39" s="21">
        <f>SiteServices!AO43</f>
        <v>2609.4316139165867</v>
      </c>
      <c r="AR39" s="21">
        <f>SiteServices!AP43</f>
        <v>2599.0767265597747</v>
      </c>
      <c r="AS39" s="3">
        <f>SUM(AG39:AR39)</f>
        <v>31891.074983362334</v>
      </c>
    </row>
    <row r="40" spans="1:45" ht="13.5" thickBot="1">
      <c r="A40" s="189"/>
      <c r="B40" s="136" t="s">
        <v>97</v>
      </c>
      <c r="C40" s="19">
        <f t="shared" ref="C40:O40" si="12">C39</f>
        <v>3253.2292552794033</v>
      </c>
      <c r="D40" s="19">
        <f t="shared" si="12"/>
        <v>3248.6874513729499</v>
      </c>
      <c r="E40" s="19">
        <f t="shared" si="12"/>
        <v>3244.1583113292113</v>
      </c>
      <c r="F40" s="19">
        <f t="shared" si="12"/>
        <v>3239.6417822561593</v>
      </c>
      <c r="G40" s="19">
        <f t="shared" si="12"/>
        <v>3235.1378115559023</v>
      </c>
      <c r="H40" s="19">
        <f t="shared" si="12"/>
        <v>3230.6463469226433</v>
      </c>
      <c r="I40" s="19">
        <f t="shared" si="12"/>
        <v>3226.1673363406549</v>
      </c>
      <c r="J40" s="19">
        <f t="shared" si="12"/>
        <v>3221.7007280822713</v>
      </c>
      <c r="K40" s="19">
        <f t="shared" si="12"/>
        <v>3217.2464707058984</v>
      </c>
      <c r="L40" s="19">
        <f t="shared" si="12"/>
        <v>3212.8045130540359</v>
      </c>
      <c r="M40" s="19">
        <f t="shared" si="12"/>
        <v>3208.3748042513221</v>
      </c>
      <c r="N40" s="19">
        <f t="shared" si="12"/>
        <v>3203.9572937025887</v>
      </c>
      <c r="O40" s="19">
        <f t="shared" si="12"/>
        <v>38741.75210485304</v>
      </c>
      <c r="Q40" s="20"/>
      <c r="R40" s="19">
        <f t="shared" ref="R40:AD40" si="13">R39</f>
        <v>2853.5921238494448</v>
      </c>
      <c r="S40" s="19">
        <f t="shared" si="13"/>
        <v>2841.8004208583316</v>
      </c>
      <c r="T40" s="19">
        <f t="shared" si="13"/>
        <v>2830.1057689206432</v>
      </c>
      <c r="U40" s="19">
        <f t="shared" si="13"/>
        <v>2818.5069747857224</v>
      </c>
      <c r="V40" s="19">
        <f t="shared" si="13"/>
        <v>2807.0028646845562</v>
      </c>
      <c r="W40" s="19">
        <f t="shared" si="13"/>
        <v>2795.5922839338064</v>
      </c>
      <c r="X40" s="19">
        <f t="shared" si="13"/>
        <v>2784.274096549459</v>
      </c>
      <c r="Y40" s="19">
        <f t="shared" si="13"/>
        <v>2773.0471848698239</v>
      </c>
      <c r="Z40" s="19">
        <f t="shared" si="13"/>
        <v>2761.910449187616</v>
      </c>
      <c r="AA40" s="19">
        <f t="shared" si="13"/>
        <v>2750.8628073908658</v>
      </c>
      <c r="AB40" s="19">
        <f t="shared" si="13"/>
        <v>2739.903194612416</v>
      </c>
      <c r="AC40" s="19">
        <f t="shared" si="13"/>
        <v>2729.0305628877636</v>
      </c>
      <c r="AD40" s="19">
        <f t="shared" si="13"/>
        <v>33485.628732530451</v>
      </c>
      <c r="AF40" s="20"/>
      <c r="AG40" s="19">
        <f t="shared" ref="AG40:AS40" si="14">AG39</f>
        <v>2717.70678461852</v>
      </c>
      <c r="AH40" s="19">
        <f t="shared" si="14"/>
        <v>2706.47659129365</v>
      </c>
      <c r="AI40" s="19">
        <f t="shared" si="14"/>
        <v>2695.3388275434704</v>
      </c>
      <c r="AJ40" s="19">
        <f t="shared" si="14"/>
        <v>2684.292356938784</v>
      </c>
      <c r="AK40" s="19">
        <f t="shared" si="14"/>
        <v>2673.3360616043396</v>
      </c>
      <c r="AL40" s="19">
        <f t="shared" si="14"/>
        <v>2662.4688418417204</v>
      </c>
      <c r="AM40" s="19">
        <f t="shared" si="14"/>
        <v>2651.6896157613896</v>
      </c>
      <c r="AN40" s="19">
        <f t="shared" si="14"/>
        <v>2640.9973189236421</v>
      </c>
      <c r="AO40" s="19">
        <f t="shared" si="14"/>
        <v>2630.3909039882055</v>
      </c>
      <c r="AP40" s="19">
        <f t="shared" si="14"/>
        <v>2619.8693403722527</v>
      </c>
      <c r="AQ40" s="19">
        <f t="shared" si="14"/>
        <v>2609.4316139165867</v>
      </c>
      <c r="AR40" s="19">
        <f t="shared" si="14"/>
        <v>2599.0767265597747</v>
      </c>
      <c r="AS40" s="19">
        <f t="shared" si="14"/>
        <v>31891.074983362334</v>
      </c>
    </row>
    <row r="41" spans="1:45" ht="13.5" thickTop="1">
      <c r="A41" s="189"/>
      <c r="B41" s="19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0"/>
      <c r="Q41" s="20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0"/>
      <c r="AF41" s="20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0"/>
    </row>
    <row r="42" spans="1:45">
      <c r="A42" s="189"/>
      <c r="B42" s="190" t="str">
        <f>'O&amp;M Budget'!A17</f>
        <v>MAINTENANCE/OVERHAUL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0"/>
      <c r="Q42" s="20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0"/>
      <c r="AF42" s="20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0"/>
    </row>
    <row r="43" spans="1:45">
      <c r="A43" s="189"/>
      <c r="B43" s="139" t="s">
        <v>102</v>
      </c>
      <c r="C43" s="21">
        <f>'R&amp;M'!B7</f>
        <v>0</v>
      </c>
      <c r="D43" s="21">
        <f>'R&amp;M'!C7</f>
        <v>0</v>
      </c>
      <c r="E43" s="21">
        <f>'R&amp;M'!D7</f>
        <v>4353.3</v>
      </c>
      <c r="F43" s="21">
        <f>'R&amp;M'!E7</f>
        <v>0</v>
      </c>
      <c r="G43" s="21">
        <f>'R&amp;M'!F7</f>
        <v>0</v>
      </c>
      <c r="H43" s="21">
        <f>'R&amp;M'!G7</f>
        <v>4353.3</v>
      </c>
      <c r="I43" s="21">
        <f>'R&amp;M'!H7</f>
        <v>0</v>
      </c>
      <c r="J43" s="21">
        <f>'R&amp;M'!I7</f>
        <v>0</v>
      </c>
      <c r="K43" s="21">
        <f>'R&amp;M'!J7</f>
        <v>23679.9</v>
      </c>
      <c r="L43" s="21">
        <f>'R&amp;M'!K7</f>
        <v>0</v>
      </c>
      <c r="M43" s="21">
        <f>'R&amp;M'!L7</f>
        <v>0</v>
      </c>
      <c r="N43" s="21">
        <f>'R&amp;M'!M7</f>
        <v>4353.3</v>
      </c>
      <c r="O43" s="3">
        <f t="shared" ref="O43:O49" si="15">SUM(C43:N43)</f>
        <v>36739.800000000003</v>
      </c>
      <c r="Q43" s="20" t="s">
        <v>102</v>
      </c>
      <c r="R43" s="21">
        <f>'R&amp;M'!P6</f>
        <v>7818.7193509226827</v>
      </c>
      <c r="S43" s="21">
        <f>'R&amp;M'!Q6</f>
        <v>7786.4105932742423</v>
      </c>
      <c r="T43" s="21">
        <f>'R&amp;M'!R6</f>
        <v>7754.3677513266111</v>
      </c>
      <c r="U43" s="21">
        <f>'R&amp;M'!S6</f>
        <v>1419.0454411827486</v>
      </c>
      <c r="V43" s="21">
        <f>'R&amp;M'!T6</f>
        <v>1413.2534189738394</v>
      </c>
      <c r="W43" s="21">
        <f>'R&amp;M'!U6</f>
        <v>1407.5084863763848</v>
      </c>
      <c r="X43" s="21">
        <f>'R&amp;M'!V6</f>
        <v>1401.8100714517841</v>
      </c>
      <c r="Y43" s="21">
        <f>'R&amp;M'!W6</f>
        <v>1396.1576114862528</v>
      </c>
      <c r="Z43" s="21">
        <f>'R&amp;M'!X6</f>
        <v>1390.5505528055851</v>
      </c>
      <c r="AA43" s="21">
        <f>'R&amp;M'!Y6</f>
        <v>1384.9883505943628</v>
      </c>
      <c r="AB43" s="21">
        <f>'R&amp;M'!Z6</f>
        <v>1379.4704687194849</v>
      </c>
      <c r="AC43" s="21">
        <f>'R&amp;M'!AA6</f>
        <v>1373.9963795578997</v>
      </c>
      <c r="AD43" s="3">
        <f>SUM(R43:AC43)</f>
        <v>35926.278476671876</v>
      </c>
      <c r="AF43" s="20" t="s">
        <v>102</v>
      </c>
      <c r="AG43" s="21">
        <f>'R&amp;M'!AD6</f>
        <v>7477.4260459220914</v>
      </c>
      <c r="AH43" s="21">
        <f>'R&amp;M'!AE6</f>
        <v>7446.3993818311283</v>
      </c>
      <c r="AI43" s="21">
        <f>'R&amp;M'!AF6</f>
        <v>7415.629136451661</v>
      </c>
      <c r="AJ43" s="21">
        <f>'R&amp;M'!AG6</f>
        <v>1357.0334612917527</v>
      </c>
      <c r="AK43" s="21">
        <f>'R&amp;M'!AH6</f>
        <v>1351.471848745475</v>
      </c>
      <c r="AL43" s="21">
        <f>'R&amp;M'!AI6</f>
        <v>1345.9556371179426</v>
      </c>
      <c r="AM43" s="21">
        <f>'R&amp;M'!AJ6</f>
        <v>1340.4842727394143</v>
      </c>
      <c r="AN43" s="21">
        <f>'R&amp;M'!AK6</f>
        <v>1335.0572109064613</v>
      </c>
      <c r="AO43" s="21">
        <f>'R&amp;M'!AL6</f>
        <v>1329.6739157011932</v>
      </c>
      <c r="AP43" s="21">
        <f>'R&amp;M'!AM6</f>
        <v>1324.333859814843</v>
      </c>
      <c r="AQ43" s="21">
        <f>'R&amp;M'!AN6</f>
        <v>1319.0365243755837</v>
      </c>
      <c r="AR43" s="21">
        <f>'R&amp;M'!AO6</f>
        <v>1313.7813987804618</v>
      </c>
      <c r="AS43" s="3">
        <f>SUM(AG43:AR43)</f>
        <v>34356.282693678004</v>
      </c>
    </row>
    <row r="44" spans="1:45" ht="3" customHeight="1">
      <c r="A44" s="189"/>
      <c r="B44" s="139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0"/>
      <c r="Q44" s="20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0"/>
      <c r="AF44" s="20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0"/>
    </row>
    <row r="45" spans="1:45">
      <c r="A45" s="189"/>
      <c r="B45" s="139" t="s">
        <v>103</v>
      </c>
      <c r="C45" s="21">
        <f>'R&amp;M'!B11</f>
        <v>1315</v>
      </c>
      <c r="D45" s="21">
        <f>'R&amp;M'!C11</f>
        <v>1315</v>
      </c>
      <c r="E45" s="21">
        <f>'R&amp;M'!D11</f>
        <v>1315</v>
      </c>
      <c r="F45" s="21">
        <f>'R&amp;M'!E11</f>
        <v>1315</v>
      </c>
      <c r="G45" s="21">
        <f>'R&amp;M'!F11</f>
        <v>51315</v>
      </c>
      <c r="H45" s="21">
        <f>'R&amp;M'!G11</f>
        <v>1315</v>
      </c>
      <c r="I45" s="21">
        <f>'R&amp;M'!H11</f>
        <v>1315</v>
      </c>
      <c r="J45" s="21">
        <f>'R&amp;M'!I11</f>
        <v>1315</v>
      </c>
      <c r="K45" s="21">
        <f>'R&amp;M'!J11</f>
        <v>1315</v>
      </c>
      <c r="L45" s="21">
        <f>'R&amp;M'!K11</f>
        <v>1315</v>
      </c>
      <c r="M45" s="21">
        <f>'R&amp;M'!L11</f>
        <v>1315</v>
      </c>
      <c r="N45" s="21">
        <f>'R&amp;M'!M11</f>
        <v>1315</v>
      </c>
      <c r="O45" s="3">
        <f t="shared" si="15"/>
        <v>65780</v>
      </c>
      <c r="Q45" s="20" t="s">
        <v>103</v>
      </c>
      <c r="R45" s="21">
        <f>'R&amp;M'!P11</f>
        <v>152063.16666666666</v>
      </c>
      <c r="S45" s="21">
        <f>'R&amp;M'!Q11</f>
        <v>152063.16666666666</v>
      </c>
      <c r="T45" s="21">
        <f>'R&amp;M'!R11</f>
        <v>152063.16666666666</v>
      </c>
      <c r="U45" s="21">
        <f>'R&amp;M'!S11</f>
        <v>152063.16666666666</v>
      </c>
      <c r="V45" s="21">
        <f>'R&amp;M'!T11</f>
        <v>152063.16666666666</v>
      </c>
      <c r="W45" s="21">
        <f>'R&amp;M'!U11</f>
        <v>152063.16666666666</v>
      </c>
      <c r="X45" s="21">
        <f>'R&amp;M'!V11</f>
        <v>152063.16666666666</v>
      </c>
      <c r="Y45" s="21">
        <f>'R&amp;M'!W11</f>
        <v>152063.16666666666</v>
      </c>
      <c r="Z45" s="21">
        <f>'R&amp;M'!X11</f>
        <v>152063.16666666666</v>
      </c>
      <c r="AA45" s="21">
        <f>'R&amp;M'!Y11</f>
        <v>152063.16666666666</v>
      </c>
      <c r="AB45" s="21">
        <f>'R&amp;M'!Z11</f>
        <v>152063.16666666666</v>
      </c>
      <c r="AC45" s="21">
        <f>'R&amp;M'!AA11</f>
        <v>152063.16666666666</v>
      </c>
      <c r="AD45" s="3">
        <f>SUM(R45:AC45)</f>
        <v>1824758.0000000002</v>
      </c>
      <c r="AF45" s="20" t="s">
        <v>103</v>
      </c>
      <c r="AG45" s="21">
        <f>'R&amp;M'!AD11</f>
        <v>167867.66666666666</v>
      </c>
      <c r="AH45" s="21">
        <f>'R&amp;M'!AE11</f>
        <v>167867.66666666666</v>
      </c>
      <c r="AI45" s="21">
        <f>'R&amp;M'!AF11</f>
        <v>167867.66666666666</v>
      </c>
      <c r="AJ45" s="21">
        <f>'R&amp;M'!AG11</f>
        <v>167867.66666666666</v>
      </c>
      <c r="AK45" s="21">
        <f>'R&amp;M'!AH11</f>
        <v>167867.66666666666</v>
      </c>
      <c r="AL45" s="21">
        <f>'R&amp;M'!AI11</f>
        <v>167867.66666666666</v>
      </c>
      <c r="AM45" s="21">
        <f>'R&amp;M'!AJ11</f>
        <v>167867.66666666666</v>
      </c>
      <c r="AN45" s="21">
        <f>'R&amp;M'!AK11</f>
        <v>167867.66666666666</v>
      </c>
      <c r="AO45" s="21">
        <f>'R&amp;M'!AL11</f>
        <v>167867.66666666666</v>
      </c>
      <c r="AP45" s="21">
        <f>'R&amp;M'!AM11</f>
        <v>167867.66666666666</v>
      </c>
      <c r="AQ45" s="21">
        <f>'R&amp;M'!AN11</f>
        <v>167867.66666666666</v>
      </c>
      <c r="AR45" s="21">
        <f>'R&amp;M'!AO11</f>
        <v>167867.66666666666</v>
      </c>
      <c r="AS45" s="3">
        <f>SUM(AG45:AR45)</f>
        <v>2014412.0000000002</v>
      </c>
    </row>
    <row r="46" spans="1:45" ht="1.9" customHeight="1">
      <c r="A46" s="189"/>
      <c r="B46" s="139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0"/>
      <c r="Q46" s="20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0"/>
      <c r="AF46" s="20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0"/>
    </row>
    <row r="47" spans="1:45">
      <c r="A47" s="189"/>
      <c r="B47" s="139" t="s">
        <v>104</v>
      </c>
      <c r="C47" s="21">
        <f>'R&amp;M'!B13</f>
        <v>19678</v>
      </c>
      <c r="D47" s="21">
        <f>'R&amp;M'!C13</f>
        <v>19678</v>
      </c>
      <c r="E47" s="21">
        <f>'R&amp;M'!D13</f>
        <v>19678</v>
      </c>
      <c r="F47" s="21">
        <f>'R&amp;M'!E13</f>
        <v>19678</v>
      </c>
      <c r="G47" s="21">
        <f>'R&amp;M'!F13</f>
        <v>19678</v>
      </c>
      <c r="H47" s="21">
        <f>'R&amp;M'!G13</f>
        <v>19678</v>
      </c>
      <c r="I47" s="21">
        <f>'R&amp;M'!H13</f>
        <v>19678</v>
      </c>
      <c r="J47" s="21">
        <f>'R&amp;M'!I13</f>
        <v>19678</v>
      </c>
      <c r="K47" s="21">
        <f>'R&amp;M'!J13</f>
        <v>19678</v>
      </c>
      <c r="L47" s="21">
        <f>'R&amp;M'!K13</f>
        <v>19678</v>
      </c>
      <c r="M47" s="21">
        <f>'R&amp;M'!L13</f>
        <v>19678</v>
      </c>
      <c r="N47" s="21">
        <f>'R&amp;M'!M13</f>
        <v>19678</v>
      </c>
      <c r="O47" s="3">
        <f t="shared" si="15"/>
        <v>236136</v>
      </c>
      <c r="Q47" s="20" t="s">
        <v>104</v>
      </c>
      <c r="R47" s="21">
        <f>'R&amp;M'!P13</f>
        <v>20993</v>
      </c>
      <c r="S47" s="21">
        <f>'R&amp;M'!Q13</f>
        <v>20993</v>
      </c>
      <c r="T47" s="21">
        <f>'R&amp;M'!R13</f>
        <v>20993</v>
      </c>
      <c r="U47" s="21">
        <f>'R&amp;M'!S13</f>
        <v>20993</v>
      </c>
      <c r="V47" s="21">
        <f>'R&amp;M'!T13</f>
        <v>20993</v>
      </c>
      <c r="W47" s="21">
        <f>'R&amp;M'!U13</f>
        <v>20993</v>
      </c>
      <c r="X47" s="21">
        <f>'R&amp;M'!V13</f>
        <v>20993</v>
      </c>
      <c r="Y47" s="21">
        <f>'R&amp;M'!W13</f>
        <v>20993</v>
      </c>
      <c r="Z47" s="21">
        <f>'R&amp;M'!X13</f>
        <v>20993</v>
      </c>
      <c r="AA47" s="21">
        <f>'R&amp;M'!Y13</f>
        <v>20993</v>
      </c>
      <c r="AB47" s="21">
        <f>'R&amp;M'!Z13</f>
        <v>20993</v>
      </c>
      <c r="AC47" s="21">
        <f>'R&amp;M'!AA13</f>
        <v>20993</v>
      </c>
      <c r="AD47" s="3">
        <f>SUM(R47:AC47)</f>
        <v>251916</v>
      </c>
      <c r="AF47" s="20" t="s">
        <v>104</v>
      </c>
      <c r="AG47" s="21">
        <f>'R&amp;M'!AD13</f>
        <v>20993</v>
      </c>
      <c r="AH47" s="21">
        <f>'R&amp;M'!AE13</f>
        <v>20993</v>
      </c>
      <c r="AI47" s="21">
        <f>'R&amp;M'!AF13</f>
        <v>20993</v>
      </c>
      <c r="AJ47" s="21">
        <f>'R&amp;M'!AG13</f>
        <v>20993</v>
      </c>
      <c r="AK47" s="21">
        <f>'R&amp;M'!AH13</f>
        <v>20993</v>
      </c>
      <c r="AL47" s="21">
        <f>'R&amp;M'!AI13</f>
        <v>20993</v>
      </c>
      <c r="AM47" s="21">
        <f>'R&amp;M'!AJ13</f>
        <v>20993</v>
      </c>
      <c r="AN47" s="21">
        <f>'R&amp;M'!AK13</f>
        <v>20993</v>
      </c>
      <c r="AO47" s="21">
        <f>'R&amp;M'!AL13</f>
        <v>20993</v>
      </c>
      <c r="AP47" s="21">
        <f>'R&amp;M'!AM13</f>
        <v>20993</v>
      </c>
      <c r="AQ47" s="21">
        <f>'R&amp;M'!AN13</f>
        <v>20993</v>
      </c>
      <c r="AR47" s="21">
        <f>'R&amp;M'!AO13</f>
        <v>20993</v>
      </c>
      <c r="AS47" s="3">
        <f>SUM(AG47:AR47)</f>
        <v>251916</v>
      </c>
    </row>
    <row r="48" spans="1:45">
      <c r="A48" s="189"/>
      <c r="B48" s="139" t="s">
        <v>105</v>
      </c>
      <c r="C48" s="21">
        <f>'R&amp;M'!B14</f>
        <v>17072</v>
      </c>
      <c r="D48" s="21">
        <f>'R&amp;M'!C14</f>
        <v>17072</v>
      </c>
      <c r="E48" s="21">
        <f>'R&amp;M'!D14</f>
        <v>17072</v>
      </c>
      <c r="F48" s="21">
        <f>'R&amp;M'!E14</f>
        <v>17072</v>
      </c>
      <c r="G48" s="21">
        <f>'R&amp;M'!F14</f>
        <v>17072</v>
      </c>
      <c r="H48" s="21">
        <f>'R&amp;M'!G14</f>
        <v>17072</v>
      </c>
      <c r="I48" s="21">
        <f>'R&amp;M'!H14</f>
        <v>17072</v>
      </c>
      <c r="J48" s="21">
        <f>'R&amp;M'!I14</f>
        <v>17072</v>
      </c>
      <c r="K48" s="21">
        <f>'R&amp;M'!J14</f>
        <v>17072</v>
      </c>
      <c r="L48" s="21">
        <f>'R&amp;M'!K14</f>
        <v>17072</v>
      </c>
      <c r="M48" s="21">
        <f>'R&amp;M'!L14</f>
        <v>17072</v>
      </c>
      <c r="N48" s="21">
        <f>'R&amp;M'!M14</f>
        <v>17072</v>
      </c>
      <c r="O48" s="3">
        <f t="shared" si="15"/>
        <v>204864</v>
      </c>
      <c r="Q48" s="20" t="s">
        <v>105</v>
      </c>
      <c r="R48" s="21">
        <f>'R&amp;M'!P14</f>
        <v>17072</v>
      </c>
      <c r="S48" s="21">
        <f>'R&amp;M'!Q14</f>
        <v>17072</v>
      </c>
      <c r="T48" s="21">
        <f>'R&amp;M'!R14</f>
        <v>17072</v>
      </c>
      <c r="U48" s="21">
        <f>'R&amp;M'!S14</f>
        <v>17072</v>
      </c>
      <c r="V48" s="21">
        <f>'R&amp;M'!T14</f>
        <v>17072</v>
      </c>
      <c r="W48" s="21">
        <f>'R&amp;M'!U14</f>
        <v>17072</v>
      </c>
      <c r="X48" s="21">
        <f>'R&amp;M'!V14</f>
        <v>17072</v>
      </c>
      <c r="Y48" s="21">
        <f>'R&amp;M'!W14</f>
        <v>17072</v>
      </c>
      <c r="Z48" s="21">
        <f>'R&amp;M'!X14</f>
        <v>17072</v>
      </c>
      <c r="AA48" s="21">
        <f>'R&amp;M'!Y14</f>
        <v>17072</v>
      </c>
      <c r="AB48" s="21">
        <f>'R&amp;M'!Z14</f>
        <v>17072</v>
      </c>
      <c r="AC48" s="21">
        <f>'R&amp;M'!AA14</f>
        <v>17072</v>
      </c>
      <c r="AD48" s="3">
        <f>SUM(R48:AC48)</f>
        <v>204864</v>
      </c>
      <c r="AF48" s="20" t="s">
        <v>105</v>
      </c>
      <c r="AG48" s="21">
        <f>'R&amp;M'!AD14</f>
        <v>17072</v>
      </c>
      <c r="AH48" s="21">
        <f>'R&amp;M'!AE14</f>
        <v>17072</v>
      </c>
      <c r="AI48" s="21">
        <f>'R&amp;M'!AF14</f>
        <v>17072</v>
      </c>
      <c r="AJ48" s="21">
        <f>'R&amp;M'!AG14</f>
        <v>17072</v>
      </c>
      <c r="AK48" s="21">
        <f>'R&amp;M'!AH14</f>
        <v>17072</v>
      </c>
      <c r="AL48" s="21">
        <f>'R&amp;M'!AI14</f>
        <v>17072</v>
      </c>
      <c r="AM48" s="21">
        <f>'R&amp;M'!AJ14</f>
        <v>17072</v>
      </c>
      <c r="AN48" s="21">
        <f>'R&amp;M'!AK14</f>
        <v>17072</v>
      </c>
      <c r="AO48" s="21">
        <f>'R&amp;M'!AL14</f>
        <v>17072</v>
      </c>
      <c r="AP48" s="21">
        <f>'R&amp;M'!AM14</f>
        <v>17072</v>
      </c>
      <c r="AQ48" s="21">
        <f>'R&amp;M'!AN14</f>
        <v>17072</v>
      </c>
      <c r="AR48" s="21">
        <f>'R&amp;M'!AO14</f>
        <v>17072</v>
      </c>
      <c r="AS48" s="3">
        <f>SUM(AG48:AR48)</f>
        <v>204864</v>
      </c>
    </row>
    <row r="49" spans="1:45">
      <c r="A49" s="189"/>
      <c r="B49" s="139" t="s">
        <v>106</v>
      </c>
      <c r="C49" s="21">
        <f>'R&amp;M'!B15</f>
        <v>7045</v>
      </c>
      <c r="D49" s="21">
        <f>'R&amp;M'!C15</f>
        <v>7045</v>
      </c>
      <c r="E49" s="21">
        <f>'R&amp;M'!D15</f>
        <v>7045</v>
      </c>
      <c r="F49" s="21">
        <f>'R&amp;M'!E15</f>
        <v>7045</v>
      </c>
      <c r="G49" s="21">
        <f>'R&amp;M'!F15</f>
        <v>7045</v>
      </c>
      <c r="H49" s="21">
        <f>'R&amp;M'!G15</f>
        <v>7045</v>
      </c>
      <c r="I49" s="21">
        <f>'R&amp;M'!H15</f>
        <v>7045</v>
      </c>
      <c r="J49" s="21">
        <f>'R&amp;M'!I15</f>
        <v>7045</v>
      </c>
      <c r="K49" s="21">
        <f>'R&amp;M'!J15</f>
        <v>7045</v>
      </c>
      <c r="L49" s="21">
        <f>'R&amp;M'!K15</f>
        <v>7045</v>
      </c>
      <c r="M49" s="21">
        <f>'R&amp;M'!L15</f>
        <v>7045</v>
      </c>
      <c r="N49" s="21">
        <f>'R&amp;M'!M15</f>
        <v>7045</v>
      </c>
      <c r="O49" s="3">
        <f t="shared" si="15"/>
        <v>84540</v>
      </c>
      <c r="Q49" s="20" t="s">
        <v>106</v>
      </c>
      <c r="R49" s="21">
        <f>'R&amp;M'!P15</f>
        <v>7045</v>
      </c>
      <c r="S49" s="21">
        <f>'R&amp;M'!Q15</f>
        <v>7045</v>
      </c>
      <c r="T49" s="21">
        <f>'R&amp;M'!R15</f>
        <v>7045</v>
      </c>
      <c r="U49" s="21">
        <f>'R&amp;M'!S15</f>
        <v>7045</v>
      </c>
      <c r="V49" s="21">
        <f>'R&amp;M'!T15</f>
        <v>7045</v>
      </c>
      <c r="W49" s="21">
        <f>'R&amp;M'!U15</f>
        <v>7045</v>
      </c>
      <c r="X49" s="21">
        <f>'R&amp;M'!V15</f>
        <v>7045</v>
      </c>
      <c r="Y49" s="21">
        <f>'R&amp;M'!W15</f>
        <v>7045</v>
      </c>
      <c r="Z49" s="21">
        <f>'R&amp;M'!X15</f>
        <v>7045</v>
      </c>
      <c r="AA49" s="21">
        <f>'R&amp;M'!Y15</f>
        <v>7045</v>
      </c>
      <c r="AB49" s="21">
        <f>'R&amp;M'!Z15</f>
        <v>7045</v>
      </c>
      <c r="AC49" s="21">
        <f>'R&amp;M'!AA15</f>
        <v>7045</v>
      </c>
      <c r="AD49" s="3">
        <f>SUM(R49:AC49)</f>
        <v>84540</v>
      </c>
      <c r="AF49" s="20" t="s">
        <v>106</v>
      </c>
      <c r="AG49" s="21">
        <f>'R&amp;M'!AD15</f>
        <v>7045</v>
      </c>
      <c r="AH49" s="21">
        <f>'R&amp;M'!AE15</f>
        <v>7045</v>
      </c>
      <c r="AI49" s="21">
        <f>'R&amp;M'!AF15</f>
        <v>7045</v>
      </c>
      <c r="AJ49" s="21">
        <f>'R&amp;M'!AG15</f>
        <v>7045</v>
      </c>
      <c r="AK49" s="21">
        <f>'R&amp;M'!AH15</f>
        <v>7045</v>
      </c>
      <c r="AL49" s="21">
        <f>'R&amp;M'!AI15</f>
        <v>7045</v>
      </c>
      <c r="AM49" s="21">
        <f>'R&amp;M'!AJ15</f>
        <v>7045</v>
      </c>
      <c r="AN49" s="21">
        <f>'R&amp;M'!AK15</f>
        <v>7045</v>
      </c>
      <c r="AO49" s="21">
        <f>'R&amp;M'!AL15</f>
        <v>7045</v>
      </c>
      <c r="AP49" s="21">
        <f>'R&amp;M'!AM15</f>
        <v>7045</v>
      </c>
      <c r="AQ49" s="21">
        <f>'R&amp;M'!AN15</f>
        <v>7045</v>
      </c>
      <c r="AR49" s="21">
        <f>'R&amp;M'!AO15</f>
        <v>7045</v>
      </c>
      <c r="AS49" s="3">
        <f>SUM(AG49:AR49)</f>
        <v>84540</v>
      </c>
    </row>
    <row r="50" spans="1:45" ht="13.5" thickBot="1">
      <c r="A50" s="20"/>
      <c r="B50" s="136" t="s">
        <v>97</v>
      </c>
      <c r="C50" s="19">
        <f>SUM(C43:C49)</f>
        <v>45110</v>
      </c>
      <c r="D50" s="19">
        <f t="shared" ref="D50:O50" si="16">SUM(D43:D49)</f>
        <v>45110</v>
      </c>
      <c r="E50" s="19">
        <f t="shared" si="16"/>
        <v>49463.3</v>
      </c>
      <c r="F50" s="19">
        <f t="shared" si="16"/>
        <v>45110</v>
      </c>
      <c r="G50" s="19">
        <f t="shared" si="16"/>
        <v>95110</v>
      </c>
      <c r="H50" s="19">
        <f t="shared" si="16"/>
        <v>49463.3</v>
      </c>
      <c r="I50" s="19">
        <f t="shared" si="16"/>
        <v>45110</v>
      </c>
      <c r="J50" s="19">
        <f t="shared" si="16"/>
        <v>45110</v>
      </c>
      <c r="K50" s="19">
        <f t="shared" si="16"/>
        <v>68789.899999999994</v>
      </c>
      <c r="L50" s="19">
        <f t="shared" si="16"/>
        <v>45110</v>
      </c>
      <c r="M50" s="19">
        <f t="shared" si="16"/>
        <v>45110</v>
      </c>
      <c r="N50" s="19">
        <f t="shared" si="16"/>
        <v>49463.3</v>
      </c>
      <c r="O50" s="19">
        <f t="shared" si="16"/>
        <v>628059.80000000005</v>
      </c>
      <c r="Q50" s="20"/>
      <c r="R50" s="19">
        <f t="shared" ref="R50:AD50" si="17">SUM(R43:R49)</f>
        <v>204991.88601758934</v>
      </c>
      <c r="S50" s="19">
        <f t="shared" si="17"/>
        <v>204959.57725994091</v>
      </c>
      <c r="T50" s="19">
        <f t="shared" si="17"/>
        <v>204927.53441799327</v>
      </c>
      <c r="U50" s="19">
        <f t="shared" si="17"/>
        <v>198592.21210784939</v>
      </c>
      <c r="V50" s="19">
        <f t="shared" si="17"/>
        <v>198586.42008564051</v>
      </c>
      <c r="W50" s="19">
        <f t="shared" si="17"/>
        <v>198580.67515304303</v>
      </c>
      <c r="X50" s="19">
        <f t="shared" si="17"/>
        <v>198574.97673811845</v>
      </c>
      <c r="Y50" s="19">
        <f t="shared" si="17"/>
        <v>198569.3242781529</v>
      </c>
      <c r="Z50" s="19">
        <f t="shared" si="17"/>
        <v>198563.71721947225</v>
      </c>
      <c r="AA50" s="19">
        <f t="shared" si="17"/>
        <v>198558.15501726102</v>
      </c>
      <c r="AB50" s="19">
        <f t="shared" si="17"/>
        <v>198552.63713538615</v>
      </c>
      <c r="AC50" s="19">
        <f t="shared" si="17"/>
        <v>198547.16304622457</v>
      </c>
      <c r="AD50" s="19">
        <f t="shared" si="17"/>
        <v>2402004.2784766722</v>
      </c>
      <c r="AF50" s="20"/>
      <c r="AG50" s="19">
        <f t="shared" ref="AG50:AS50" si="18">SUM(AG43:AG49)</f>
        <v>220455.09271258875</v>
      </c>
      <c r="AH50" s="19">
        <f t="shared" si="18"/>
        <v>220424.0660484978</v>
      </c>
      <c r="AI50" s="19">
        <f t="shared" si="18"/>
        <v>220393.29580311832</v>
      </c>
      <c r="AJ50" s="19">
        <f t="shared" si="18"/>
        <v>214334.70012795841</v>
      </c>
      <c r="AK50" s="19">
        <f t="shared" si="18"/>
        <v>214329.13851541214</v>
      </c>
      <c r="AL50" s="19">
        <f t="shared" si="18"/>
        <v>214323.62230378459</v>
      </c>
      <c r="AM50" s="19">
        <f t="shared" si="18"/>
        <v>214318.15093940607</v>
      </c>
      <c r="AN50" s="19">
        <f t="shared" si="18"/>
        <v>214312.72387757312</v>
      </c>
      <c r="AO50" s="19">
        <f t="shared" si="18"/>
        <v>214307.34058236785</v>
      </c>
      <c r="AP50" s="19">
        <f t="shared" si="18"/>
        <v>214302.00052648151</v>
      </c>
      <c r="AQ50" s="19">
        <f t="shared" si="18"/>
        <v>214296.70319104224</v>
      </c>
      <c r="AR50" s="19">
        <f t="shared" si="18"/>
        <v>214291.44806544713</v>
      </c>
      <c r="AS50" s="19">
        <f t="shared" si="18"/>
        <v>2590088.2826936785</v>
      </c>
    </row>
    <row r="51" spans="1:45" ht="13.5" thickTop="1">
      <c r="A51" s="20"/>
      <c r="B51" s="317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3"/>
      <c r="Q51" s="58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F51" s="58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1:45">
      <c r="A52" s="64" t="s">
        <v>299</v>
      </c>
      <c r="B52" s="60" t="s">
        <v>19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0"/>
      <c r="Q52" s="60" t="s">
        <v>578</v>
      </c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0"/>
      <c r="AF52" s="60" t="s">
        <v>578</v>
      </c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0"/>
    </row>
    <row r="53" spans="1:45">
      <c r="A53" s="63" t="s">
        <v>300</v>
      </c>
      <c r="B53" s="60" t="s">
        <v>579</v>
      </c>
      <c r="C53" s="21">
        <f>SiteServices!C24</f>
        <v>11007.25</v>
      </c>
      <c r="D53" s="21">
        <f>SiteServices!D24</f>
        <v>11007.25</v>
      </c>
      <c r="E53" s="21">
        <f>SiteServices!E24</f>
        <v>11007.25</v>
      </c>
      <c r="F53" s="21">
        <f>SiteServices!F24</f>
        <v>11007.25</v>
      </c>
      <c r="G53" s="21">
        <f>SiteServices!G24</f>
        <v>13208.699999999999</v>
      </c>
      <c r="H53" s="21">
        <f>SiteServices!H24</f>
        <v>13208.699999999999</v>
      </c>
      <c r="I53" s="21">
        <f>SiteServices!I24</f>
        <v>13060.15</v>
      </c>
      <c r="J53" s="21">
        <f>SiteServices!J24</f>
        <v>13060.15</v>
      </c>
      <c r="K53" s="21">
        <f>SiteServices!K24</f>
        <v>13060.15</v>
      </c>
      <c r="L53" s="21">
        <f>SiteServices!L24</f>
        <v>13060.15</v>
      </c>
      <c r="M53" s="21">
        <f>SiteServices!M24</f>
        <v>11258.75</v>
      </c>
      <c r="N53" s="21">
        <f>SiteServices!N24</f>
        <v>11258.75</v>
      </c>
      <c r="O53" s="3">
        <f>SUM(C53:N53)</f>
        <v>145204.49999999997</v>
      </c>
      <c r="Q53" s="59" t="s">
        <v>579</v>
      </c>
      <c r="R53" s="21">
        <f>SiteServices!Q24</f>
        <v>11007.25</v>
      </c>
      <c r="S53" s="21">
        <f>SiteServices!R24</f>
        <v>11007.25</v>
      </c>
      <c r="T53" s="21">
        <f>SiteServices!S24</f>
        <v>11007.25</v>
      </c>
      <c r="U53" s="21">
        <f>SiteServices!T24</f>
        <v>11007.25</v>
      </c>
      <c r="V53" s="21">
        <f>SiteServices!U24</f>
        <v>13208.699999999999</v>
      </c>
      <c r="W53" s="21">
        <f>SiteServices!V24</f>
        <v>13208.699999999999</v>
      </c>
      <c r="X53" s="21">
        <f>SiteServices!W24</f>
        <v>13060.15</v>
      </c>
      <c r="Y53" s="21">
        <f>SiteServices!X24</f>
        <v>13060.15</v>
      </c>
      <c r="Z53" s="21">
        <f>SiteServices!Y24</f>
        <v>13060.15</v>
      </c>
      <c r="AA53" s="21">
        <f>SiteServices!Z24</f>
        <v>13060.15</v>
      </c>
      <c r="AB53" s="21">
        <f>SiteServices!AA24</f>
        <v>11258.75</v>
      </c>
      <c r="AC53" s="21">
        <f>SiteServices!AB24</f>
        <v>11258.75</v>
      </c>
      <c r="AD53" s="21">
        <f>SUM(R53:AC53)</f>
        <v>145204.49999999997</v>
      </c>
      <c r="AF53" s="59" t="s">
        <v>579</v>
      </c>
      <c r="AG53" s="21">
        <f>SiteServices!AE24</f>
        <v>11007.25</v>
      </c>
      <c r="AH53" s="21">
        <f>SiteServices!AF24</f>
        <v>11007.25</v>
      </c>
      <c r="AI53" s="21">
        <f>SiteServices!AG24</f>
        <v>11007.25</v>
      </c>
      <c r="AJ53" s="21">
        <f>SiteServices!AH24</f>
        <v>11007.25</v>
      </c>
      <c r="AK53" s="21">
        <f>SiteServices!AI24</f>
        <v>13208.699999999999</v>
      </c>
      <c r="AL53" s="21">
        <f>SiteServices!AJ24</f>
        <v>13208.699999999999</v>
      </c>
      <c r="AM53" s="21">
        <f>SiteServices!AK24</f>
        <v>13060.15</v>
      </c>
      <c r="AN53" s="21">
        <f>SiteServices!AL24</f>
        <v>13060.15</v>
      </c>
      <c r="AO53" s="21">
        <f>SiteServices!AM24</f>
        <v>13060.15</v>
      </c>
      <c r="AP53" s="21">
        <f>SiteServices!AN24</f>
        <v>13060.15</v>
      </c>
      <c r="AQ53" s="21">
        <f>SiteServices!AO24</f>
        <v>11258.75</v>
      </c>
      <c r="AR53" s="21">
        <f>SiteServices!AP24</f>
        <v>11258.75</v>
      </c>
      <c r="AS53" s="21">
        <f>SUM(AG53:AR53)</f>
        <v>145204.49999999997</v>
      </c>
    </row>
    <row r="54" spans="1:45">
      <c r="A54" s="63" t="s">
        <v>301</v>
      </c>
      <c r="B54" s="60" t="s">
        <v>580</v>
      </c>
      <c r="C54" s="21">
        <f>SiteServices!C28</f>
        <v>250</v>
      </c>
      <c r="D54" s="21">
        <f>SiteServices!D28</f>
        <v>250</v>
      </c>
      <c r="E54" s="21">
        <f>SiteServices!E28</f>
        <v>250</v>
      </c>
      <c r="F54" s="21">
        <f>SiteServices!F28</f>
        <v>250</v>
      </c>
      <c r="G54" s="21">
        <f>SiteServices!G28</f>
        <v>250</v>
      </c>
      <c r="H54" s="21">
        <f>SiteServices!H28</f>
        <v>250</v>
      </c>
      <c r="I54" s="21">
        <f>SiteServices!I28</f>
        <v>250</v>
      </c>
      <c r="J54" s="21">
        <f>SiteServices!J28</f>
        <v>250</v>
      </c>
      <c r="K54" s="21">
        <f>SiteServices!K28</f>
        <v>250</v>
      </c>
      <c r="L54" s="21">
        <f>SiteServices!L28</f>
        <v>250</v>
      </c>
      <c r="M54" s="21">
        <f>SiteServices!M28</f>
        <v>250</v>
      </c>
      <c r="N54" s="21">
        <f>SiteServices!N28</f>
        <v>250</v>
      </c>
      <c r="O54" s="3">
        <f>SUM(C54:N54)</f>
        <v>3000</v>
      </c>
      <c r="Q54" s="59" t="s">
        <v>580</v>
      </c>
      <c r="R54" s="21">
        <f>SiteServices!Q28</f>
        <v>250</v>
      </c>
      <c r="S54" s="21">
        <f>SiteServices!R28</f>
        <v>250</v>
      </c>
      <c r="T54" s="21">
        <f>SiteServices!S28</f>
        <v>250</v>
      </c>
      <c r="U54" s="21">
        <f>SiteServices!T28</f>
        <v>250</v>
      </c>
      <c r="V54" s="21">
        <f>SiteServices!U28</f>
        <v>250</v>
      </c>
      <c r="W54" s="21">
        <f>SiteServices!V28</f>
        <v>250</v>
      </c>
      <c r="X54" s="21">
        <f>SiteServices!W28</f>
        <v>250</v>
      </c>
      <c r="Y54" s="21">
        <f>SiteServices!X28</f>
        <v>250</v>
      </c>
      <c r="Z54" s="21">
        <f>SiteServices!Y28</f>
        <v>250</v>
      </c>
      <c r="AA54" s="21">
        <f>SiteServices!Z28</f>
        <v>250</v>
      </c>
      <c r="AB54" s="21">
        <f>SiteServices!AA28</f>
        <v>250</v>
      </c>
      <c r="AC54" s="21">
        <f>SiteServices!AB28</f>
        <v>250</v>
      </c>
      <c r="AD54" s="21">
        <f>SUM(R54:AC54)</f>
        <v>3000</v>
      </c>
      <c r="AF54" s="59" t="s">
        <v>580</v>
      </c>
      <c r="AG54" s="21">
        <f>SiteServices!AE28</f>
        <v>250</v>
      </c>
      <c r="AH54" s="21">
        <f>SiteServices!AF28</f>
        <v>250</v>
      </c>
      <c r="AI54" s="21">
        <f>SiteServices!AG28</f>
        <v>250</v>
      </c>
      <c r="AJ54" s="21">
        <f>SiteServices!AH28</f>
        <v>250</v>
      </c>
      <c r="AK54" s="21">
        <f>SiteServices!AI28</f>
        <v>250</v>
      </c>
      <c r="AL54" s="21">
        <f>SiteServices!AJ28</f>
        <v>250</v>
      </c>
      <c r="AM54" s="21">
        <f>SiteServices!AK28</f>
        <v>250</v>
      </c>
      <c r="AN54" s="21">
        <f>SiteServices!AL28</f>
        <v>250</v>
      </c>
      <c r="AO54" s="21">
        <f>SiteServices!AM28</f>
        <v>250</v>
      </c>
      <c r="AP54" s="21">
        <f>SiteServices!AN28</f>
        <v>250</v>
      </c>
      <c r="AQ54" s="21">
        <f>SiteServices!AO28</f>
        <v>250</v>
      </c>
      <c r="AR54" s="21">
        <f>SiteServices!AP28</f>
        <v>250</v>
      </c>
      <c r="AS54" s="21">
        <f>SUM(AG54:AR54)</f>
        <v>3000</v>
      </c>
    </row>
    <row r="55" spans="1:45" hidden="1">
      <c r="A55" s="63" t="s">
        <v>302</v>
      </c>
      <c r="B55" s="59" t="s">
        <v>615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3">
        <f>SUM(C55:N55)</f>
        <v>0</v>
      </c>
      <c r="Q55" s="59" t="s">
        <v>615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>
        <f>SUM(R55:AC55)</f>
        <v>0</v>
      </c>
      <c r="AF55" s="59" t="s">
        <v>615</v>
      </c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>
        <f>SUM(AG55:AR55)</f>
        <v>0</v>
      </c>
    </row>
    <row r="56" spans="1:45" hidden="1">
      <c r="A56" s="63" t="s">
        <v>304</v>
      </c>
      <c r="B56" s="59" t="s">
        <v>616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">
        <f>SUM(C56:N56)</f>
        <v>0</v>
      </c>
      <c r="Q56" s="59" t="s">
        <v>616</v>
      </c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>
        <f>SUM(R56:AC56)</f>
        <v>0</v>
      </c>
      <c r="AF56" s="59" t="s">
        <v>616</v>
      </c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>
        <f>SUM(AG56:AR56)</f>
        <v>0</v>
      </c>
    </row>
    <row r="57" spans="1:45" hidden="1">
      <c r="A57" s="63" t="s">
        <v>306</v>
      </c>
      <c r="B57" s="59" t="s">
        <v>617</v>
      </c>
      <c r="C57" s="21">
        <f>SiteServices!C40/Factors!C11</f>
        <v>0</v>
      </c>
      <c r="D57" s="21">
        <f>SiteServices!D40/Factors!D11</f>
        <v>0</v>
      </c>
      <c r="E57" s="21">
        <f>SiteServices!E40/Factors!E11</f>
        <v>0</v>
      </c>
      <c r="F57" s="21">
        <f>SiteServices!F40/Factors!F11</f>
        <v>0</v>
      </c>
      <c r="G57" s="21">
        <f>SiteServices!G40/Factors!G11</f>
        <v>0</v>
      </c>
      <c r="H57" s="21">
        <f>SiteServices!H40/Factors!H11</f>
        <v>0</v>
      </c>
      <c r="I57" s="21">
        <f>SiteServices!I40/Factors!I11</f>
        <v>0</v>
      </c>
      <c r="J57" s="21">
        <f>SiteServices!J40/Factors!J11</f>
        <v>0</v>
      </c>
      <c r="K57" s="21">
        <f>SiteServices!K40/Factors!K11</f>
        <v>0</v>
      </c>
      <c r="L57" s="21">
        <f>SiteServices!L40/Factors!L11</f>
        <v>0</v>
      </c>
      <c r="M57" s="21">
        <f>SiteServices!M40/Factors!M11</f>
        <v>0</v>
      </c>
      <c r="N57" s="21">
        <f>SiteServices!N40/Factors!N11</f>
        <v>0</v>
      </c>
      <c r="O57" s="3">
        <f>SUM(C57:N57)</f>
        <v>0</v>
      </c>
      <c r="Q57" s="59" t="s">
        <v>617</v>
      </c>
      <c r="R57" s="21">
        <f>SiteServices!R40/Factors!R11</f>
        <v>0</v>
      </c>
      <c r="S57" s="21">
        <f>SiteServices!S40/Factors!S11</f>
        <v>0</v>
      </c>
      <c r="T57" s="21">
        <f>SiteServices!T40/Factors!T11</f>
        <v>0</v>
      </c>
      <c r="U57" s="21">
        <f>SiteServices!U40/Factors!U11</f>
        <v>0</v>
      </c>
      <c r="V57" s="21">
        <f>SiteServices!V40/Factors!V11</f>
        <v>0</v>
      </c>
      <c r="W57" s="21">
        <f>SiteServices!W40/Factors!W11</f>
        <v>0</v>
      </c>
      <c r="X57" s="21">
        <f>SiteServices!X40/Factors!X11</f>
        <v>0</v>
      </c>
      <c r="Y57" s="21">
        <f>SiteServices!Y40/Factors!Y11</f>
        <v>0</v>
      </c>
      <c r="Z57" s="21">
        <f>SiteServices!Z40/Factors!Z11</f>
        <v>0</v>
      </c>
      <c r="AA57" s="21">
        <f>SiteServices!AA40/Factors!AA11</f>
        <v>0</v>
      </c>
      <c r="AB57" s="21">
        <f>SiteServices!AB40/Factors!AB11</f>
        <v>0</v>
      </c>
      <c r="AC57" s="21">
        <f>SiteServices!AC40/Factors!AC11</f>
        <v>0</v>
      </c>
      <c r="AD57" s="21">
        <f>SUM(R57:AC57)</f>
        <v>0</v>
      </c>
      <c r="AF57" s="59" t="s">
        <v>617</v>
      </c>
      <c r="AG57" s="21">
        <f>SiteServices!AG40/Factors!AG11</f>
        <v>0</v>
      </c>
      <c r="AH57" s="21">
        <f>SiteServices!AH40/Factors!AH11</f>
        <v>0</v>
      </c>
      <c r="AI57" s="21">
        <f>SiteServices!AI40/Factors!AI11</f>
        <v>0</v>
      </c>
      <c r="AJ57" s="21">
        <f>SiteServices!AJ40/Factors!AJ11</f>
        <v>0</v>
      </c>
      <c r="AK57" s="21">
        <f>SiteServices!AK40/Factors!AK11</f>
        <v>0</v>
      </c>
      <c r="AL57" s="21">
        <f>SiteServices!AL40/Factors!AL11</f>
        <v>0</v>
      </c>
      <c r="AM57" s="21">
        <f>SiteServices!AM40/Factors!AM11</f>
        <v>0</v>
      </c>
      <c r="AN57" s="21">
        <f>SiteServices!AN40/Factors!AN11</f>
        <v>0</v>
      </c>
      <c r="AO57" s="21">
        <f>SiteServices!AO40/Factors!AO11</f>
        <v>0</v>
      </c>
      <c r="AP57" s="21">
        <f>SiteServices!AP40/Factors!AP11</f>
        <v>0</v>
      </c>
      <c r="AQ57" s="21">
        <f>SiteServices!AQ40/Factors!AQ11</f>
        <v>0</v>
      </c>
      <c r="AR57" s="21">
        <f>SiteServices!AR40/Factors!AR11</f>
        <v>0</v>
      </c>
      <c r="AS57" s="21">
        <f>SUM(AG57:AR57)</f>
        <v>0</v>
      </c>
    </row>
    <row r="58" spans="1:45" ht="13.5" thickBot="1">
      <c r="A58" s="56"/>
      <c r="B58" s="136" t="s">
        <v>97</v>
      </c>
      <c r="C58" s="19">
        <f>SUM(C53:C57)</f>
        <v>11257.25</v>
      </c>
      <c r="D58" s="19">
        <f t="shared" ref="D58:AD58" si="19">SUM(D53:D57)</f>
        <v>11257.25</v>
      </c>
      <c r="E58" s="19">
        <f t="shared" si="19"/>
        <v>11257.25</v>
      </c>
      <c r="F58" s="19">
        <f t="shared" si="19"/>
        <v>11257.25</v>
      </c>
      <c r="G58" s="19">
        <f t="shared" si="19"/>
        <v>13458.699999999999</v>
      </c>
      <c r="H58" s="19">
        <f t="shared" si="19"/>
        <v>13458.699999999999</v>
      </c>
      <c r="I58" s="19">
        <f t="shared" si="19"/>
        <v>13310.15</v>
      </c>
      <c r="J58" s="19">
        <f t="shared" si="19"/>
        <v>13310.15</v>
      </c>
      <c r="K58" s="19">
        <f t="shared" si="19"/>
        <v>13310.15</v>
      </c>
      <c r="L58" s="19">
        <f t="shared" si="19"/>
        <v>13310.15</v>
      </c>
      <c r="M58" s="19">
        <f t="shared" si="19"/>
        <v>11508.75</v>
      </c>
      <c r="N58" s="19">
        <f t="shared" si="19"/>
        <v>11508.75</v>
      </c>
      <c r="O58" s="19">
        <f t="shared" si="19"/>
        <v>148204.49999999997</v>
      </c>
      <c r="P58" s="19">
        <f t="shared" si="19"/>
        <v>0</v>
      </c>
      <c r="Q58" s="19">
        <f t="shared" si="19"/>
        <v>0</v>
      </c>
      <c r="R58" s="19">
        <f t="shared" si="19"/>
        <v>11257.25</v>
      </c>
      <c r="S58" s="19">
        <f t="shared" si="19"/>
        <v>11257.25</v>
      </c>
      <c r="T58" s="19">
        <f t="shared" si="19"/>
        <v>11257.25</v>
      </c>
      <c r="U58" s="19">
        <f t="shared" si="19"/>
        <v>11257.25</v>
      </c>
      <c r="V58" s="19">
        <f t="shared" si="19"/>
        <v>13458.699999999999</v>
      </c>
      <c r="W58" s="19">
        <f t="shared" si="19"/>
        <v>13458.699999999999</v>
      </c>
      <c r="X58" s="19">
        <f t="shared" si="19"/>
        <v>13310.15</v>
      </c>
      <c r="Y58" s="19">
        <f t="shared" si="19"/>
        <v>13310.15</v>
      </c>
      <c r="Z58" s="19">
        <f t="shared" si="19"/>
        <v>13310.15</v>
      </c>
      <c r="AA58" s="19">
        <f t="shared" si="19"/>
        <v>13310.15</v>
      </c>
      <c r="AB58" s="19">
        <f t="shared" si="19"/>
        <v>11508.75</v>
      </c>
      <c r="AC58" s="19">
        <f t="shared" si="19"/>
        <v>11508.75</v>
      </c>
      <c r="AD58" s="19">
        <f t="shared" si="19"/>
        <v>148204.49999999997</v>
      </c>
      <c r="AF58" s="59"/>
      <c r="AG58" s="19">
        <f t="shared" ref="AG58:AS58" si="20">SUM(AG53:AG57)</f>
        <v>11257.25</v>
      </c>
      <c r="AH58" s="53">
        <f t="shared" si="20"/>
        <v>11257.25</v>
      </c>
      <c r="AI58" s="53">
        <f t="shared" si="20"/>
        <v>11257.25</v>
      </c>
      <c r="AJ58" s="53">
        <f t="shared" si="20"/>
        <v>11257.25</v>
      </c>
      <c r="AK58" s="53">
        <f t="shared" si="20"/>
        <v>13458.699999999999</v>
      </c>
      <c r="AL58" s="53">
        <f t="shared" si="20"/>
        <v>13458.699999999999</v>
      </c>
      <c r="AM58" s="53">
        <f t="shared" si="20"/>
        <v>13310.15</v>
      </c>
      <c r="AN58" s="53">
        <f t="shared" si="20"/>
        <v>13310.15</v>
      </c>
      <c r="AO58" s="53">
        <f t="shared" si="20"/>
        <v>13310.15</v>
      </c>
      <c r="AP58" s="53">
        <f t="shared" si="20"/>
        <v>13310.15</v>
      </c>
      <c r="AQ58" s="53">
        <f t="shared" si="20"/>
        <v>11508.75</v>
      </c>
      <c r="AR58" s="53">
        <f t="shared" si="20"/>
        <v>11508.75</v>
      </c>
      <c r="AS58" s="53">
        <f t="shared" si="20"/>
        <v>148204.49999999997</v>
      </c>
    </row>
    <row r="59" spans="1:45" ht="13.5" thickTop="1">
      <c r="A59" s="56"/>
      <c r="B59" s="59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Q59" s="59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F59" s="59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</row>
    <row r="60" spans="1:45">
      <c r="A60" s="54" t="s">
        <v>308</v>
      </c>
      <c r="B60" s="60" t="s">
        <v>20</v>
      </c>
      <c r="C60" s="39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Q60" s="60" t="s">
        <v>581</v>
      </c>
      <c r="R60" s="22" t="s">
        <v>510</v>
      </c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F60" s="60" t="s">
        <v>581</v>
      </c>
      <c r="AG60" s="22" t="s">
        <v>510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</row>
    <row r="61" spans="1:45">
      <c r="A61" s="56" t="s">
        <v>309</v>
      </c>
      <c r="B61" s="59" t="s">
        <v>582</v>
      </c>
      <c r="C61" s="21">
        <f>Oheads!C8</f>
        <v>6545.56466</v>
      </c>
      <c r="D61" s="21">
        <f>Oheads!D8</f>
        <v>6545.56466</v>
      </c>
      <c r="E61" s="21">
        <f>Oheads!E8</f>
        <v>6545.56466</v>
      </c>
      <c r="F61" s="21">
        <f>Oheads!F8</f>
        <v>6545.56466</v>
      </c>
      <c r="G61" s="21">
        <f>Oheads!G8</f>
        <v>6545.56466</v>
      </c>
      <c r="H61" s="21">
        <f>Oheads!H8</f>
        <v>6545.56466</v>
      </c>
      <c r="I61" s="21">
        <f>Oheads!I8</f>
        <v>6545.56466</v>
      </c>
      <c r="J61" s="21">
        <f>Oheads!J8</f>
        <v>6545.56466</v>
      </c>
      <c r="K61" s="21">
        <f>Oheads!K8</f>
        <v>6545.56466</v>
      </c>
      <c r="L61" s="21">
        <f>Oheads!L8</f>
        <v>6545.56466</v>
      </c>
      <c r="M61" s="21">
        <f>Oheads!M8</f>
        <v>6545.56466</v>
      </c>
      <c r="N61" s="21">
        <f>Oheads!N8</f>
        <v>6545.56466</v>
      </c>
      <c r="O61" s="3">
        <f>SUM(C61:N61)</f>
        <v>78546.775920000015</v>
      </c>
      <c r="Q61" s="59" t="s">
        <v>582</v>
      </c>
      <c r="R61" s="21">
        <f>Oheads!Q8</f>
        <v>6807.84</v>
      </c>
      <c r="S61" s="21">
        <f>Oheads!R8</f>
        <v>6807.84</v>
      </c>
      <c r="T61" s="21">
        <f>Oheads!S8</f>
        <v>6807.84</v>
      </c>
      <c r="U61" s="21">
        <f>Oheads!T8</f>
        <v>6807.84</v>
      </c>
      <c r="V61" s="21">
        <f>Oheads!U8</f>
        <v>6807.84</v>
      </c>
      <c r="W61" s="21">
        <f>Oheads!V8</f>
        <v>6807.84</v>
      </c>
      <c r="X61" s="21">
        <f>Oheads!W8</f>
        <v>6807.84</v>
      </c>
      <c r="Y61" s="21">
        <f>Oheads!X8</f>
        <v>6807.84</v>
      </c>
      <c r="Z61" s="21">
        <f>Oheads!Y8</f>
        <v>6807.84</v>
      </c>
      <c r="AA61" s="21">
        <f>Oheads!Z8</f>
        <v>6807.84</v>
      </c>
      <c r="AB61" s="21">
        <f>Oheads!AA8</f>
        <v>6807.84</v>
      </c>
      <c r="AC61" s="21">
        <f>Oheads!AB8</f>
        <v>6807.84</v>
      </c>
      <c r="AD61" s="21">
        <f>SUM(R61:AC61)</f>
        <v>81694.079999999973</v>
      </c>
      <c r="AF61" s="59" t="s">
        <v>582</v>
      </c>
      <c r="AG61" s="21">
        <f>Oheads!AE8</f>
        <v>7081.0583999999999</v>
      </c>
      <c r="AH61" s="21">
        <f>Oheads!AF8</f>
        <v>7081.0583999999999</v>
      </c>
      <c r="AI61" s="21">
        <f>Oheads!AG8</f>
        <v>7081.0583999999999</v>
      </c>
      <c r="AJ61" s="21">
        <f>Oheads!AH8</f>
        <v>7081.0583999999999</v>
      </c>
      <c r="AK61" s="21">
        <f>Oheads!AI8</f>
        <v>7081.0583999999999</v>
      </c>
      <c r="AL61" s="21">
        <f>Oheads!AJ8</f>
        <v>7081.0583999999999</v>
      </c>
      <c r="AM61" s="21">
        <f>Oheads!AK8</f>
        <v>7081.0583999999999</v>
      </c>
      <c r="AN61" s="21">
        <f>Oheads!AL8</f>
        <v>7081.0583999999999</v>
      </c>
      <c r="AO61" s="21">
        <f>Oheads!AM8</f>
        <v>7081.0583999999999</v>
      </c>
      <c r="AP61" s="21">
        <f>Oheads!AN8</f>
        <v>7081.0583999999999</v>
      </c>
      <c r="AQ61" s="21">
        <f>Oheads!AO8</f>
        <v>7081.0583999999999</v>
      </c>
      <c r="AR61" s="21">
        <f>Oheads!AP8</f>
        <v>7081.0583999999999</v>
      </c>
      <c r="AS61" s="21">
        <f>SUM(AG61:AR61)</f>
        <v>84972.700799999991</v>
      </c>
    </row>
    <row r="62" spans="1:45">
      <c r="A62" s="56" t="s">
        <v>310</v>
      </c>
      <c r="B62" s="59" t="s">
        <v>583</v>
      </c>
      <c r="C62" s="21">
        <f>Oheads!C9</f>
        <v>58910.050560000003</v>
      </c>
      <c r="D62" s="21">
        <f>Oheads!D9</f>
        <v>58910.050560000003</v>
      </c>
      <c r="E62" s="21">
        <f>Oheads!E9</f>
        <v>58910.050560000003</v>
      </c>
      <c r="F62" s="21">
        <f>Oheads!F9</f>
        <v>58910.050560000003</v>
      </c>
      <c r="G62" s="21">
        <f>Oheads!G9</f>
        <v>58910.050560000003</v>
      </c>
      <c r="H62" s="21">
        <f>Oheads!H9</f>
        <v>58910.050560000003</v>
      </c>
      <c r="I62" s="21">
        <f>Oheads!I9</f>
        <v>58910.050560000003</v>
      </c>
      <c r="J62" s="21">
        <f>Oheads!J9</f>
        <v>58910.050560000003</v>
      </c>
      <c r="K62" s="21">
        <f>Oheads!K9</f>
        <v>58910.050560000003</v>
      </c>
      <c r="L62" s="21">
        <f>Oheads!L9</f>
        <v>58910.050560000003</v>
      </c>
      <c r="M62" s="21">
        <f>Oheads!M9</f>
        <v>58910.050560000003</v>
      </c>
      <c r="N62" s="21">
        <f>Oheads!N9</f>
        <v>58910.050560000003</v>
      </c>
      <c r="O62" s="3">
        <f>SUM(C62:N62)</f>
        <v>706920.60672000004</v>
      </c>
      <c r="Q62" s="59" t="s">
        <v>583</v>
      </c>
      <c r="R62" s="21">
        <f>Oheads!Q9</f>
        <v>61266.400000000001</v>
      </c>
      <c r="S62" s="21">
        <f>Oheads!R9</f>
        <v>61266.400000000001</v>
      </c>
      <c r="T62" s="21">
        <f>Oheads!S9</f>
        <v>61266.400000000001</v>
      </c>
      <c r="U62" s="21">
        <f>Oheads!T9</f>
        <v>61266.400000000001</v>
      </c>
      <c r="V62" s="21">
        <f>Oheads!U9</f>
        <v>61266.400000000001</v>
      </c>
      <c r="W62" s="21">
        <f>Oheads!V9</f>
        <v>61266.400000000001</v>
      </c>
      <c r="X62" s="21">
        <f>Oheads!W9</f>
        <v>61266.400000000001</v>
      </c>
      <c r="Y62" s="21">
        <f>Oheads!X9</f>
        <v>61266.400000000001</v>
      </c>
      <c r="Z62" s="21">
        <f>Oheads!Y9</f>
        <v>61266.400000000001</v>
      </c>
      <c r="AA62" s="21">
        <f>Oheads!Z9</f>
        <v>61266.400000000001</v>
      </c>
      <c r="AB62" s="21">
        <f>Oheads!AA9</f>
        <v>61266.400000000001</v>
      </c>
      <c r="AC62" s="21">
        <f>Oheads!AB9</f>
        <v>61266.400000000001</v>
      </c>
      <c r="AD62" s="21">
        <f>SUM(R62:AC62)</f>
        <v>735196.80000000016</v>
      </c>
      <c r="AF62" s="59" t="s">
        <v>583</v>
      </c>
      <c r="AG62" s="21">
        <f>Oheads!AE9</f>
        <v>63716.639999999999</v>
      </c>
      <c r="AH62" s="21">
        <f>Oheads!AF9</f>
        <v>63716.639999999999</v>
      </c>
      <c r="AI62" s="21">
        <f>Oheads!AG9</f>
        <v>63716.639999999999</v>
      </c>
      <c r="AJ62" s="21">
        <f>Oheads!AH9</f>
        <v>63716.639999999999</v>
      </c>
      <c r="AK62" s="21">
        <f>Oheads!AI9</f>
        <v>63716.639999999999</v>
      </c>
      <c r="AL62" s="21">
        <f>Oheads!AJ9</f>
        <v>63716.639999999999</v>
      </c>
      <c r="AM62" s="21">
        <f>Oheads!AK9</f>
        <v>63716.639999999999</v>
      </c>
      <c r="AN62" s="21">
        <f>Oheads!AL9</f>
        <v>63716.639999999999</v>
      </c>
      <c r="AO62" s="21">
        <f>Oheads!AM9</f>
        <v>63716.639999999999</v>
      </c>
      <c r="AP62" s="21">
        <f>Oheads!AN9</f>
        <v>63716.639999999999</v>
      </c>
      <c r="AQ62" s="21">
        <f>Oheads!AO9</f>
        <v>63716.639999999999</v>
      </c>
      <c r="AR62" s="21">
        <f>Oheads!AP9</f>
        <v>63716.639999999999</v>
      </c>
      <c r="AS62" s="21">
        <f>SUM(AG62:AR62)</f>
        <v>764599.68</v>
      </c>
    </row>
    <row r="63" spans="1:45" hidden="1">
      <c r="A63" s="56" t="s">
        <v>311</v>
      </c>
      <c r="B63" s="59" t="s">
        <v>618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3"/>
      <c r="Q63" s="59" t="s">
        <v>618</v>
      </c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F63" s="59" t="s">
        <v>618</v>
      </c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</row>
    <row r="64" spans="1:45" ht="13.5" thickBot="1">
      <c r="A64" s="20"/>
      <c r="B64" s="136" t="s">
        <v>97</v>
      </c>
      <c r="C64" s="19">
        <f>SUM(C61:C63)</f>
        <v>65455.615220000007</v>
      </c>
      <c r="D64" s="19">
        <f t="shared" ref="D64:O64" si="21">SUM(D61:D63)</f>
        <v>65455.615220000007</v>
      </c>
      <c r="E64" s="19">
        <f t="shared" si="21"/>
        <v>65455.615220000007</v>
      </c>
      <c r="F64" s="19">
        <f t="shared" si="21"/>
        <v>65455.615220000007</v>
      </c>
      <c r="G64" s="19">
        <f t="shared" si="21"/>
        <v>65455.615220000007</v>
      </c>
      <c r="H64" s="19">
        <f t="shared" si="21"/>
        <v>65455.615220000007</v>
      </c>
      <c r="I64" s="19">
        <f t="shared" si="21"/>
        <v>65455.615220000007</v>
      </c>
      <c r="J64" s="19">
        <f t="shared" si="21"/>
        <v>65455.615220000007</v>
      </c>
      <c r="K64" s="19">
        <f t="shared" si="21"/>
        <v>65455.615220000007</v>
      </c>
      <c r="L64" s="19">
        <f t="shared" si="21"/>
        <v>65455.615220000007</v>
      </c>
      <c r="M64" s="19">
        <f t="shared" si="21"/>
        <v>65455.615220000007</v>
      </c>
      <c r="N64" s="19">
        <f t="shared" si="21"/>
        <v>65455.615220000007</v>
      </c>
      <c r="O64" s="19">
        <f t="shared" si="21"/>
        <v>785467.38264000008</v>
      </c>
      <c r="Q64" s="61"/>
      <c r="R64" s="19">
        <f t="shared" ref="R64:AD64" si="22">SUM(R61:R63)</f>
        <v>68074.240000000005</v>
      </c>
      <c r="S64" s="19">
        <f t="shared" si="22"/>
        <v>68074.240000000005</v>
      </c>
      <c r="T64" s="19">
        <f t="shared" si="22"/>
        <v>68074.240000000005</v>
      </c>
      <c r="U64" s="19">
        <f t="shared" si="22"/>
        <v>68074.240000000005</v>
      </c>
      <c r="V64" s="19">
        <f t="shared" si="22"/>
        <v>68074.240000000005</v>
      </c>
      <c r="W64" s="19">
        <f t="shared" si="22"/>
        <v>68074.240000000005</v>
      </c>
      <c r="X64" s="19">
        <f t="shared" si="22"/>
        <v>68074.240000000005</v>
      </c>
      <c r="Y64" s="19">
        <f t="shared" si="22"/>
        <v>68074.240000000005</v>
      </c>
      <c r="Z64" s="19">
        <f t="shared" si="22"/>
        <v>68074.240000000005</v>
      </c>
      <c r="AA64" s="19">
        <f t="shared" si="22"/>
        <v>68074.240000000005</v>
      </c>
      <c r="AB64" s="19">
        <f t="shared" si="22"/>
        <v>68074.240000000005</v>
      </c>
      <c r="AC64" s="19">
        <f t="shared" si="22"/>
        <v>68074.240000000005</v>
      </c>
      <c r="AD64" s="19">
        <f t="shared" si="22"/>
        <v>816890.88000000012</v>
      </c>
      <c r="AF64" s="61"/>
      <c r="AG64" s="19">
        <f t="shared" ref="AG64:AS64" si="23">SUM(AG61:AG63)</f>
        <v>70797.698399999994</v>
      </c>
      <c r="AH64" s="19">
        <f t="shared" si="23"/>
        <v>70797.698399999994</v>
      </c>
      <c r="AI64" s="19">
        <f t="shared" si="23"/>
        <v>70797.698399999994</v>
      </c>
      <c r="AJ64" s="19">
        <f t="shared" si="23"/>
        <v>70797.698399999994</v>
      </c>
      <c r="AK64" s="19">
        <f t="shared" si="23"/>
        <v>70797.698399999994</v>
      </c>
      <c r="AL64" s="19">
        <f t="shared" si="23"/>
        <v>70797.698399999994</v>
      </c>
      <c r="AM64" s="19">
        <f t="shared" si="23"/>
        <v>70797.698399999994</v>
      </c>
      <c r="AN64" s="19">
        <f t="shared" si="23"/>
        <v>70797.698399999994</v>
      </c>
      <c r="AO64" s="19">
        <f t="shared" si="23"/>
        <v>70797.698399999994</v>
      </c>
      <c r="AP64" s="19">
        <f t="shared" si="23"/>
        <v>70797.698399999994</v>
      </c>
      <c r="AQ64" s="19">
        <f t="shared" si="23"/>
        <v>70797.698399999994</v>
      </c>
      <c r="AR64" s="19">
        <f t="shared" si="23"/>
        <v>70797.698399999994</v>
      </c>
      <c r="AS64" s="19">
        <f t="shared" si="23"/>
        <v>849572.38080000004</v>
      </c>
    </row>
    <row r="65" spans="1:45" ht="13.5" thickTop="1">
      <c r="A65" s="20"/>
      <c r="B65" s="6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0"/>
      <c r="Q65" s="62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0"/>
      <c r="AF65" s="62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0"/>
    </row>
    <row r="66" spans="1:45">
      <c r="A66" s="64" t="s">
        <v>313</v>
      </c>
      <c r="B66" s="60" t="s">
        <v>21</v>
      </c>
      <c r="C66" s="39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0"/>
      <c r="Q66" s="60" t="s">
        <v>314</v>
      </c>
      <c r="R66" s="22" t="s">
        <v>510</v>
      </c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0"/>
      <c r="AF66" s="60" t="s">
        <v>314</v>
      </c>
      <c r="AG66" s="22" t="s">
        <v>510</v>
      </c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0"/>
    </row>
    <row r="67" spans="1:45">
      <c r="A67" s="63" t="s">
        <v>315</v>
      </c>
      <c r="B67" s="59" t="s">
        <v>584</v>
      </c>
      <c r="C67" s="3">
        <f>Oheads!C11</f>
        <v>15000</v>
      </c>
      <c r="D67" s="3">
        <f>Oheads!D11</f>
        <v>15000</v>
      </c>
      <c r="E67" s="3">
        <f>Oheads!E11</f>
        <v>15000</v>
      </c>
      <c r="F67" s="3">
        <f>Oheads!F11</f>
        <v>15000</v>
      </c>
      <c r="G67" s="3">
        <f>Oheads!G11</f>
        <v>15000</v>
      </c>
      <c r="H67" s="3">
        <f>Oheads!H11</f>
        <v>15000</v>
      </c>
      <c r="I67" s="3">
        <f>Oheads!I11</f>
        <v>15000</v>
      </c>
      <c r="J67" s="3">
        <f>Oheads!J11</f>
        <v>15000</v>
      </c>
      <c r="K67" s="3">
        <f>Oheads!K11</f>
        <v>15000</v>
      </c>
      <c r="L67" s="3">
        <f>Oheads!L11</f>
        <v>15000</v>
      </c>
      <c r="M67" s="3">
        <f>Oheads!M11</f>
        <v>15000</v>
      </c>
      <c r="N67" s="3">
        <f>Oheads!N11</f>
        <v>15000</v>
      </c>
      <c r="O67" s="3">
        <f t="shared" ref="O67:O74" si="24">SUM(C67:N67)</f>
        <v>180000</v>
      </c>
      <c r="Q67" s="59" t="s">
        <v>584</v>
      </c>
      <c r="R67" s="3">
        <f>Oheads!Q11</f>
        <v>1000</v>
      </c>
      <c r="S67" s="3">
        <f>Oheads!R11</f>
        <v>1000</v>
      </c>
      <c r="T67" s="3">
        <f>Oheads!S11</f>
        <v>1000</v>
      </c>
      <c r="U67" s="3">
        <f>Oheads!T11</f>
        <v>1000</v>
      </c>
      <c r="V67" s="3">
        <f>Oheads!U11</f>
        <v>1000</v>
      </c>
      <c r="W67" s="3">
        <f>Oheads!V11</f>
        <v>1000</v>
      </c>
      <c r="X67" s="3">
        <f>Oheads!W11</f>
        <v>1000</v>
      </c>
      <c r="Y67" s="3">
        <f>Oheads!X11</f>
        <v>1000</v>
      </c>
      <c r="Z67" s="3">
        <f>Oheads!Y11</f>
        <v>1000</v>
      </c>
      <c r="AA67" s="3">
        <f>Oheads!Z11</f>
        <v>1000</v>
      </c>
      <c r="AB67" s="3">
        <f>Oheads!AA11</f>
        <v>1000</v>
      </c>
      <c r="AC67" s="3">
        <f>Oheads!AB11</f>
        <v>1000</v>
      </c>
      <c r="AD67" s="21">
        <f t="shared" ref="AD67:AD74" si="25">SUM(R67:AC67)</f>
        <v>12000</v>
      </c>
      <c r="AF67" s="59" t="s">
        <v>584</v>
      </c>
      <c r="AG67" s="3">
        <f>Oheads!AE11</f>
        <v>1000</v>
      </c>
      <c r="AH67" s="3">
        <f>Oheads!AF11</f>
        <v>1000</v>
      </c>
      <c r="AI67" s="3">
        <f>Oheads!AG11</f>
        <v>1000</v>
      </c>
      <c r="AJ67" s="3">
        <f>Oheads!AH11</f>
        <v>1000</v>
      </c>
      <c r="AK67" s="3">
        <f>Oheads!AI11</f>
        <v>1000</v>
      </c>
      <c r="AL67" s="3">
        <f>Oheads!AJ11</f>
        <v>1000</v>
      </c>
      <c r="AM67" s="3">
        <f>Oheads!AK11</f>
        <v>1000</v>
      </c>
      <c r="AN67" s="3">
        <f>Oheads!AL11</f>
        <v>1000</v>
      </c>
      <c r="AO67" s="3">
        <f>Oheads!AM11</f>
        <v>1000</v>
      </c>
      <c r="AP67" s="3">
        <f>Oheads!AN11</f>
        <v>1000</v>
      </c>
      <c r="AQ67" s="3">
        <f>Oheads!AO11</f>
        <v>1000</v>
      </c>
      <c r="AR67" s="3">
        <f>Oheads!AP11</f>
        <v>1000</v>
      </c>
      <c r="AS67" s="21">
        <f t="shared" ref="AS67:AS74" si="26">SUM(AG67:AR67)</f>
        <v>12000</v>
      </c>
    </row>
    <row r="68" spans="1:45">
      <c r="A68" s="63" t="s">
        <v>316</v>
      </c>
      <c r="B68" s="59" t="s">
        <v>585</v>
      </c>
      <c r="C68" s="21">
        <f>Oheads!C10</f>
        <v>5000</v>
      </c>
      <c r="D68" s="21">
        <f>Oheads!D10</f>
        <v>5000</v>
      </c>
      <c r="E68" s="21">
        <f>Oheads!E10</f>
        <v>5000</v>
      </c>
      <c r="F68" s="21">
        <f>Oheads!F10</f>
        <v>5000</v>
      </c>
      <c r="G68" s="21">
        <f>Oheads!G10</f>
        <v>5000</v>
      </c>
      <c r="H68" s="21">
        <f>Oheads!H10</f>
        <v>5000</v>
      </c>
      <c r="I68" s="21">
        <f>Oheads!I10</f>
        <v>5000</v>
      </c>
      <c r="J68" s="21">
        <f>Oheads!J10</f>
        <v>5000</v>
      </c>
      <c r="K68" s="21">
        <f>Oheads!K10</f>
        <v>5000</v>
      </c>
      <c r="L68" s="21">
        <f>Oheads!L10</f>
        <v>5000</v>
      </c>
      <c r="M68" s="21">
        <f>Oheads!M10</f>
        <v>5000</v>
      </c>
      <c r="N68" s="21">
        <f>Oheads!N10</f>
        <v>5000</v>
      </c>
      <c r="O68" s="3">
        <f t="shared" si="24"/>
        <v>60000</v>
      </c>
      <c r="Q68" s="59" t="s">
        <v>585</v>
      </c>
      <c r="R68" s="21">
        <f>Oheads!Q10</f>
        <v>1000</v>
      </c>
      <c r="S68" s="21">
        <f>Oheads!R10</f>
        <v>1000</v>
      </c>
      <c r="T68" s="21">
        <f>Oheads!S10</f>
        <v>1000</v>
      </c>
      <c r="U68" s="21">
        <f>Oheads!T10</f>
        <v>1000</v>
      </c>
      <c r="V68" s="21">
        <f>Oheads!U10</f>
        <v>1000</v>
      </c>
      <c r="W68" s="21">
        <f>Oheads!V10</f>
        <v>1000</v>
      </c>
      <c r="X68" s="21">
        <f>Oheads!W10</f>
        <v>1000</v>
      </c>
      <c r="Y68" s="21">
        <f>Oheads!X10</f>
        <v>1000</v>
      </c>
      <c r="Z68" s="21">
        <f>Oheads!Y10</f>
        <v>1000</v>
      </c>
      <c r="AA68" s="21">
        <f>Oheads!Z10</f>
        <v>1000</v>
      </c>
      <c r="AB68" s="21">
        <f>Oheads!AA10</f>
        <v>1000</v>
      </c>
      <c r="AC68" s="21">
        <f>Oheads!AB10</f>
        <v>1000</v>
      </c>
      <c r="AD68" s="21">
        <f t="shared" si="25"/>
        <v>12000</v>
      </c>
      <c r="AF68" s="59" t="s">
        <v>585</v>
      </c>
      <c r="AG68" s="21">
        <f>Oheads!AE10</f>
        <v>1000</v>
      </c>
      <c r="AH68" s="21">
        <f>Oheads!AF10</f>
        <v>1000</v>
      </c>
      <c r="AI68" s="21">
        <f>Oheads!AG10</f>
        <v>1000</v>
      </c>
      <c r="AJ68" s="21">
        <f>Oheads!AH10</f>
        <v>1000</v>
      </c>
      <c r="AK68" s="21">
        <f>Oheads!AI10</f>
        <v>1000</v>
      </c>
      <c r="AL68" s="21">
        <f>Oheads!AJ10</f>
        <v>1000</v>
      </c>
      <c r="AM68" s="21">
        <f>Oheads!AK10</f>
        <v>1000</v>
      </c>
      <c r="AN68" s="21">
        <f>Oheads!AL10</f>
        <v>1000</v>
      </c>
      <c r="AO68" s="21">
        <f>Oheads!AM10</f>
        <v>1000</v>
      </c>
      <c r="AP68" s="21">
        <f>Oheads!AN10</f>
        <v>1000</v>
      </c>
      <c r="AQ68" s="21">
        <f>Oheads!AO10</f>
        <v>1000</v>
      </c>
      <c r="AR68" s="21">
        <f>Oheads!AP10</f>
        <v>1000</v>
      </c>
      <c r="AS68" s="21">
        <f t="shared" si="26"/>
        <v>12000</v>
      </c>
    </row>
    <row r="69" spans="1:45" hidden="1">
      <c r="A69" s="63" t="s">
        <v>317</v>
      </c>
      <c r="B69" s="59" t="s">
        <v>586</v>
      </c>
      <c r="C69" s="21">
        <f>Oheads!C12</f>
        <v>0</v>
      </c>
      <c r="D69" s="21">
        <f>Oheads!D12</f>
        <v>0</v>
      </c>
      <c r="E69" s="21">
        <f>Oheads!E12</f>
        <v>0</v>
      </c>
      <c r="F69" s="21">
        <f>Oheads!F12</f>
        <v>0</v>
      </c>
      <c r="G69" s="21">
        <f>Oheads!G12</f>
        <v>0</v>
      </c>
      <c r="H69" s="21">
        <f>Oheads!H12</f>
        <v>0</v>
      </c>
      <c r="I69" s="21">
        <f>Oheads!I12</f>
        <v>0</v>
      </c>
      <c r="J69" s="21">
        <f>Oheads!J12</f>
        <v>0</v>
      </c>
      <c r="K69" s="21">
        <f>Oheads!K12</f>
        <v>0</v>
      </c>
      <c r="L69" s="21">
        <f>Oheads!L12</f>
        <v>0</v>
      </c>
      <c r="M69" s="21">
        <f>Oheads!M12</f>
        <v>0</v>
      </c>
      <c r="N69" s="21">
        <f>Oheads!N12</f>
        <v>0</v>
      </c>
      <c r="O69" s="3">
        <f t="shared" si="24"/>
        <v>0</v>
      </c>
      <c r="Q69" s="59" t="s">
        <v>586</v>
      </c>
      <c r="R69" s="21">
        <f>Oheads!Q12</f>
        <v>0</v>
      </c>
      <c r="S69" s="21">
        <f>Oheads!R12</f>
        <v>0</v>
      </c>
      <c r="T69" s="21">
        <f>Oheads!S12</f>
        <v>0</v>
      </c>
      <c r="U69" s="21">
        <f>Oheads!T12</f>
        <v>0</v>
      </c>
      <c r="V69" s="21">
        <f>Oheads!U12</f>
        <v>0</v>
      </c>
      <c r="W69" s="21">
        <f>Oheads!V12</f>
        <v>0</v>
      </c>
      <c r="X69" s="21">
        <f>Oheads!W12</f>
        <v>0</v>
      </c>
      <c r="Y69" s="21">
        <f>Oheads!X12</f>
        <v>0</v>
      </c>
      <c r="Z69" s="21">
        <f>Oheads!Y12</f>
        <v>0</v>
      </c>
      <c r="AA69" s="21">
        <f>Oheads!Z12</f>
        <v>0</v>
      </c>
      <c r="AB69" s="21">
        <f>Oheads!AA12</f>
        <v>0</v>
      </c>
      <c r="AC69" s="21">
        <f>Oheads!AB12</f>
        <v>0</v>
      </c>
      <c r="AD69" s="21">
        <f t="shared" si="25"/>
        <v>0</v>
      </c>
      <c r="AF69" s="59" t="s">
        <v>586</v>
      </c>
      <c r="AG69" s="21">
        <f>Oheads!AE12</f>
        <v>0</v>
      </c>
      <c r="AH69" s="21">
        <f>Oheads!AF12</f>
        <v>0</v>
      </c>
      <c r="AI69" s="21">
        <f>Oheads!AG12</f>
        <v>0</v>
      </c>
      <c r="AJ69" s="21">
        <f>Oheads!AH12</f>
        <v>0</v>
      </c>
      <c r="AK69" s="21">
        <f>Oheads!AI12</f>
        <v>0</v>
      </c>
      <c r="AL69" s="21">
        <f>Oheads!AJ12</f>
        <v>0</v>
      </c>
      <c r="AM69" s="21">
        <f>Oheads!AK12</f>
        <v>0</v>
      </c>
      <c r="AN69" s="21">
        <f>Oheads!AL12</f>
        <v>0</v>
      </c>
      <c r="AO69" s="21">
        <f>Oheads!AM12</f>
        <v>0</v>
      </c>
      <c r="AP69" s="21">
        <f>Oheads!AN12</f>
        <v>0</v>
      </c>
      <c r="AQ69" s="21">
        <f>Oheads!AO12</f>
        <v>0</v>
      </c>
      <c r="AR69" s="21">
        <f>Oheads!AP12</f>
        <v>0</v>
      </c>
      <c r="AS69" s="21">
        <f t="shared" si="26"/>
        <v>0</v>
      </c>
    </row>
    <row r="70" spans="1:45">
      <c r="A70" s="63" t="s">
        <v>318</v>
      </c>
      <c r="B70" s="59" t="s">
        <v>587</v>
      </c>
      <c r="C70" s="21">
        <f>Oheads!C13</f>
        <v>1000</v>
      </c>
      <c r="D70" s="21">
        <f>Oheads!D13</f>
        <v>1000</v>
      </c>
      <c r="E70" s="21">
        <f>Oheads!E13</f>
        <v>1000</v>
      </c>
      <c r="F70" s="21">
        <f>Oheads!F13</f>
        <v>1000</v>
      </c>
      <c r="G70" s="21">
        <f>Oheads!G13</f>
        <v>1000</v>
      </c>
      <c r="H70" s="21">
        <f>Oheads!H13</f>
        <v>1000</v>
      </c>
      <c r="I70" s="21">
        <f>Oheads!I13</f>
        <v>1000</v>
      </c>
      <c r="J70" s="21">
        <f>Oheads!J13</f>
        <v>1000</v>
      </c>
      <c r="K70" s="21">
        <f>Oheads!K13</f>
        <v>1000</v>
      </c>
      <c r="L70" s="21">
        <f>Oheads!L13</f>
        <v>1000</v>
      </c>
      <c r="M70" s="21">
        <f>Oheads!M13</f>
        <v>1000</v>
      </c>
      <c r="N70" s="21">
        <f>Oheads!N13</f>
        <v>1000</v>
      </c>
      <c r="O70" s="3">
        <f t="shared" si="24"/>
        <v>12000</v>
      </c>
      <c r="Q70" s="59" t="s">
        <v>587</v>
      </c>
      <c r="R70" s="21">
        <f>Oheads!Q13</f>
        <v>500</v>
      </c>
      <c r="S70" s="21">
        <f>Oheads!R13</f>
        <v>500</v>
      </c>
      <c r="T70" s="21">
        <f>Oheads!S13</f>
        <v>500</v>
      </c>
      <c r="U70" s="21">
        <f>Oheads!T13</f>
        <v>500</v>
      </c>
      <c r="V70" s="21">
        <f>Oheads!U13</f>
        <v>500</v>
      </c>
      <c r="W70" s="21">
        <f>Oheads!V13</f>
        <v>500</v>
      </c>
      <c r="X70" s="21">
        <f>Oheads!W13</f>
        <v>500</v>
      </c>
      <c r="Y70" s="21">
        <f>Oheads!X13</f>
        <v>500</v>
      </c>
      <c r="Z70" s="21">
        <f>Oheads!Y13</f>
        <v>500</v>
      </c>
      <c r="AA70" s="21">
        <f>Oheads!Z13</f>
        <v>500</v>
      </c>
      <c r="AB70" s="21">
        <f>Oheads!AA13</f>
        <v>500</v>
      </c>
      <c r="AC70" s="21">
        <f>Oheads!AB13</f>
        <v>500</v>
      </c>
      <c r="AD70" s="21">
        <f t="shared" si="25"/>
        <v>6000</v>
      </c>
      <c r="AF70" s="59" t="s">
        <v>587</v>
      </c>
      <c r="AG70" s="21">
        <f>Oheads!AE13</f>
        <v>500</v>
      </c>
      <c r="AH70" s="21">
        <f>Oheads!AF13</f>
        <v>500</v>
      </c>
      <c r="AI70" s="21">
        <f>Oheads!AG13</f>
        <v>500</v>
      </c>
      <c r="AJ70" s="21">
        <f>Oheads!AH13</f>
        <v>500</v>
      </c>
      <c r="AK70" s="21">
        <f>Oheads!AI13</f>
        <v>500</v>
      </c>
      <c r="AL70" s="21">
        <f>Oheads!AJ13</f>
        <v>500</v>
      </c>
      <c r="AM70" s="21">
        <f>Oheads!AK13</f>
        <v>500</v>
      </c>
      <c r="AN70" s="21">
        <f>Oheads!AL13</f>
        <v>500</v>
      </c>
      <c r="AO70" s="21">
        <f>Oheads!AM13</f>
        <v>500</v>
      </c>
      <c r="AP70" s="21">
        <f>Oheads!AN13</f>
        <v>500</v>
      </c>
      <c r="AQ70" s="21">
        <f>Oheads!AO13</f>
        <v>500</v>
      </c>
      <c r="AR70" s="21">
        <f>Oheads!AP13</f>
        <v>500</v>
      </c>
      <c r="AS70" s="21">
        <f t="shared" si="26"/>
        <v>6000</v>
      </c>
    </row>
    <row r="71" spans="1:45">
      <c r="A71" s="63" t="s">
        <v>319</v>
      </c>
      <c r="B71" s="59" t="s">
        <v>130</v>
      </c>
      <c r="C71" s="21">
        <f>Oheads!C14</f>
        <v>4000</v>
      </c>
      <c r="D71" s="21">
        <f>Oheads!D14</f>
        <v>4000</v>
      </c>
      <c r="E71" s="21">
        <f>Oheads!E14</f>
        <v>4000</v>
      </c>
      <c r="F71" s="21">
        <f>Oheads!F14</f>
        <v>4000</v>
      </c>
      <c r="G71" s="21">
        <f>Oheads!G14</f>
        <v>4000</v>
      </c>
      <c r="H71" s="21">
        <f>Oheads!H14</f>
        <v>4000</v>
      </c>
      <c r="I71" s="21">
        <f>Oheads!I14</f>
        <v>4000</v>
      </c>
      <c r="J71" s="21">
        <f>Oheads!J14</f>
        <v>4000</v>
      </c>
      <c r="K71" s="21">
        <f>Oheads!K14</f>
        <v>4000</v>
      </c>
      <c r="L71" s="21">
        <f>Oheads!L14</f>
        <v>4000</v>
      </c>
      <c r="M71" s="21">
        <f>Oheads!M14</f>
        <v>4000</v>
      </c>
      <c r="N71" s="21">
        <f>Oheads!N14</f>
        <v>4000</v>
      </c>
      <c r="O71" s="3">
        <f t="shared" si="24"/>
        <v>48000</v>
      </c>
      <c r="Q71" s="59" t="s">
        <v>130</v>
      </c>
      <c r="R71" s="21">
        <f>Oheads!Q14</f>
        <v>4000</v>
      </c>
      <c r="S71" s="21">
        <f>Oheads!R14</f>
        <v>4000</v>
      </c>
      <c r="T71" s="21">
        <f>Oheads!S14</f>
        <v>4000</v>
      </c>
      <c r="U71" s="21">
        <f>Oheads!T14</f>
        <v>4000</v>
      </c>
      <c r="V71" s="21">
        <f>Oheads!U14</f>
        <v>4000</v>
      </c>
      <c r="W71" s="21">
        <f>Oheads!V14</f>
        <v>4000</v>
      </c>
      <c r="X71" s="21">
        <f>Oheads!W14</f>
        <v>4000</v>
      </c>
      <c r="Y71" s="21">
        <f>Oheads!X14</f>
        <v>4000</v>
      </c>
      <c r="Z71" s="21">
        <f>Oheads!Y14</f>
        <v>4000</v>
      </c>
      <c r="AA71" s="21">
        <f>Oheads!Z14</f>
        <v>4000</v>
      </c>
      <c r="AB71" s="21">
        <f>Oheads!AA14</f>
        <v>4000</v>
      </c>
      <c r="AC71" s="21">
        <f>Oheads!AB14</f>
        <v>4000</v>
      </c>
      <c r="AD71" s="21">
        <f t="shared" si="25"/>
        <v>48000</v>
      </c>
      <c r="AF71" s="59" t="s">
        <v>130</v>
      </c>
      <c r="AG71" s="21">
        <f>Oheads!AE14</f>
        <v>4000</v>
      </c>
      <c r="AH71" s="21">
        <f>Oheads!AF14</f>
        <v>4000</v>
      </c>
      <c r="AI71" s="21">
        <f>Oheads!AG14</f>
        <v>4000</v>
      </c>
      <c r="AJ71" s="21">
        <f>Oheads!AH14</f>
        <v>4000</v>
      </c>
      <c r="AK71" s="21">
        <f>Oheads!AI14</f>
        <v>4000</v>
      </c>
      <c r="AL71" s="21">
        <f>Oheads!AJ14</f>
        <v>4000</v>
      </c>
      <c r="AM71" s="21">
        <f>Oheads!AK14</f>
        <v>4000</v>
      </c>
      <c r="AN71" s="21">
        <f>Oheads!AL14</f>
        <v>4000</v>
      </c>
      <c r="AO71" s="21">
        <f>Oheads!AM14</f>
        <v>4000</v>
      </c>
      <c r="AP71" s="21">
        <f>Oheads!AN14</f>
        <v>4000</v>
      </c>
      <c r="AQ71" s="21">
        <f>Oheads!AO14</f>
        <v>4000</v>
      </c>
      <c r="AR71" s="21">
        <f>Oheads!AP14</f>
        <v>4000</v>
      </c>
      <c r="AS71" s="21">
        <f t="shared" si="26"/>
        <v>48000</v>
      </c>
    </row>
    <row r="72" spans="1:45" hidden="1">
      <c r="A72" s="63" t="s">
        <v>320</v>
      </c>
      <c r="B72" s="59" t="s">
        <v>588</v>
      </c>
      <c r="C72" s="21">
        <f>'P&amp;LPLN'!C71/Factors!C11</f>
        <v>0</v>
      </c>
      <c r="D72" s="21">
        <f>'P&amp;LPLN'!D71/Factors!D11</f>
        <v>0</v>
      </c>
      <c r="E72" s="21">
        <f>'P&amp;LPLN'!E71/Factors!E11</f>
        <v>0</v>
      </c>
      <c r="F72" s="21">
        <f>'P&amp;LPLN'!F71/Factors!F11</f>
        <v>0</v>
      </c>
      <c r="G72" s="21">
        <f>'P&amp;LPLN'!G71/Factors!G11</f>
        <v>0</v>
      </c>
      <c r="H72" s="21">
        <f>'P&amp;LPLN'!H71/Factors!H11</f>
        <v>0</v>
      </c>
      <c r="I72" s="21">
        <f>'P&amp;LPLN'!I71/Factors!I11</f>
        <v>0</v>
      </c>
      <c r="J72" s="21">
        <f>'P&amp;LPLN'!J71/Factors!J11</f>
        <v>0</v>
      </c>
      <c r="K72" s="21">
        <f>'P&amp;LPLN'!K71/Factors!K11</f>
        <v>0</v>
      </c>
      <c r="L72" s="21">
        <f>'P&amp;LPLN'!L71/Factors!L11</f>
        <v>0</v>
      </c>
      <c r="M72" s="21">
        <f>'P&amp;LPLN'!M71/Factors!M11</f>
        <v>0</v>
      </c>
      <c r="N72" s="21">
        <f>'P&amp;LPLN'!N71/Factors!N11</f>
        <v>0</v>
      </c>
      <c r="O72" s="3">
        <f t="shared" si="24"/>
        <v>0</v>
      </c>
      <c r="P72" s="3"/>
      <c r="Q72" s="59" t="s">
        <v>588</v>
      </c>
      <c r="R72" s="21">
        <f>'P&amp;LPLN'!R71/Factors!R11</f>
        <v>0</v>
      </c>
      <c r="S72" s="21">
        <f>'P&amp;LPLN'!S71/Factors!S11</f>
        <v>0</v>
      </c>
      <c r="T72" s="21">
        <f>'P&amp;LPLN'!T71/Factors!T11</f>
        <v>0</v>
      </c>
      <c r="U72" s="21">
        <f>'P&amp;LPLN'!U71/Factors!U11</f>
        <v>0</v>
      </c>
      <c r="V72" s="21">
        <f>'P&amp;LPLN'!V71/Factors!V11</f>
        <v>0</v>
      </c>
      <c r="W72" s="21">
        <f>'P&amp;LPLN'!W71/Factors!W11</f>
        <v>0</v>
      </c>
      <c r="X72" s="21">
        <f>'P&amp;LPLN'!X71/Factors!X11</f>
        <v>0</v>
      </c>
      <c r="Y72" s="21">
        <f>'P&amp;LPLN'!Y71/Factors!Y11</f>
        <v>0</v>
      </c>
      <c r="Z72" s="21">
        <f>'P&amp;LPLN'!Z71/Factors!Z11</f>
        <v>0</v>
      </c>
      <c r="AA72" s="21">
        <f>'P&amp;LPLN'!AA71/Factors!AA11</f>
        <v>0</v>
      </c>
      <c r="AB72" s="21">
        <f>'P&amp;LPLN'!AB71/Factors!AB11</f>
        <v>0</v>
      </c>
      <c r="AC72" s="21">
        <f>'P&amp;LPLN'!AC71/Factors!AC11</f>
        <v>0</v>
      </c>
      <c r="AD72" s="21">
        <f t="shared" si="25"/>
        <v>0</v>
      </c>
      <c r="AF72" s="59" t="s">
        <v>588</v>
      </c>
      <c r="AG72" s="21">
        <f>'P&amp;LPLN'!AG71/Factors!AG11</f>
        <v>0</v>
      </c>
      <c r="AH72" s="21">
        <f>'P&amp;LPLN'!AH71/Factors!AH11</f>
        <v>0</v>
      </c>
      <c r="AI72" s="21">
        <f>'P&amp;LPLN'!AI71/Factors!AI11</f>
        <v>0</v>
      </c>
      <c r="AJ72" s="21">
        <f>'P&amp;LPLN'!AJ71/Factors!AJ11</f>
        <v>0</v>
      </c>
      <c r="AK72" s="21">
        <f>'P&amp;LPLN'!AK71/Factors!AK11</f>
        <v>0</v>
      </c>
      <c r="AL72" s="21">
        <f>'P&amp;LPLN'!AL71/Factors!AL11</f>
        <v>0</v>
      </c>
      <c r="AM72" s="21">
        <f>'P&amp;LPLN'!AM71/Factors!AM11</f>
        <v>0</v>
      </c>
      <c r="AN72" s="21">
        <f>'P&amp;LPLN'!AN71/Factors!AN11</f>
        <v>0</v>
      </c>
      <c r="AO72" s="21">
        <f>'P&amp;LPLN'!AO71/Factors!AO11</f>
        <v>0</v>
      </c>
      <c r="AP72" s="21">
        <f>'P&amp;LPLN'!AP71/Factors!AP11</f>
        <v>0</v>
      </c>
      <c r="AQ72" s="21">
        <f>'P&amp;LPLN'!AQ71/Factors!AQ11</f>
        <v>0</v>
      </c>
      <c r="AR72" s="21">
        <f>'P&amp;LPLN'!AR71/Factors!AR11</f>
        <v>0</v>
      </c>
      <c r="AS72" s="21">
        <f t="shared" si="26"/>
        <v>0</v>
      </c>
    </row>
    <row r="73" spans="1:45">
      <c r="A73" s="63" t="s">
        <v>322</v>
      </c>
      <c r="B73" s="59" t="s">
        <v>589</v>
      </c>
      <c r="C73" s="21">
        <f>'P&amp;LPLN'!C72/Factors!C11</f>
        <v>662.26452696759281</v>
      </c>
      <c r="D73" s="21">
        <f>'P&amp;LPLN'!D72/Factors!D11</f>
        <v>661.33994545806479</v>
      </c>
      <c r="E73" s="21">
        <f>'P&amp;LPLN'!E72/Factors!E11</f>
        <v>660.41794194916088</v>
      </c>
      <c r="F73" s="21">
        <f>'P&amp;LPLN'!F72/Factors!F11</f>
        <v>659.49850567357532</v>
      </c>
      <c r="G73" s="21">
        <f>'P&amp;LPLN'!G72/Factors!G11</f>
        <v>658.5816259238801</v>
      </c>
      <c r="H73" s="21">
        <f>'P&amp;LPLN'!H72/Factors!H11</f>
        <v>657.66729205210947</v>
      </c>
      <c r="I73" s="21">
        <f>'P&amp;LPLN'!I72/Factors!I11</f>
        <v>656.75549346934758</v>
      </c>
      <c r="J73" s="21">
        <f>'P&amp;LPLN'!J72/Factors!J11</f>
        <v>655.84621964531959</v>
      </c>
      <c r="K73" s="21">
        <f>'P&amp;LPLN'!K72/Factors!K11</f>
        <v>654.93946010798641</v>
      </c>
      <c r="L73" s="21">
        <f>'P&amp;LPLN'!L72/Factors!L11</f>
        <v>654.03520444314302</v>
      </c>
      <c r="M73" s="21">
        <f>'P&amp;LPLN'!M72/Factors!M11</f>
        <v>653.13344229401912</v>
      </c>
      <c r="N73" s="21">
        <f>'P&amp;LPLN'!N72/Factors!N11</f>
        <v>652.23416336088417</v>
      </c>
      <c r="O73" s="3">
        <f t="shared" si="24"/>
        <v>7886.7138213450826</v>
      </c>
      <c r="Q73" s="59" t="s">
        <v>589</v>
      </c>
      <c r="R73" s="21">
        <f>'P&amp;LPLN'!R72/Factors!R11</f>
        <v>649.52779753780987</v>
      </c>
      <c r="S73" s="21">
        <f>'P&amp;LPLN'!S72/Factors!S11</f>
        <v>646.84379837443055</v>
      </c>
      <c r="T73" s="21">
        <f>'P&amp;LPLN'!T72/Factors!T11</f>
        <v>644.18188973914482</v>
      </c>
      <c r="U73" s="21">
        <f>'P&amp;LPLN'!U72/Factors!U11</f>
        <v>641.54180002709916</v>
      </c>
      <c r="V73" s="21">
        <f>'P&amp;LPLN'!V72/Factors!V11</f>
        <v>638.9232620678049</v>
      </c>
      <c r="W73" s="21">
        <f>'P&amp;LPLN'!W72/Factors!W11</f>
        <v>636.32601303500905</v>
      </c>
      <c r="X73" s="21">
        <f>'P&amp;LPLN'!X72/Factors!X11</f>
        <v>633.74979435875389</v>
      </c>
      <c r="Y73" s="21">
        <f>'P&amp;LPLN'!Y72/Factors!Y11</f>
        <v>631.19435163956541</v>
      </c>
      <c r="Z73" s="21">
        <f>'P&amp;LPLN'!Z72/Factors!Z11</f>
        <v>628.65943456470779</v>
      </c>
      <c r="AA73" s="21">
        <f>'P&amp;LPLN'!AA72/Factors!AA11</f>
        <v>626.1447968264489</v>
      </c>
      <c r="AB73" s="21">
        <f>'P&amp;LPLN'!AB72/Factors!AB11</f>
        <v>623.65019604227984</v>
      </c>
      <c r="AC73" s="21">
        <f>'P&amp;LPLN'!AC72/Factors!AC11</f>
        <v>621.17539367703273</v>
      </c>
      <c r="AD73" s="21">
        <f t="shared" si="25"/>
        <v>7621.9185278900886</v>
      </c>
      <c r="AF73" s="59" t="s">
        <v>589</v>
      </c>
      <c r="AG73" s="21">
        <f>'P&amp;LPLN'!AG72/Factors!AG11</f>
        <v>618.59790241696203</v>
      </c>
      <c r="AH73" s="21">
        <f>'P&amp;LPLN'!AH72/Factors!AH11</f>
        <v>616.0417127375531</v>
      </c>
      <c r="AI73" s="21">
        <f>'P&amp;LPLN'!AI72/Factors!AI11</f>
        <v>613.50656165632859</v>
      </c>
      <c r="AJ73" s="21">
        <f>'P&amp;LPLN'!AJ72/Factors!AJ11</f>
        <v>610.9921905019994</v>
      </c>
      <c r="AK73" s="21">
        <f>'P&amp;LPLN'!AK72/Factors!AK11</f>
        <v>608.498344826481</v>
      </c>
      <c r="AL73" s="21">
        <f>'P&amp;LPLN'!AL72/Factors!AL11</f>
        <v>606.02477431905629</v>
      </c>
      <c r="AM73" s="21">
        <f>'P&amp;LPLN'!AM72/Factors!AM11</f>
        <v>603.57123272262288</v>
      </c>
      <c r="AN73" s="21">
        <f>'P&amp;LPLN'!AN72/Factors!AN11</f>
        <v>601.13747775196714</v>
      </c>
      <c r="AO73" s="21">
        <f>'P&amp;LPLN'!AO72/Factors!AO11</f>
        <v>598.72327101400742</v>
      </c>
      <c r="AP73" s="21">
        <f>'P&amp;LPLN'!AP72/Factors!AP11</f>
        <v>596.32837792995133</v>
      </c>
      <c r="AQ73" s="21">
        <f>'P&amp;LPLN'!AQ72/Factors!AQ11</f>
        <v>593.95256765931413</v>
      </c>
      <c r="AR73" s="21">
        <f>'P&amp;LPLN'!AR72/Factors!AR11</f>
        <v>591.59561302574537</v>
      </c>
      <c r="AS73" s="21">
        <f t="shared" si="26"/>
        <v>7258.9700265619877</v>
      </c>
    </row>
    <row r="74" spans="1:45">
      <c r="A74" s="63" t="s">
        <v>324</v>
      </c>
      <c r="B74" s="60" t="s">
        <v>590</v>
      </c>
      <c r="C74" s="21">
        <f>'P&amp;LPLN'!C73/Factors!C11</f>
        <v>650.6458510558806</v>
      </c>
      <c r="D74" s="21">
        <f>'P&amp;LPLN'!D73/Factors!D11</f>
        <v>649.73749027458996</v>
      </c>
      <c r="E74" s="21">
        <f>'P&amp;LPLN'!E73/Factors!E11</f>
        <v>648.83166226584228</v>
      </c>
      <c r="F74" s="21">
        <f>'P&amp;LPLN'!F73/Factors!F11</f>
        <v>647.92835645123182</v>
      </c>
      <c r="G74" s="21">
        <f>'P&amp;LPLN'!G73/Factors!G11</f>
        <v>647.02756231118042</v>
      </c>
      <c r="H74" s="21">
        <f>'P&amp;LPLN'!H73/Factors!H11</f>
        <v>646.12926938452858</v>
      </c>
      <c r="I74" s="21">
        <f>'P&amp;LPLN'!I73/Factors!I11</f>
        <v>645.23346726813099</v>
      </c>
      <c r="J74" s="21">
        <f>'P&amp;LPLN'!J73/Factors!J11</f>
        <v>644.34014561645427</v>
      </c>
      <c r="K74" s="21">
        <f>'P&amp;LPLN'!K73/Factors!K11</f>
        <v>643.44929414117973</v>
      </c>
      <c r="L74" s="21">
        <f>'P&amp;LPLN'!L73/Factors!L11</f>
        <v>642.56090261080726</v>
      </c>
      <c r="M74" s="21">
        <f>'P&amp;LPLN'!M73/Factors!M11</f>
        <v>641.67496085026437</v>
      </c>
      <c r="N74" s="21">
        <f>'P&amp;LPLN'!N73/Factors!N11</f>
        <v>640.79145874051778</v>
      </c>
      <c r="O74" s="3">
        <f t="shared" si="24"/>
        <v>7748.3504209706089</v>
      </c>
      <c r="Q74" s="59" t="s">
        <v>590</v>
      </c>
      <c r="R74" s="21">
        <f>'P&amp;LPLN'!R73/Factors!R11</f>
        <v>638.13257301960277</v>
      </c>
      <c r="S74" s="21">
        <f>'P&amp;LPLN'!S73/Factors!S11</f>
        <v>635.49566156084404</v>
      </c>
      <c r="T74" s="21">
        <f>'P&amp;LPLN'!T73/Factors!T11</f>
        <v>632.88045307705465</v>
      </c>
      <c r="U74" s="21">
        <f>'P&amp;LPLN'!U73/Factors!U11</f>
        <v>630.2866807283782</v>
      </c>
      <c r="V74" s="21">
        <f>'P&amp;LPLN'!V73/Factors!V11</f>
        <v>627.71408203152771</v>
      </c>
      <c r="W74" s="21">
        <f>'P&amp;LPLN'!W73/Factors!W11</f>
        <v>625.16239877123689</v>
      </c>
      <c r="X74" s="21">
        <f>'P&amp;LPLN'!X73/Factors!X11</f>
        <v>622.63137691386351</v>
      </c>
      <c r="Y74" s="21">
        <f>'P&amp;LPLN'!Y73/Factors!Y11</f>
        <v>620.12076652308178</v>
      </c>
      <c r="Z74" s="21">
        <f>'P&amp;LPLN'!Z73/Factors!Z11</f>
        <v>617.63032167760764</v>
      </c>
      <c r="AA74" s="21">
        <f>'P&amp;LPLN'!AA73/Factors!AA11</f>
        <v>615.1598003908972</v>
      </c>
      <c r="AB74" s="21">
        <f>'P&amp;LPLN'!AB73/Factors!AB11</f>
        <v>612.70896453276612</v>
      </c>
      <c r="AC74" s="21">
        <f>'P&amp;LPLN'!AC73/Factors!AC11</f>
        <v>610.2775797528742</v>
      </c>
      <c r="AD74" s="21">
        <f t="shared" si="25"/>
        <v>7488.2006589797338</v>
      </c>
      <c r="AF74" s="59" t="s">
        <v>590</v>
      </c>
      <c r="AG74" s="21">
        <f>'P&amp;LPLN'!AG73/Factors!AG11</f>
        <v>607.74530763771713</v>
      </c>
      <c r="AH74" s="21">
        <f>'P&amp;LPLN'!AH73/Factors!AH11</f>
        <v>605.23396339128021</v>
      </c>
      <c r="AI74" s="21">
        <f>'P&amp;LPLN'!AI73/Factors!AI11</f>
        <v>602.74328864481402</v>
      </c>
      <c r="AJ74" s="21">
        <f>'P&amp;LPLN'!AJ73/Factors!AJ11</f>
        <v>600.2730292651222</v>
      </c>
      <c r="AK74" s="21">
        <f>'P&amp;LPLN'!AK73/Factors!AK11</f>
        <v>597.82293526812168</v>
      </c>
      <c r="AL74" s="21">
        <f>'P&amp;LPLN'!AL73/Factors!AL11</f>
        <v>595.3927607345114</v>
      </c>
      <c r="AM74" s="21">
        <f>'P&amp;LPLN'!AM73/Factors!AM11</f>
        <v>592.98226372748911</v>
      </c>
      <c r="AN74" s="21">
        <f>'P&amp;LPLN'!AN73/Factors!AN11</f>
        <v>590.59120621245893</v>
      </c>
      <c r="AO74" s="21">
        <f>'P&amp;LPLN'!AO73/Factors!AO11</f>
        <v>588.21935397867389</v>
      </c>
      <c r="AP74" s="21">
        <f>'P&amp;LPLN'!AP73/Factors!AP11</f>
        <v>585.8664765627592</v>
      </c>
      <c r="AQ74" s="21">
        <f>'P&amp;LPLN'!AQ73/Factors!AQ11</f>
        <v>583.53234717406292</v>
      </c>
      <c r="AR74" s="21">
        <f>'P&amp;LPLN'!AR73/Factors!AR11</f>
        <v>581.21674262178487</v>
      </c>
      <c r="AS74" s="21">
        <f t="shared" si="26"/>
        <v>7131.6196752187952</v>
      </c>
    </row>
    <row r="75" spans="1:45" ht="13.5" thickBot="1">
      <c r="A75" s="63"/>
      <c r="B75" s="136" t="s">
        <v>97</v>
      </c>
      <c r="C75" s="19">
        <f t="shared" ref="C75:O75" si="27">SUM(C67:C74)</f>
        <v>26312.910378023473</v>
      </c>
      <c r="D75" s="19">
        <f t="shared" si="27"/>
        <v>26311.077435732655</v>
      </c>
      <c r="E75" s="19">
        <f t="shared" si="27"/>
        <v>26309.249604215001</v>
      </c>
      <c r="F75" s="19">
        <f t="shared" si="27"/>
        <v>26307.426862124808</v>
      </c>
      <c r="G75" s="19">
        <f t="shared" si="27"/>
        <v>26305.609188235063</v>
      </c>
      <c r="H75" s="19">
        <f t="shared" si="27"/>
        <v>26303.796561436637</v>
      </c>
      <c r="I75" s="19">
        <f t="shared" si="27"/>
        <v>26301.988960737479</v>
      </c>
      <c r="J75" s="19">
        <f t="shared" si="27"/>
        <v>26300.186365261772</v>
      </c>
      <c r="K75" s="19">
        <f t="shared" si="27"/>
        <v>26298.388754249168</v>
      </c>
      <c r="L75" s="19">
        <f t="shared" si="27"/>
        <v>26296.596107053949</v>
      </c>
      <c r="M75" s="19">
        <f t="shared" si="27"/>
        <v>26294.808403144285</v>
      </c>
      <c r="N75" s="19">
        <f t="shared" si="27"/>
        <v>26293.025622101402</v>
      </c>
      <c r="O75" s="19">
        <f t="shared" si="27"/>
        <v>315635.06424231565</v>
      </c>
      <c r="Q75" s="59"/>
      <c r="R75" s="19">
        <f>SUM(R68:R74)</f>
        <v>6787.6603705574134</v>
      </c>
      <c r="S75" s="53">
        <f t="shared" ref="S75:AD75" si="28">SUM(S67:S74)</f>
        <v>7782.339459935275</v>
      </c>
      <c r="T75" s="53">
        <f t="shared" si="28"/>
        <v>7777.0623428161998</v>
      </c>
      <c r="U75" s="53">
        <f t="shared" si="28"/>
        <v>7771.8284807554774</v>
      </c>
      <c r="V75" s="53">
        <f t="shared" si="28"/>
        <v>7766.6373440993329</v>
      </c>
      <c r="W75" s="53">
        <f t="shared" si="28"/>
        <v>7761.4884118062455</v>
      </c>
      <c r="X75" s="53">
        <f t="shared" si="28"/>
        <v>7756.3811712726174</v>
      </c>
      <c r="Y75" s="53">
        <f t="shared" si="28"/>
        <v>7751.3151181626472</v>
      </c>
      <c r="Z75" s="53">
        <f t="shared" si="28"/>
        <v>7746.2897562423159</v>
      </c>
      <c r="AA75" s="53">
        <f t="shared" si="28"/>
        <v>7741.3045972173468</v>
      </c>
      <c r="AB75" s="53">
        <f t="shared" si="28"/>
        <v>7736.3591605750462</v>
      </c>
      <c r="AC75" s="53">
        <f t="shared" si="28"/>
        <v>7731.4529734299067</v>
      </c>
      <c r="AD75" s="53">
        <f t="shared" si="28"/>
        <v>93110.119186869822</v>
      </c>
      <c r="AF75" s="59"/>
      <c r="AG75" s="19">
        <f>SUM(AG68:AG74)</f>
        <v>6726.3432100546788</v>
      </c>
      <c r="AH75" s="53">
        <f t="shared" ref="AH75:AS75" si="29">SUM(AH67:AH74)</f>
        <v>7721.2756761288329</v>
      </c>
      <c r="AI75" s="53">
        <f t="shared" si="29"/>
        <v>7716.2498503011429</v>
      </c>
      <c r="AJ75" s="53">
        <f t="shared" si="29"/>
        <v>7711.2652197671214</v>
      </c>
      <c r="AK75" s="53">
        <f t="shared" si="29"/>
        <v>7706.321280094603</v>
      </c>
      <c r="AL75" s="53">
        <f t="shared" si="29"/>
        <v>7701.4175350535679</v>
      </c>
      <c r="AM75" s="53">
        <f t="shared" si="29"/>
        <v>7696.5534964501121</v>
      </c>
      <c r="AN75" s="53">
        <f t="shared" si="29"/>
        <v>7691.7286839644257</v>
      </c>
      <c r="AO75" s="53">
        <f t="shared" si="29"/>
        <v>7686.942624992681</v>
      </c>
      <c r="AP75" s="53">
        <f t="shared" si="29"/>
        <v>7682.19485449271</v>
      </c>
      <c r="AQ75" s="53">
        <f t="shared" si="29"/>
        <v>7677.4849148333769</v>
      </c>
      <c r="AR75" s="53">
        <f t="shared" si="29"/>
        <v>7672.8123556475302</v>
      </c>
      <c r="AS75" s="53">
        <f t="shared" si="29"/>
        <v>92390.589701780787</v>
      </c>
    </row>
    <row r="76" spans="1:45" ht="13.5" thickTop="1">
      <c r="A76" s="56"/>
      <c r="B76" s="6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0"/>
      <c r="Q76" s="59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0"/>
      <c r="AF76" s="59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0"/>
    </row>
    <row r="77" spans="1:45">
      <c r="A77" s="64" t="s">
        <v>326</v>
      </c>
      <c r="B77" s="60" t="s">
        <v>22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Q77" s="60" t="s">
        <v>591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F77" s="60" t="s">
        <v>591</v>
      </c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</row>
    <row r="78" spans="1:45">
      <c r="A78" s="63" t="s">
        <v>327</v>
      </c>
      <c r="B78" s="59" t="s">
        <v>592</v>
      </c>
      <c r="C78" s="21">
        <f>'P&amp;LPLN'!C77/Factors!C$11</f>
        <v>640.42141625357397</v>
      </c>
      <c r="D78" s="21">
        <f>'P&amp;LPLN'!D77/Factors!D$11</f>
        <v>639.52732971313219</v>
      </c>
      <c r="E78" s="21">
        <f>'P&amp;LPLN'!E77/Factors!E$11</f>
        <v>638.63573614452184</v>
      </c>
      <c r="F78" s="21">
        <f>'P&amp;LPLN'!F77/Factors!F$11</f>
        <v>637.74662513556962</v>
      </c>
      <c r="G78" s="21">
        <f>'P&amp;LPLN'!G77/Factors!G$11</f>
        <v>636.85998633200472</v>
      </c>
      <c r="H78" s="21">
        <f>'P&amp;LPLN'!H77/Factors!H$11</f>
        <v>635.97580943705748</v>
      </c>
      <c r="I78" s="21">
        <f>'P&amp;LPLN'!I77/Factors!I$11</f>
        <v>635.09408421106036</v>
      </c>
      <c r="J78" s="21">
        <f>'P&amp;LPLN'!J77/Factors!J$11</f>
        <v>634.21480047105285</v>
      </c>
      <c r="K78" s="21">
        <f>'P&amp;LPLN'!K77/Factors!K$11</f>
        <v>633.33794809038977</v>
      </c>
      <c r="L78" s="21">
        <f>'P&amp;LPLN'!L77/Factors!L$11</f>
        <v>632.46351699835168</v>
      </c>
      <c r="M78" s="21">
        <f>'P&amp;LPLN'!M77/Factors!M$11</f>
        <v>631.59149717976027</v>
      </c>
      <c r="N78" s="21">
        <f>'P&amp;LPLN'!N77/Factors!N$11</f>
        <v>630.72187867459536</v>
      </c>
      <c r="O78" s="3">
        <f t="shared" ref="O78:O94" si="30">SUM(C78:N78)</f>
        <v>7626.59062864107</v>
      </c>
      <c r="Q78" s="59" t="s">
        <v>592</v>
      </c>
      <c r="R78" s="21">
        <f>'P&amp;LPLN'!R77/Factors!R$11</f>
        <v>653.22896646132369</v>
      </c>
      <c r="S78" s="21">
        <f>'P&amp;LPLN'!S77/Factors!S$11</f>
        <v>650.52967321148355</v>
      </c>
      <c r="T78" s="21">
        <f>'P&amp;LPLN'!T77/Factors!T$11</f>
        <v>647.85259636699186</v>
      </c>
      <c r="U78" s="21">
        <f>'P&amp;LPLN'!U77/Factors!U$11</f>
        <v>645.19746277532386</v>
      </c>
      <c r="V78" s="21">
        <f>'P&amp;LPLN'!V77/Factors!V$11</f>
        <v>642.56400374358782</v>
      </c>
      <c r="W78" s="21">
        <f>'P&amp;LPLN'!W77/Factors!W$11</f>
        <v>639.9519549478822</v>
      </c>
      <c r="X78" s="21">
        <f>'P&amp;LPLN'!X77/Factors!X$11</f>
        <v>637.36105634485443</v>
      </c>
      <c r="Y78" s="21">
        <f>'P&amp;LPLN'!Y77/Factors!Y$11</f>
        <v>634.79105208539931</v>
      </c>
      <c r="Z78" s="21">
        <f>'P&amp;LPLN'!Z77/Factors!Z$11</f>
        <v>632.24169043043787</v>
      </c>
      <c r="AA78" s="21">
        <f>'P&amp;LPLN'!AA77/Factors!AA$11</f>
        <v>629.71272366871619</v>
      </c>
      <c r="AB78" s="21">
        <f>'P&amp;LPLN'!AB77/Factors!AB$11</f>
        <v>627.20390803656994</v>
      </c>
      <c r="AC78" s="21">
        <f>'P&amp;LPLN'!AC77/Factors!AC$11</f>
        <v>624.71500363959944</v>
      </c>
      <c r="AD78" s="21">
        <f t="shared" ref="AD78:AD94" si="31">SUM(R78:AC78)</f>
        <v>7665.3500917121719</v>
      </c>
      <c r="AF78" s="59" t="s">
        <v>592</v>
      </c>
      <c r="AG78" s="21">
        <f>'P&amp;LPLN'!AG77/Factors!AG$11</f>
        <v>659.45019471333649</v>
      </c>
      <c r="AH78" s="21">
        <f>'P&amp;LPLN'!AH77/Factors!AH$11</f>
        <v>656.72519390873595</v>
      </c>
      <c r="AI78" s="21">
        <f>'P&amp;LPLN'!AI77/Factors!AI$11</f>
        <v>654.02262109429671</v>
      </c>
      <c r="AJ78" s="21">
        <f>'P&amp;LPLN'!AJ77/Factors!AJ$11</f>
        <v>651.34220051604132</v>
      </c>
      <c r="AK78" s="21">
        <f>'P&amp;LPLN'!AK77/Factors!AK$11</f>
        <v>648.68366092209828</v>
      </c>
      <c r="AL78" s="21">
        <f>'P&amp;LPLN'!AL77/Factors!AL$11</f>
        <v>646.04673547119546</v>
      </c>
      <c r="AM78" s="21">
        <f>'P&amp;LPLN'!AM77/Factors!AM$11</f>
        <v>643.43116164337687</v>
      </c>
      <c r="AN78" s="21">
        <f>'P&amp;LPLN'!AN77/Factors!AN$11</f>
        <v>640.83668115287935</v>
      </c>
      <c r="AO78" s="21">
        <f>'P&amp;LPLN'!AO77/Factors!AO$11</f>
        <v>638.26303986310882</v>
      </c>
      <c r="AP78" s="21">
        <f>'P&amp;LPLN'!AP77/Factors!AP$11</f>
        <v>635.70998770365634</v>
      </c>
      <c r="AQ78" s="21">
        <f>'P&amp;LPLN'!AQ77/Factors!AQ$11</f>
        <v>633.17727858929914</v>
      </c>
      <c r="AR78" s="21">
        <f>'P&amp;LPLN'!AR77/Factors!AR$11</f>
        <v>630.66467034092886</v>
      </c>
      <c r="AS78" s="21">
        <f t="shared" ref="AS78:AS94" si="32">SUM(AG78:AR78)</f>
        <v>7738.3534259189537</v>
      </c>
    </row>
    <row r="79" spans="1:45">
      <c r="A79" s="63" t="s">
        <v>329</v>
      </c>
      <c r="B79" s="59" t="s">
        <v>593</v>
      </c>
      <c r="C79" s="21">
        <f>'P&amp;LPLN'!C78/Factors!C$11</f>
        <v>374.40021257901248</v>
      </c>
      <c r="D79" s="21">
        <f>'P&amp;LPLN'!D78/Factors!D$11</f>
        <v>373.87751583229266</v>
      </c>
      <c r="E79" s="21">
        <f>'P&amp;LPLN'!E78/Factors!E$11</f>
        <v>373.35627651525897</v>
      </c>
      <c r="F79" s="21">
        <f>'P&amp;LPLN'!F78/Factors!F$11</f>
        <v>372.83648854079456</v>
      </c>
      <c r="G79" s="21">
        <f>'P&amp;LPLN'!G78/Factors!G$11</f>
        <v>372.31814585563353</v>
      </c>
      <c r="H79" s="21">
        <f>'P&amp;LPLN'!H78/Factors!H$11</f>
        <v>371.80124244012592</v>
      </c>
      <c r="I79" s="21">
        <f>'P&amp;LPLN'!I78/Factors!I$11</f>
        <v>371.28577230800448</v>
      </c>
      <c r="J79" s="21">
        <f>'P&amp;LPLN'!J78/Factors!J$11</f>
        <v>370.77172950615397</v>
      </c>
      <c r="K79" s="21">
        <f>'P&amp;LPLN'!K78/Factors!K$11</f>
        <v>370.25910811438172</v>
      </c>
      <c r="L79" s="21">
        <f>'P&amp;LPLN'!L78/Factors!L$11</f>
        <v>369.74790224519023</v>
      </c>
      <c r="M79" s="21">
        <f>'P&amp;LPLN'!M78/Factors!M$11</f>
        <v>369.23810604355214</v>
      </c>
      <c r="N79" s="21">
        <f>'P&amp;LPLN'!N78/Factors!N$11</f>
        <v>368.72971368668652</v>
      </c>
      <c r="O79" s="3">
        <f t="shared" si="30"/>
        <v>4458.6222136670876</v>
      </c>
      <c r="Q79" s="59" t="s">
        <v>593</v>
      </c>
      <c r="R79" s="21">
        <f>'P&amp;LPLN'!R78/Factors!R$11</f>
        <v>381.88770346969693</v>
      </c>
      <c r="S79" s="21">
        <f>'P&amp;LPLN'!S78/Factors!S$11</f>
        <v>380.30965510825189</v>
      </c>
      <c r="T79" s="21">
        <f>'P&amp;LPLN'!T78/Factors!T$11</f>
        <v>378.74459479916447</v>
      </c>
      <c r="U79" s="21">
        <f>'P&amp;LPLN'!U78/Factors!U$11</f>
        <v>377.19236285326627</v>
      </c>
      <c r="V79" s="21">
        <f>'P&amp;LPLN'!V78/Factors!V$11</f>
        <v>375.65280218855906</v>
      </c>
      <c r="W79" s="21">
        <f>'P&amp;LPLN'!W78/Factors!W$11</f>
        <v>374.12575827722344</v>
      </c>
      <c r="X79" s="21">
        <f>'P&amp;LPLN'!X78/Factors!X$11</f>
        <v>372.6110790939149</v>
      </c>
      <c r="Y79" s="21">
        <f>'P&amp;LPLN'!Y78/Factors!Y$11</f>
        <v>371.1086150653104</v>
      </c>
      <c r="Z79" s="21">
        <f>'P&amp;LPLN'!Z78/Factors!Z$11</f>
        <v>369.61821902087138</v>
      </c>
      <c r="AA79" s="21">
        <f>'P&amp;LPLN'!AA78/Factors!AA$11</f>
        <v>368.13974614478792</v>
      </c>
      <c r="AB79" s="21">
        <f>'P&amp;LPLN'!AB78/Factors!AB$11</f>
        <v>366.67305392907167</v>
      </c>
      <c r="AC79" s="21">
        <f>'P&amp;LPLN'!AC78/Factors!AC$11</f>
        <v>365.21800212776583</v>
      </c>
      <c r="AD79" s="21">
        <f t="shared" si="31"/>
        <v>4481.2815920778839</v>
      </c>
      <c r="AF79" s="59" t="s">
        <v>593</v>
      </c>
      <c r="AG79" s="21">
        <f>'P&amp;LPLN'!AG78/Factors!AG$11</f>
        <v>385.52472921702747</v>
      </c>
      <c r="AH79" s="21">
        <f>'P&amp;LPLN'!AH78/Factors!AH$11</f>
        <v>383.9316518235687</v>
      </c>
      <c r="AI79" s="21">
        <f>'P&amp;LPLN'!AI78/Factors!AI$11</f>
        <v>382.3516861782042</v>
      </c>
      <c r="AJ79" s="21">
        <f>'P&amp;LPLN'!AJ78/Factors!AJ$11</f>
        <v>380.78467107091649</v>
      </c>
      <c r="AK79" s="21">
        <f>'P&amp;LPLN'!AK78/Factors!AK$11</f>
        <v>379.23044792368825</v>
      </c>
      <c r="AL79" s="21">
        <f>'P&amp;LPLN'!AL78/Factors!AL$11</f>
        <v>377.68886073700662</v>
      </c>
      <c r="AM79" s="21">
        <f>'P&amp;LPLN'!AM78/Factors!AM$11</f>
        <v>376.15975603766645</v>
      </c>
      <c r="AN79" s="21">
        <f>'P&amp;LPLN'!AN78/Factors!AN$11</f>
        <v>374.64298282783716</v>
      </c>
      <c r="AO79" s="21">
        <f>'P&amp;LPLN'!AO78/Factors!AO$11</f>
        <v>373.13839253535588</v>
      </c>
      <c r="AP79" s="21">
        <f>'P&amp;LPLN'!AP78/Factors!AP$11</f>
        <v>371.64583896521447</v>
      </c>
      <c r="AQ79" s="21">
        <f>'P&amp;LPLN'!AQ78/Factors!AQ$11</f>
        <v>370.16517825220564</v>
      </c>
      <c r="AR79" s="21">
        <f>'P&amp;LPLN'!AR78/Factors!AR$11</f>
        <v>368.69626881469691</v>
      </c>
      <c r="AS79" s="21">
        <f t="shared" si="32"/>
        <v>4523.9604643833873</v>
      </c>
    </row>
    <row r="80" spans="1:45">
      <c r="A80" s="63" t="s">
        <v>331</v>
      </c>
      <c r="B80" s="59" t="s">
        <v>619</v>
      </c>
      <c r="C80" s="21">
        <f>'P&amp;LPLN'!C79/Factors!C$11</f>
        <v>763.5793809177228</v>
      </c>
      <c r="D80" s="21">
        <f>'P&amp;LPLN'!D79/Factors!D$11</f>
        <v>762.51335465796524</v>
      </c>
      <c r="E80" s="21">
        <f>'P&amp;LPLN'!E79/Factors!E$11</f>
        <v>761.45030078769912</v>
      </c>
      <c r="F80" s="21">
        <f>'P&amp;LPLN'!F79/Factors!F$11</f>
        <v>760.39020689240999</v>
      </c>
      <c r="G80" s="21">
        <f>'P&amp;LPLN'!G79/Factors!G$11</f>
        <v>759.33306062662109</v>
      </c>
      <c r="H80" s="21">
        <f>'P&amp;LPLN'!H79/Factors!H$11</f>
        <v>758.27884971341462</v>
      </c>
      <c r="I80" s="21">
        <f>'P&amp;LPLN'!I79/Factors!I$11</f>
        <v>757.22756194395652</v>
      </c>
      <c r="J80" s="21">
        <f>'P&amp;LPLN'!J79/Factors!J$11</f>
        <v>756.17918517702458</v>
      </c>
      <c r="K80" s="21">
        <f>'P&amp;LPLN'!K79/Factors!K$11</f>
        <v>755.13370733854163</v>
      </c>
      <c r="L80" s="21">
        <f>'P&amp;LPLN'!L79/Factors!L$11</f>
        <v>754.09111642111156</v>
      </c>
      <c r="M80" s="21">
        <f>'P&amp;LPLN'!M79/Factors!M$11</f>
        <v>753.05140048356031</v>
      </c>
      <c r="N80" s="21">
        <f>'P&amp;LPLN'!N79/Factors!N$11</f>
        <v>752.01454765047902</v>
      </c>
      <c r="O80" s="3">
        <f t="shared" si="30"/>
        <v>9093.2426726105077</v>
      </c>
      <c r="Q80" s="59" t="s">
        <v>619</v>
      </c>
      <c r="R80" s="21">
        <f>'P&amp;LPLN'!R79/Factors!R$11</f>
        <v>778.84992155003977</v>
      </c>
      <c r="S80" s="21">
        <f>'P&amp;LPLN'!S79/Factors!S$11</f>
        <v>775.63153344446107</v>
      </c>
      <c r="T80" s="21">
        <f>'P&amp;LPLN'!T79/Factors!T$11</f>
        <v>772.43963412987478</v>
      </c>
      <c r="U80" s="21">
        <f>'P&amp;LPLN'!U79/Factors!U$11</f>
        <v>769.27389792442455</v>
      </c>
      <c r="V80" s="21">
        <f>'P&amp;LPLN'!V79/Factors!V$11</f>
        <v>766.13400446350852</v>
      </c>
      <c r="W80" s="21">
        <f>'P&amp;LPLN'!W79/Factors!W$11</f>
        <v>763.01963859170564</v>
      </c>
      <c r="X80" s="21">
        <f>'P&amp;LPLN'!X79/Factors!X$11</f>
        <v>759.93049025732637</v>
      </c>
      <c r="Y80" s="21">
        <f>'P&amp;LPLN'!Y79/Factors!Y$11</f>
        <v>756.86625440951457</v>
      </c>
      <c r="Z80" s="21">
        <f>'P&amp;LPLN'!Z79/Factors!Z$11</f>
        <v>753.82663089782977</v>
      </c>
      <c r="AA80" s="21">
        <f>'P&amp;LPLN'!AA79/Factors!AA$11</f>
        <v>750.81132437423844</v>
      </c>
      <c r="AB80" s="21">
        <f>'P&amp;LPLN'!AB79/Factors!AB$11</f>
        <v>747.82004419744874</v>
      </c>
      <c r="AC80" s="21">
        <f>'P&amp;LPLN'!AC79/Factors!AC$11</f>
        <v>744.8525043395224</v>
      </c>
      <c r="AD80" s="21">
        <f t="shared" si="31"/>
        <v>9139.4558785798945</v>
      </c>
      <c r="AF80" s="59" t="s">
        <v>619</v>
      </c>
      <c r="AG80" s="21">
        <f>'P&amp;LPLN'!AG79/Factors!AG$11</f>
        <v>786.26753985051653</v>
      </c>
      <c r="AH80" s="21">
        <f>'P&amp;LPLN'!AH79/Factors!AH$11</f>
        <v>783.01850042964668</v>
      </c>
      <c r="AI80" s="21">
        <f>'P&amp;LPLN'!AI79/Factors!AI$11</f>
        <v>779.79620207396908</v>
      </c>
      <c r="AJ80" s="21">
        <f>'P&amp;LPLN'!AJ79/Factors!AJ$11</f>
        <v>776.60031599989543</v>
      </c>
      <c r="AK80" s="21">
        <f>'P&amp;LPLN'!AK79/Factors!AK$11</f>
        <v>773.43051879173254</v>
      </c>
      <c r="AL80" s="21">
        <f>'P&amp;LPLN'!AL79/Factors!AL$11</f>
        <v>770.28649229257917</v>
      </c>
      <c r="AM80" s="21">
        <f>'P&amp;LPLN'!AM79/Factors!AM$11</f>
        <v>767.16792349787238</v>
      </c>
      <c r="AN80" s="21">
        <f>'P&amp;LPLN'!AN79/Factors!AN$11</f>
        <v>764.07450445151005</v>
      </c>
      <c r="AO80" s="21">
        <f>'P&amp;LPLN'!AO79/Factors!AO$11</f>
        <v>761.00593214447576</v>
      </c>
      <c r="AP80" s="21">
        <f>'P&amp;LPLN'!AP79/Factors!AP$11</f>
        <v>757.96190841589794</v>
      </c>
      <c r="AQ80" s="21">
        <f>'P&amp;LPLN'!AQ79/Factors!AQ$11</f>
        <v>754.94213985647195</v>
      </c>
      <c r="AR80" s="21">
        <f>'P&amp;LPLN'!AR79/Factors!AR$11</f>
        <v>751.94633771418444</v>
      </c>
      <c r="AS80" s="21">
        <f t="shared" si="32"/>
        <v>9226.498315518751</v>
      </c>
    </row>
    <row r="81" spans="1:45">
      <c r="A81" s="63" t="s">
        <v>333</v>
      </c>
      <c r="B81" s="59" t="s">
        <v>594</v>
      </c>
      <c r="C81" s="21">
        <f>'P&amp;LPLN'!C80/Factors!C$11</f>
        <v>232.37351823424308</v>
      </c>
      <c r="D81" s="21">
        <f>'P&amp;LPLN'!D80/Factors!D$11</f>
        <v>232.04910366949642</v>
      </c>
      <c r="E81" s="21">
        <f>'P&amp;LPLN'!E80/Factors!E$11</f>
        <v>231.72559366637225</v>
      </c>
      <c r="F81" s="21">
        <f>'P&amp;LPLN'!F80/Factors!F$11</f>
        <v>231.40298444686852</v>
      </c>
      <c r="G81" s="21">
        <f>'P&amp;LPLN'!G80/Factors!G$11</f>
        <v>231.08127225399301</v>
      </c>
      <c r="H81" s="21">
        <f>'P&amp;LPLN'!H80/Factors!H$11</f>
        <v>230.76045335161737</v>
      </c>
      <c r="I81" s="21">
        <f>'P&amp;LPLN'!I80/Factors!I$11</f>
        <v>230.44052402433249</v>
      </c>
      <c r="J81" s="21">
        <f>'P&amp;LPLN'!J80/Factors!J$11</f>
        <v>230.12148057730511</v>
      </c>
      <c r="K81" s="21">
        <f>'P&amp;LPLN'!K80/Factors!K$11</f>
        <v>229.80331933613559</v>
      </c>
      <c r="L81" s="21">
        <f>'P&amp;LPLN'!L80/Factors!L$11</f>
        <v>229.48603664671685</v>
      </c>
      <c r="M81" s="21">
        <f>'P&amp;LPLN'!M80/Factors!M$11</f>
        <v>229.16962887509442</v>
      </c>
      <c r="N81" s="21">
        <f>'P&amp;LPLN'!N80/Factors!N$11</f>
        <v>228.85409240732776</v>
      </c>
      <c r="O81" s="3">
        <f t="shared" si="30"/>
        <v>2767.2680074895029</v>
      </c>
      <c r="Q81" s="59" t="s">
        <v>594</v>
      </c>
      <c r="R81" s="21">
        <f>'P&amp;LPLN'!R80/Factors!R$11</f>
        <v>237.02066997870958</v>
      </c>
      <c r="S81" s="21">
        <f>'P&amp;LPLN'!S80/Factors!S$11</f>
        <v>236.04124572259923</v>
      </c>
      <c r="T81" s="21">
        <f>'P&amp;LPLN'!T80/Factors!T$11</f>
        <v>235.06988257147742</v>
      </c>
      <c r="U81" s="21">
        <f>'P&amp;LPLN'!U80/Factors!U$11</f>
        <v>234.1064814133976</v>
      </c>
      <c r="V81" s="21">
        <f>'P&amp;LPLN'!V80/Factors!V$11</f>
        <v>233.1509447545674</v>
      </c>
      <c r="W81" s="21">
        <f>'P&amp;LPLN'!W80/Factors!W$11</f>
        <v>232.20317668645941</v>
      </c>
      <c r="X81" s="21">
        <f>'P&amp;LPLN'!X80/Factors!X$11</f>
        <v>231.26308285372073</v>
      </c>
      <c r="Y81" s="21">
        <f>'P&amp;LPLN'!Y80/Factors!Y$11</f>
        <v>230.33057042285895</v>
      </c>
      <c r="Z81" s="21">
        <f>'P&amp;LPLN'!Z80/Factors!Z$11</f>
        <v>229.40554805168281</v>
      </c>
      <c r="AA81" s="21">
        <f>'P&amp;LPLN'!AA80/Factors!AA$11</f>
        <v>228.48792585947609</v>
      </c>
      <c r="AB81" s="21">
        <f>'P&amp;LPLN'!AB80/Factors!AB$11</f>
        <v>227.57761539788456</v>
      </c>
      <c r="AC81" s="21">
        <f>'P&amp;LPLN'!AC80/Factors!AC$11</f>
        <v>226.67452962249615</v>
      </c>
      <c r="AD81" s="21">
        <f t="shared" si="31"/>
        <v>2781.3316733353304</v>
      </c>
      <c r="AF81" s="59" t="s">
        <v>594</v>
      </c>
      <c r="AG81" s="21">
        <f>'P&amp;LPLN'!AG80/Factors!AG$11</f>
        <v>239.27800969279264</v>
      </c>
      <c r="AH81" s="21">
        <f>'P&amp;LPLN'!AH80/Factors!AH$11</f>
        <v>238.28925758662407</v>
      </c>
      <c r="AI81" s="21">
        <f>'P&amp;LPLN'!AI80/Factors!AI$11</f>
        <v>237.30864335787251</v>
      </c>
      <c r="AJ81" s="21">
        <f>'P&amp;LPLN'!AJ80/Factors!AJ$11</f>
        <v>236.33606695066811</v>
      </c>
      <c r="AK81" s="21">
        <f>'P&amp;LPLN'!AK80/Factors!AK$11</f>
        <v>235.37142994270621</v>
      </c>
      <c r="AL81" s="21">
        <f>'P&amp;LPLN'!AL80/Factors!AL$11</f>
        <v>234.41463551204481</v>
      </c>
      <c r="AM81" s="21">
        <f>'P&amp;LPLN'!AM80/Factors!AM$11</f>
        <v>233.4655884047086</v>
      </c>
      <c r="AN81" s="21">
        <f>'P&amp;LPLN'!AN80/Factors!AN$11</f>
        <v>232.5241949030767</v>
      </c>
      <c r="AO81" s="21">
        <f>'P&amp;LPLN'!AO80/Factors!AO$11</f>
        <v>231.59036279503221</v>
      </c>
      <c r="AP81" s="21">
        <f>'P&amp;LPLN'!AP80/Factors!AP$11</f>
        <v>230.66400134385208</v>
      </c>
      <c r="AQ81" s="21">
        <f>'P&amp;LPLN'!AQ80/Factors!AQ$11</f>
        <v>229.74502125881682</v>
      </c>
      <c r="AR81" s="21">
        <f>'P&amp;LPLN'!AR80/Factors!AR$11</f>
        <v>228.8333346665199</v>
      </c>
      <c r="AS81" s="21">
        <f t="shared" si="32"/>
        <v>2807.820546414715</v>
      </c>
    </row>
    <row r="82" spans="1:45">
      <c r="A82" s="63" t="s">
        <v>335</v>
      </c>
      <c r="B82" s="59" t="s">
        <v>560</v>
      </c>
      <c r="C82" s="21">
        <f>'P&amp;LPLN'!C81/Factors!C$11</f>
        <v>4248.9497809131344</v>
      </c>
      <c r="D82" s="21">
        <f>'P&amp;LPLN'!D81/Factors!D$11</f>
        <v>4243.0178605967421</v>
      </c>
      <c r="E82" s="21">
        <f>'P&amp;LPLN'!E81/Factors!E$11</f>
        <v>4237.1024801896165</v>
      </c>
      <c r="F82" s="21">
        <f>'P&amp;LPLN'!F81/Factors!F$11</f>
        <v>4231.2035706109909</v>
      </c>
      <c r="G82" s="21">
        <f>'P&amp;LPLN'!G81/Factors!G$11</f>
        <v>4225.3210631642623</v>
      </c>
      <c r="H82" s="21">
        <f>'P&amp;LPLN'!H81/Factors!H$11</f>
        <v>4219.4548895343232</v>
      </c>
      <c r="I82" s="21">
        <f>'P&amp;LPLN'!I81/Factors!I$11</f>
        <v>4213.6049817849198</v>
      </c>
      <c r="J82" s="21">
        <f>'P&amp;LPLN'!J81/Factors!J$11</f>
        <v>4207.7712723560235</v>
      </c>
      <c r="K82" s="21">
        <f>'P&amp;LPLN'!K81/Factors!K$11</f>
        <v>4201.9536940612397</v>
      </c>
      <c r="L82" s="21">
        <f>'P&amp;LPLN'!L81/Factors!L$11</f>
        <v>4196.1521800852179</v>
      </c>
      <c r="M82" s="21">
        <f>'P&amp;LPLN'!M81/Factors!M$11</f>
        <v>4190.3666639811017</v>
      </c>
      <c r="N82" s="21">
        <f>'P&amp;LPLN'!N81/Factors!N$11</f>
        <v>4184.5970796679885</v>
      </c>
      <c r="O82" s="3">
        <f t="shared" si="30"/>
        <v>50599.495516945564</v>
      </c>
      <c r="P82" s="3"/>
      <c r="Q82" s="59" t="s">
        <v>560</v>
      </c>
      <c r="R82" s="21">
        <f>'P&amp;LPLN'!R81/Factors!R$11</f>
        <v>4333.9229505607054</v>
      </c>
      <c r="S82" s="21">
        <f>'P&amp;LPLN'!S81/Factors!S$11</f>
        <v>4316.0141780377271</v>
      </c>
      <c r="T82" s="21">
        <f>'P&amp;LPLN'!T81/Factors!T$11</f>
        <v>4298.2528028194647</v>
      </c>
      <c r="U82" s="21">
        <f>'P&amp;LPLN'!U81/Factors!U$11</f>
        <v>4280.6370126439751</v>
      </c>
      <c r="V82" s="21">
        <f>'P&amp;LPLN'!V81/Factors!V$11</f>
        <v>4263.1650248372653</v>
      </c>
      <c r="W82" s="21">
        <f>'P&amp;LPLN'!W81/Factors!W$11</f>
        <v>4245.8350857119112</v>
      </c>
      <c r="X82" s="21">
        <f>'P&amp;LPLN'!X81/Factors!X$11</f>
        <v>4228.6454699802835</v>
      </c>
      <c r="Y82" s="21">
        <f>'P&amp;LPLN'!Y81/Factors!Y$11</f>
        <v>4211.594480181976</v>
      </c>
      <c r="Z82" s="21">
        <f>'P&amp;LPLN'!Z81/Factors!Z$11</f>
        <v>4194.6804461250213</v>
      </c>
      <c r="AA82" s="21">
        <f>'P&amp;LPLN'!AA81/Factors!AA$11</f>
        <v>4177.9017243405206</v>
      </c>
      <c r="AB82" s="21">
        <f>'P&amp;LPLN'!AB81/Factors!AB$11</f>
        <v>4161.2566975503196</v>
      </c>
      <c r="AC82" s="21">
        <f>'P&amp;LPLN'!AC81/Factors!AC$11</f>
        <v>4144.7437741473423</v>
      </c>
      <c r="AD82" s="21">
        <f t="shared" si="31"/>
        <v>50856.649646936508</v>
      </c>
      <c r="AF82" s="59" t="s">
        <v>560</v>
      </c>
      <c r="AG82" s="21">
        <f>'P&amp;LPLN'!AG81/Factors!AG$11</f>
        <v>4375.1984072327132</v>
      </c>
      <c r="AH82" s="21">
        <f>'P&amp;LPLN'!AH81/Factors!AH$11</f>
        <v>4357.1190749714215</v>
      </c>
      <c r="AI82" s="21">
        <f>'P&amp;LPLN'!AI81/Factors!AI$11</f>
        <v>4339.1885437986994</v>
      </c>
      <c r="AJ82" s="21">
        <f>'P&amp;LPLN'!AJ81/Factors!AJ$11</f>
        <v>4321.4049841929664</v>
      </c>
      <c r="AK82" s="21">
        <f>'P&amp;LPLN'!AK81/Factors!AK$11</f>
        <v>4303.7665965023834</v>
      </c>
      <c r="AL82" s="21">
        <f>'P&amp;LPLN'!AL81/Factors!AL$11</f>
        <v>4286.2716103377388</v>
      </c>
      <c r="AM82" s="21">
        <f>'P&amp;LPLN'!AM81/Factors!AM$11</f>
        <v>4268.9182839800969</v>
      </c>
      <c r="AN82" s="21">
        <f>'P&amp;LPLN'!AN81/Factors!AN$11</f>
        <v>4251.7049038027571</v>
      </c>
      <c r="AO82" s="21">
        <f>'P&amp;LPLN'!AO81/Factors!AO$11</f>
        <v>4234.6297837071643</v>
      </c>
      <c r="AP82" s="21">
        <f>'P&amp;LPLN'!AP81/Factors!AP$11</f>
        <v>4217.6912645723351</v>
      </c>
      <c r="AQ82" s="21">
        <f>'P&amp;LPLN'!AQ81/Factors!AQ$11</f>
        <v>4200.887713717465</v>
      </c>
      <c r="AR82" s="21">
        <f>'P&amp;LPLN'!AR81/Factors!AR$11</f>
        <v>4184.2175243773163</v>
      </c>
      <c r="AS82" s="21">
        <f t="shared" si="32"/>
        <v>51340.998691193054</v>
      </c>
    </row>
    <row r="83" spans="1:45">
      <c r="A83" s="63" t="s">
        <v>337</v>
      </c>
      <c r="B83" s="59" t="s">
        <v>620</v>
      </c>
      <c r="C83" s="21">
        <f>'P&amp;LPLN'!C82/Factors!C$11</f>
        <v>573.9625900385804</v>
      </c>
      <c r="D83" s="21">
        <f>'P&amp;LPLN'!D82/Factors!D$11</f>
        <v>573.16128606365612</v>
      </c>
      <c r="E83" s="21">
        <f>'P&amp;LPLN'!E82/Factors!E$11</f>
        <v>572.36221635593938</v>
      </c>
      <c r="F83" s="21">
        <f>'P&amp;LPLN'!F82/Factors!F$11</f>
        <v>571.56537158376523</v>
      </c>
      <c r="G83" s="21">
        <f>'P&amp;LPLN'!G82/Factors!G$11</f>
        <v>570.77074246736277</v>
      </c>
      <c r="H83" s="21">
        <f>'P&amp;LPLN'!H82/Factors!H$11</f>
        <v>569.97831977849489</v>
      </c>
      <c r="I83" s="21">
        <f>'P&amp;LPLN'!I82/Factors!I$11</f>
        <v>569.1880943401012</v>
      </c>
      <c r="J83" s="21">
        <f>'P&amp;LPLN'!J82/Factors!J$11</f>
        <v>568.40005702594362</v>
      </c>
      <c r="K83" s="21">
        <f>'P&amp;LPLN'!K82/Factors!K$11</f>
        <v>567.61419876025491</v>
      </c>
      <c r="L83" s="21">
        <f>'P&amp;LPLN'!L82/Factors!L$11</f>
        <v>566.83051051739062</v>
      </c>
      <c r="M83" s="21">
        <f>'P&amp;LPLN'!M82/Factors!M$11</f>
        <v>566.04898332148321</v>
      </c>
      <c r="N83" s="21">
        <f>'P&amp;LPLN'!N82/Factors!N$11</f>
        <v>565.26960824609955</v>
      </c>
      <c r="O83" s="3">
        <f t="shared" si="30"/>
        <v>6835.1519784990724</v>
      </c>
      <c r="Q83" s="59" t="s">
        <v>620</v>
      </c>
      <c r="R83" s="21">
        <f>'P&amp;LPLN'!R82/Factors!R$11</f>
        <v>585.44105484741272</v>
      </c>
      <c r="S83" s="21">
        <f>'P&amp;LPLN'!S82/Factors!S$11</f>
        <v>583.02187693482017</v>
      </c>
      <c r="T83" s="21">
        <f>'P&amp;LPLN'!T82/Factors!T$11</f>
        <v>580.62260995154929</v>
      </c>
      <c r="U83" s="21">
        <f>'P&amp;LPLN'!U82/Factors!U$11</f>
        <v>578.24300909109218</v>
      </c>
      <c r="V83" s="21">
        <f>'P&amp;LPLN'!V82/Factors!V$11</f>
        <v>575.88283354378154</v>
      </c>
      <c r="W83" s="21">
        <f>'P&amp;LPLN'!W82/Factors!W$11</f>
        <v>573.5418464155548</v>
      </c>
      <c r="X83" s="21">
        <f>'P&amp;LPLN'!X82/Factors!X$11</f>
        <v>571.2198146486902</v>
      </c>
      <c r="Y83" s="21">
        <f>'P&amp;LPLN'!Y82/Factors!Y$11</f>
        <v>568.91650894446173</v>
      </c>
      <c r="Z83" s="21">
        <f>'P&amp;LPLN'!Z82/Factors!Z$11</f>
        <v>566.63170368765657</v>
      </c>
      <c r="AA83" s="21">
        <f>'P&amp;LPLN'!AA82/Factors!AA$11</f>
        <v>564.36517687290598</v>
      </c>
      <c r="AB83" s="21">
        <f>'P&amp;LPLN'!AB82/Factors!AB$11</f>
        <v>562.1167100327749</v>
      </c>
      <c r="AC83" s="21">
        <f>'P&amp;LPLN'!AC82/Factors!AC$11</f>
        <v>559.8860881675655</v>
      </c>
      <c r="AD83" s="21">
        <f t="shared" si="31"/>
        <v>6869.8892331382649</v>
      </c>
      <c r="AF83" s="59" t="s">
        <v>620</v>
      </c>
      <c r="AG83" s="21">
        <f>'P&amp;LPLN'!AG82/Factors!AG$11</f>
        <v>591.01668394119781</v>
      </c>
      <c r="AH83" s="21">
        <f>'P&amp;LPLN'!AH82/Factors!AH$11</f>
        <v>588.57446623896146</v>
      </c>
      <c r="AI83" s="21">
        <f>'P&amp;LPLN'!AI82/Factors!AI$11</f>
        <v>586.15234909394519</v>
      </c>
      <c r="AJ83" s="21">
        <f>'P&amp;LPLN'!AJ82/Factors!AJ$11</f>
        <v>583.75008536815028</v>
      </c>
      <c r="AK83" s="21">
        <f>'P&amp;LPLN'!AK82/Factors!AK$11</f>
        <v>581.36743195848442</v>
      </c>
      <c r="AL83" s="21">
        <f>'P&amp;LPLN'!AL82/Factors!AL$11</f>
        <v>579.00414971475072</v>
      </c>
      <c r="AM83" s="21">
        <f>'P&amp;LPLN'!AM82/Factors!AM$11</f>
        <v>576.6600033596302</v>
      </c>
      <c r="AN83" s="21">
        <f>'P&amp;LPLN'!AN82/Factors!AN$11</f>
        <v>574.33476141059941</v>
      </c>
      <c r="AO83" s="21">
        <f>'P&amp;LPLN'!AO82/Factors!AO$11</f>
        <v>572.02819610372956</v>
      </c>
      <c r="AP83" s="21">
        <f>'P&amp;LPLN'!AP82/Factors!AP$11</f>
        <v>569.74008331931464</v>
      </c>
      <c r="AQ83" s="21">
        <f>'P&amp;LPLN'!AQ82/Factors!AQ$11</f>
        <v>567.47020250927756</v>
      </c>
      <c r="AR83" s="21">
        <f>'P&amp;LPLN'!AR82/Factors!AR$11</f>
        <v>565.21833662630422</v>
      </c>
      <c r="AS83" s="21">
        <f t="shared" si="32"/>
        <v>6935.3167496443466</v>
      </c>
    </row>
    <row r="84" spans="1:45">
      <c r="A84" s="63" t="s">
        <v>339</v>
      </c>
      <c r="B84" s="59" t="s">
        <v>621</v>
      </c>
      <c r="C84" s="21">
        <f>'P&amp;LPLN'!C83/Factors!C$11</f>
        <v>69.712055470272929</v>
      </c>
      <c r="D84" s="21">
        <f>'P&amp;LPLN'!D83/Factors!D$11</f>
        <v>69.614731100848928</v>
      </c>
      <c r="E84" s="21">
        <f>'P&amp;LPLN'!E83/Factors!E$11</f>
        <v>69.517678099911677</v>
      </c>
      <c r="F84" s="21">
        <f>'P&amp;LPLN'!F83/Factors!F$11</f>
        <v>69.42089533406056</v>
      </c>
      <c r="G84" s="21">
        <f>'P&amp;LPLN'!G83/Factors!G$11</f>
        <v>69.324381676197902</v>
      </c>
      <c r="H84" s="21">
        <f>'P&amp;LPLN'!H83/Factors!H$11</f>
        <v>69.228136005485212</v>
      </c>
      <c r="I84" s="21">
        <f>'P&amp;LPLN'!I83/Factors!I$11</f>
        <v>69.132157207299741</v>
      </c>
      <c r="J84" s="21">
        <f>'P&amp;LPLN'!J83/Factors!J$11</f>
        <v>69.036444173191526</v>
      </c>
      <c r="K84" s="21">
        <f>'P&amp;LPLN'!K83/Factors!K$11</f>
        <v>68.940995800840682</v>
      </c>
      <c r="L84" s="21">
        <f>'P&amp;LPLN'!L83/Factors!L$11</f>
        <v>68.845810994015054</v>
      </c>
      <c r="M84" s="21">
        <f>'P&amp;LPLN'!M83/Factors!M$11</f>
        <v>68.750888662528325</v>
      </c>
      <c r="N84" s="21">
        <f>'P&amp;LPLN'!N83/Factors!N$11</f>
        <v>68.656227722198324</v>
      </c>
      <c r="O84" s="3">
        <f t="shared" si="30"/>
        <v>830.18040224685092</v>
      </c>
      <c r="Q84" s="59" t="s">
        <v>621</v>
      </c>
      <c r="R84" s="21">
        <f>'P&amp;LPLN'!R83/Factors!R$11</f>
        <v>71.106200993612873</v>
      </c>
      <c r="S84" s="21">
        <f>'P&amp;LPLN'!S83/Factors!S$11</f>
        <v>70.812373716779774</v>
      </c>
      <c r="T84" s="21">
        <f>'P&amp;LPLN'!T83/Factors!T$11</f>
        <v>70.520964771443232</v>
      </c>
      <c r="U84" s="21">
        <f>'P&amp;LPLN'!U83/Factors!U$11</f>
        <v>70.231944424019275</v>
      </c>
      <c r="V84" s="21">
        <f>'P&amp;LPLN'!V83/Factors!V$11</f>
        <v>69.945283426370224</v>
      </c>
      <c r="W84" s="21">
        <f>'P&amp;LPLN'!W83/Factors!W$11</f>
        <v>69.660953005937827</v>
      </c>
      <c r="X84" s="21">
        <f>'P&amp;LPLN'!X83/Factors!X$11</f>
        <v>69.378924856116214</v>
      </c>
      <c r="Y84" s="21">
        <f>'P&amp;LPLN'!Y83/Factors!Y$11</f>
        <v>69.099171126857684</v>
      </c>
      <c r="Z84" s="21">
        <f>'P&amp;LPLN'!Z83/Factors!Z$11</f>
        <v>68.821664415504841</v>
      </c>
      <c r="AA84" s="21">
        <f>'P&amp;LPLN'!AA83/Factors!AA$11</f>
        <v>68.546377757842833</v>
      </c>
      <c r="AB84" s="21">
        <f>'P&amp;LPLN'!AB83/Factors!AB$11</f>
        <v>68.27328461936537</v>
      </c>
      <c r="AC84" s="21">
        <f>'P&amp;LPLN'!AC83/Factors!AC$11</f>
        <v>68.002358886748837</v>
      </c>
      <c r="AD84" s="21">
        <f t="shared" si="31"/>
        <v>834.39950200059911</v>
      </c>
      <c r="AF84" s="59" t="s">
        <v>621</v>
      </c>
      <c r="AG84" s="21">
        <f>'P&amp;LPLN'!AG83/Factors!AG$11</f>
        <v>71.783402907837782</v>
      </c>
      <c r="AH84" s="21">
        <f>'P&amp;LPLN'!AH83/Factors!AH$11</f>
        <v>71.486777275987222</v>
      </c>
      <c r="AI84" s="21">
        <f>'P&amp;LPLN'!AI83/Factors!AI$11</f>
        <v>71.192593007361751</v>
      </c>
      <c r="AJ84" s="21">
        <f>'P&amp;LPLN'!AJ83/Factors!AJ$11</f>
        <v>70.900820085200436</v>
      </c>
      <c r="AK84" s="21">
        <f>'P&amp;LPLN'!AK83/Factors!AK$11</f>
        <v>70.611428982811859</v>
      </c>
      <c r="AL84" s="21">
        <f>'P&amp;LPLN'!AL83/Factors!AL$11</f>
        <v>70.324390653613435</v>
      </c>
      <c r="AM84" s="21">
        <f>'P&amp;LPLN'!AM83/Factors!AM$11</f>
        <v>70.039676521412574</v>
      </c>
      <c r="AN84" s="21">
        <f>'P&amp;LPLN'!AN83/Factors!AN$11</f>
        <v>69.757258470923006</v>
      </c>
      <c r="AO84" s="21">
        <f>'P&amp;LPLN'!AO83/Factors!AO$11</f>
        <v>69.477108838509665</v>
      </c>
      <c r="AP84" s="21">
        <f>'P&amp;LPLN'!AP83/Factors!AP$11</f>
        <v>69.199200403155629</v>
      </c>
      <c r="AQ84" s="21">
        <f>'P&amp;LPLN'!AQ83/Factors!AQ$11</f>
        <v>68.92350637764504</v>
      </c>
      <c r="AR84" s="21">
        <f>'P&amp;LPLN'!AR83/Factors!AR$11</f>
        <v>68.650000399955971</v>
      </c>
      <c r="AS84" s="21">
        <f t="shared" si="32"/>
        <v>842.34616392441433</v>
      </c>
    </row>
    <row r="85" spans="1:45" hidden="1">
      <c r="A85" s="63" t="s">
        <v>341</v>
      </c>
      <c r="B85" s="59" t="s">
        <v>622</v>
      </c>
      <c r="C85" s="21">
        <f>'P&amp;LPLN'!C84/Factors!C$11</f>
        <v>0</v>
      </c>
      <c r="D85" s="21">
        <f>'P&amp;LPLN'!D84/Factors!D$11</f>
        <v>0</v>
      </c>
      <c r="E85" s="21">
        <f>'P&amp;LPLN'!E84/Factors!E$11</f>
        <v>0</v>
      </c>
      <c r="F85" s="21">
        <f>'P&amp;LPLN'!F84/Factors!F$11</f>
        <v>0</v>
      </c>
      <c r="G85" s="21">
        <f>'P&amp;LPLN'!G84/Factors!G$11</f>
        <v>0</v>
      </c>
      <c r="H85" s="21">
        <f>'P&amp;LPLN'!H84/Factors!H$11</f>
        <v>0</v>
      </c>
      <c r="I85" s="21">
        <f>'P&amp;LPLN'!I84/Factors!I$11</f>
        <v>0</v>
      </c>
      <c r="J85" s="21">
        <f>'P&amp;LPLN'!J84/Factors!J$11</f>
        <v>0</v>
      </c>
      <c r="K85" s="21">
        <f>'P&amp;LPLN'!K84/Factors!K$11</f>
        <v>0</v>
      </c>
      <c r="L85" s="21">
        <f>'P&amp;LPLN'!L84/Factors!L$11</f>
        <v>0</v>
      </c>
      <c r="M85" s="21">
        <f>'P&amp;LPLN'!M84/Factors!M$11</f>
        <v>0</v>
      </c>
      <c r="N85" s="21">
        <f>'P&amp;LPLN'!N84/Factors!N$11</f>
        <v>0</v>
      </c>
      <c r="O85" s="3">
        <f t="shared" si="30"/>
        <v>0</v>
      </c>
      <c r="Q85" s="59" t="s">
        <v>622</v>
      </c>
      <c r="R85" s="21">
        <f>'P&amp;LPLN'!R84/Factors!R$11</f>
        <v>0</v>
      </c>
      <c r="S85" s="21">
        <f>'P&amp;LPLN'!S84/Factors!S$11</f>
        <v>0</v>
      </c>
      <c r="T85" s="21">
        <f>'P&amp;LPLN'!T84/Factors!T$11</f>
        <v>0</v>
      </c>
      <c r="U85" s="21">
        <f>'P&amp;LPLN'!U84/Factors!U$11</f>
        <v>0</v>
      </c>
      <c r="V85" s="21">
        <f>'P&amp;LPLN'!V84/Factors!V$11</f>
        <v>0</v>
      </c>
      <c r="W85" s="21">
        <f>'P&amp;LPLN'!W84/Factors!W$11</f>
        <v>0</v>
      </c>
      <c r="X85" s="21">
        <f>'P&amp;LPLN'!X84/Factors!X$11</f>
        <v>0</v>
      </c>
      <c r="Y85" s="21">
        <f>'P&amp;LPLN'!Y84/Factors!Y$11</f>
        <v>0</v>
      </c>
      <c r="Z85" s="21">
        <f>'P&amp;LPLN'!Z84/Factors!Z$11</f>
        <v>0</v>
      </c>
      <c r="AA85" s="21">
        <f>'P&amp;LPLN'!AA84/Factors!AA$11</f>
        <v>0</v>
      </c>
      <c r="AB85" s="21">
        <f>'P&amp;LPLN'!AB84/Factors!AB$11</f>
        <v>0</v>
      </c>
      <c r="AC85" s="21">
        <f>'P&amp;LPLN'!AC84/Factors!AC$11</f>
        <v>0</v>
      </c>
      <c r="AD85" s="21">
        <f t="shared" si="31"/>
        <v>0</v>
      </c>
      <c r="AF85" s="59" t="s">
        <v>622</v>
      </c>
      <c r="AG85" s="21">
        <f>'P&amp;LPLN'!AG84/Factors!AG$11</f>
        <v>0</v>
      </c>
      <c r="AH85" s="21">
        <f>'P&amp;LPLN'!AH84/Factors!AH$11</f>
        <v>0</v>
      </c>
      <c r="AI85" s="21">
        <f>'P&amp;LPLN'!AI84/Factors!AI$11</f>
        <v>0</v>
      </c>
      <c r="AJ85" s="21">
        <f>'P&amp;LPLN'!AJ84/Factors!AJ$11</f>
        <v>0</v>
      </c>
      <c r="AK85" s="21">
        <f>'P&amp;LPLN'!AK84/Factors!AK$11</f>
        <v>0</v>
      </c>
      <c r="AL85" s="21">
        <f>'P&amp;LPLN'!AL84/Factors!AL$11</f>
        <v>0</v>
      </c>
      <c r="AM85" s="21">
        <f>'P&amp;LPLN'!AM84/Factors!AM$11</f>
        <v>0</v>
      </c>
      <c r="AN85" s="21">
        <f>'P&amp;LPLN'!AN84/Factors!AN$11</f>
        <v>0</v>
      </c>
      <c r="AO85" s="21">
        <f>'P&amp;LPLN'!AO84/Factors!AO$11</f>
        <v>0</v>
      </c>
      <c r="AP85" s="21">
        <f>'P&amp;LPLN'!AP84/Factors!AP$11</f>
        <v>0</v>
      </c>
      <c r="AQ85" s="21">
        <f>'P&amp;LPLN'!AQ84/Factors!AQ$11</f>
        <v>0</v>
      </c>
      <c r="AR85" s="21">
        <f>'P&amp;LPLN'!AR84/Factors!AR$11</f>
        <v>0</v>
      </c>
      <c r="AS85" s="21">
        <f t="shared" si="32"/>
        <v>0</v>
      </c>
    </row>
    <row r="86" spans="1:45" hidden="1">
      <c r="A86" s="63" t="s">
        <v>343</v>
      </c>
      <c r="B86" s="59" t="s">
        <v>623</v>
      </c>
      <c r="C86" s="21">
        <f>'P&amp;LPLN'!C85/Factors!C$11</f>
        <v>0</v>
      </c>
      <c r="D86" s="21">
        <f>'P&amp;LPLN'!D85/Factors!D$11</f>
        <v>0</v>
      </c>
      <c r="E86" s="21">
        <f>'P&amp;LPLN'!E85/Factors!E$11</f>
        <v>0</v>
      </c>
      <c r="F86" s="21">
        <f>'P&amp;LPLN'!F85/Factors!F$11</f>
        <v>0</v>
      </c>
      <c r="G86" s="21">
        <f>'P&amp;LPLN'!G85/Factors!G$11</f>
        <v>0</v>
      </c>
      <c r="H86" s="21">
        <f>'P&amp;LPLN'!H85/Factors!H$11</f>
        <v>0</v>
      </c>
      <c r="I86" s="21">
        <f>'P&amp;LPLN'!I85/Factors!I$11</f>
        <v>0</v>
      </c>
      <c r="J86" s="21">
        <f>'P&amp;LPLN'!J85/Factors!J$11</f>
        <v>0</v>
      </c>
      <c r="K86" s="21">
        <f>'P&amp;LPLN'!K85/Factors!K$11</f>
        <v>0</v>
      </c>
      <c r="L86" s="21">
        <f>'P&amp;LPLN'!L85/Factors!L$11</f>
        <v>0</v>
      </c>
      <c r="M86" s="21">
        <f>'P&amp;LPLN'!M85/Factors!M$11</f>
        <v>0</v>
      </c>
      <c r="N86" s="21">
        <f>'P&amp;LPLN'!N85/Factors!N$11</f>
        <v>0</v>
      </c>
      <c r="O86" s="3">
        <f t="shared" si="30"/>
        <v>0</v>
      </c>
      <c r="Q86" s="59" t="s">
        <v>623</v>
      </c>
      <c r="R86" s="21">
        <f>'P&amp;LPLN'!R85/Factors!R$11</f>
        <v>0</v>
      </c>
      <c r="S86" s="21">
        <f>'P&amp;LPLN'!S85/Factors!S$11</f>
        <v>0</v>
      </c>
      <c r="T86" s="21">
        <f>'P&amp;LPLN'!T85/Factors!T$11</f>
        <v>0</v>
      </c>
      <c r="U86" s="21">
        <f>'P&amp;LPLN'!U85/Factors!U$11</f>
        <v>0</v>
      </c>
      <c r="V86" s="21">
        <f>'P&amp;LPLN'!V85/Factors!V$11</f>
        <v>0</v>
      </c>
      <c r="W86" s="21">
        <f>'P&amp;LPLN'!W85/Factors!W$11</f>
        <v>0</v>
      </c>
      <c r="X86" s="21">
        <f>'P&amp;LPLN'!X85/Factors!X$11</f>
        <v>0</v>
      </c>
      <c r="Y86" s="21">
        <f>'P&amp;LPLN'!Y85/Factors!Y$11</f>
        <v>0</v>
      </c>
      <c r="Z86" s="21">
        <f>'P&amp;LPLN'!Z85/Factors!Z$11</f>
        <v>0</v>
      </c>
      <c r="AA86" s="21">
        <f>'P&amp;LPLN'!AA85/Factors!AA$11</f>
        <v>0</v>
      </c>
      <c r="AB86" s="21">
        <f>'P&amp;LPLN'!AB85/Factors!AB$11</f>
        <v>0</v>
      </c>
      <c r="AC86" s="21">
        <f>'P&amp;LPLN'!AC85/Factors!AC$11</f>
        <v>0</v>
      </c>
      <c r="AD86" s="21">
        <f t="shared" si="31"/>
        <v>0</v>
      </c>
      <c r="AF86" s="59" t="s">
        <v>623</v>
      </c>
      <c r="AG86" s="21">
        <f>'P&amp;LPLN'!AG85/Factors!AG$11</f>
        <v>0</v>
      </c>
      <c r="AH86" s="21">
        <f>'P&amp;LPLN'!AH85/Factors!AH$11</f>
        <v>0</v>
      </c>
      <c r="AI86" s="21">
        <f>'P&amp;LPLN'!AI85/Factors!AI$11</f>
        <v>0</v>
      </c>
      <c r="AJ86" s="21">
        <f>'P&amp;LPLN'!AJ85/Factors!AJ$11</f>
        <v>0</v>
      </c>
      <c r="AK86" s="21">
        <f>'P&amp;LPLN'!AK85/Factors!AK$11</f>
        <v>0</v>
      </c>
      <c r="AL86" s="21">
        <f>'P&amp;LPLN'!AL85/Factors!AL$11</f>
        <v>0</v>
      </c>
      <c r="AM86" s="21">
        <f>'P&amp;LPLN'!AM85/Factors!AM$11</f>
        <v>0</v>
      </c>
      <c r="AN86" s="21">
        <f>'P&amp;LPLN'!AN85/Factors!AN$11</f>
        <v>0</v>
      </c>
      <c r="AO86" s="21">
        <f>'P&amp;LPLN'!AO85/Factors!AO$11</f>
        <v>0</v>
      </c>
      <c r="AP86" s="21">
        <f>'P&amp;LPLN'!AP85/Factors!AP$11</f>
        <v>0</v>
      </c>
      <c r="AQ86" s="21">
        <f>'P&amp;LPLN'!AQ85/Factors!AQ$11</f>
        <v>0</v>
      </c>
      <c r="AR86" s="21">
        <f>'P&amp;LPLN'!AR85/Factors!AR$11</f>
        <v>0</v>
      </c>
      <c r="AS86" s="21">
        <f t="shared" si="32"/>
        <v>0</v>
      </c>
    </row>
    <row r="87" spans="1:45">
      <c r="A87" s="63" t="s">
        <v>345</v>
      </c>
      <c r="B87" s="59" t="s">
        <v>624</v>
      </c>
      <c r="C87" s="21">
        <f>'P&amp;LPLN'!C86/Factors!C$11</f>
        <v>487.70554007002943</v>
      </c>
      <c r="D87" s="21">
        <f>'P&amp;LPLN'!D86/Factors!D$11</f>
        <v>487.02465878153913</v>
      </c>
      <c r="E87" s="21">
        <f>'P&amp;LPLN'!E86/Factors!E$11</f>
        <v>486.34567598698209</v>
      </c>
      <c r="F87" s="21">
        <f>'P&amp;LPLN'!F86/Factors!F$11</f>
        <v>485.66858375708767</v>
      </c>
      <c r="G87" s="21">
        <f>'P&amp;LPLN'!G86/Factors!G$11</f>
        <v>484.99337420668058</v>
      </c>
      <c r="H87" s="21">
        <f>'P&amp;LPLN'!H86/Factors!H$11</f>
        <v>484.32003949437456</v>
      </c>
      <c r="I87" s="21">
        <f>'P&amp;LPLN'!I86/Factors!I$11</f>
        <v>483.64857182226905</v>
      </c>
      <c r="J87" s="21">
        <f>'P&amp;LPLN'!J86/Factors!J$11</f>
        <v>482.97896343564798</v>
      </c>
      <c r="K87" s="21">
        <f>'P&amp;LPLN'!K86/Factors!K$11</f>
        <v>482.31120662268142</v>
      </c>
      <c r="L87" s="21">
        <f>'P&amp;LPLN'!L86/Factors!L$11</f>
        <v>481.64529371412937</v>
      </c>
      <c r="M87" s="21">
        <f>'P&amp;LPLN'!M86/Factors!M$11</f>
        <v>480.98121708304825</v>
      </c>
      <c r="N87" s="21">
        <f>'P&amp;LPLN'!N86/Factors!N$11</f>
        <v>480.31896914449953</v>
      </c>
      <c r="O87" s="3">
        <f t="shared" si="30"/>
        <v>5807.9420941189692</v>
      </c>
      <c r="Q87" s="59" t="s">
        <v>624</v>
      </c>
      <c r="R87" s="21">
        <f>'P&amp;LPLN'!R86/Factors!R$11</f>
        <v>497.45898215131575</v>
      </c>
      <c r="S87" s="21">
        <f>'P&amp;LPLN'!S86/Factors!S$11</f>
        <v>495.40336652259134</v>
      </c>
      <c r="T87" s="21">
        <f>'P&amp;LPLN'!T86/Factors!T$11</f>
        <v>493.36466954101689</v>
      </c>
      <c r="U87" s="21">
        <f>'P&amp;LPLN'!U86/Factors!U$11</f>
        <v>491.342683190439</v>
      </c>
      <c r="V87" s="21">
        <f>'P&amp;LPLN'!V86/Factors!V$11</f>
        <v>489.33720285088617</v>
      </c>
      <c r="W87" s="21">
        <f>'P&amp;LPLN'!W86/Factors!W$11</f>
        <v>487.34802722954112</v>
      </c>
      <c r="X87" s="21">
        <f>'P&amp;LPLN'!X86/Factors!X$11</f>
        <v>485.37495829338917</v>
      </c>
      <c r="Y87" s="21">
        <f>'P&amp;LPLN'!Y86/Factors!Y$11</f>
        <v>483.41780120349648</v>
      </c>
      <c r="Z87" s="21">
        <f>'P&amp;LPLN'!Z86/Factors!Z$11</f>
        <v>481.476364250872</v>
      </c>
      <c r="AA87" s="21">
        <f>'P&amp;LPLN'!AA86/Factors!AA$11</f>
        <v>479.55045879386853</v>
      </c>
      <c r="AB87" s="21">
        <f>'P&amp;LPLN'!AB86/Factors!AB$11</f>
        <v>477.63989919708024</v>
      </c>
      <c r="AC87" s="21">
        <f>'P&amp;LPLN'!AC86/Factors!AC$11</f>
        <v>475.74450277169501</v>
      </c>
      <c r="AD87" s="21">
        <f t="shared" si="31"/>
        <v>5837.4589159961915</v>
      </c>
      <c r="AF87" s="59" t="s">
        <v>624</v>
      </c>
      <c r="AG87" s="21">
        <f>'P&amp;LPLN'!AG86/Factors!AG$11</f>
        <v>502.19668674323327</v>
      </c>
      <c r="AH87" s="21">
        <f>'P&amp;LPLN'!AH86/Factors!AH$11</f>
        <v>500.12149382280671</v>
      </c>
      <c r="AI87" s="21">
        <f>'P&amp;LPLN'!AI86/Factors!AI$11</f>
        <v>498.06338067950298</v>
      </c>
      <c r="AJ87" s="21">
        <f>'P&amp;LPLN'!AJ86/Factors!AJ$11</f>
        <v>496.02213731606236</v>
      </c>
      <c r="AK87" s="21">
        <f>'P&amp;LPLN'!AK86/Factors!AK$11</f>
        <v>493.99755716375188</v>
      </c>
      <c r="AL87" s="21">
        <f>'P&amp;LPLN'!AL86/Factors!AL$11</f>
        <v>491.98943701267973</v>
      </c>
      <c r="AM87" s="21">
        <f>'P&amp;LPLN'!AM86/Factors!AM$11</f>
        <v>489.99757694380247</v>
      </c>
      <c r="AN87" s="21">
        <f>'P&amp;LPLN'!AN86/Factors!AN$11</f>
        <v>488.02178026257747</v>
      </c>
      <c r="AO87" s="21">
        <f>'P&amp;LPLN'!AO86/Factors!AO$11</f>
        <v>486.06185343421367</v>
      </c>
      <c r="AP87" s="21">
        <f>'P&amp;LPLN'!AP86/Factors!AP$11</f>
        <v>484.11760602047684</v>
      </c>
      <c r="AQ87" s="21">
        <f>'P&amp;LPLN'!AQ86/Factors!AQ$11</f>
        <v>482.18885061800484</v>
      </c>
      <c r="AR87" s="21">
        <f>'P&amp;LPLN'!AR86/Factors!AR$11</f>
        <v>480.2754027980921</v>
      </c>
      <c r="AS87" s="21">
        <f t="shared" si="32"/>
        <v>5893.0537628152042</v>
      </c>
    </row>
    <row r="88" spans="1:45">
      <c r="A88" s="63" t="s">
        <v>347</v>
      </c>
      <c r="B88" s="59" t="s">
        <v>625</v>
      </c>
      <c r="C88" s="21">
        <f>'P&amp;LPLN'!C87/Factors!C$11</f>
        <v>2290.7381427531682</v>
      </c>
      <c r="D88" s="21">
        <f>'P&amp;LPLN'!D87/Factors!D$11</f>
        <v>2287.5400639738959</v>
      </c>
      <c r="E88" s="21">
        <f>'P&amp;LPLN'!E87/Factors!E$11</f>
        <v>2284.3509023630977</v>
      </c>
      <c r="F88" s="21">
        <f>'P&amp;LPLN'!F87/Factors!F$11</f>
        <v>2281.1706206772296</v>
      </c>
      <c r="G88" s="21">
        <f>'P&amp;LPLN'!G87/Factors!G$11</f>
        <v>2277.999181879863</v>
      </c>
      <c r="H88" s="21">
        <f>'P&amp;LPLN'!H87/Factors!H$11</f>
        <v>2274.8365491402442</v>
      </c>
      <c r="I88" s="21">
        <f>'P&amp;LPLN'!I87/Factors!I$11</f>
        <v>2271.6826858318695</v>
      </c>
      <c r="J88" s="21">
        <f>'P&amp;LPLN'!J87/Factors!J$11</f>
        <v>2268.5375555310738</v>
      </c>
      <c r="K88" s="21">
        <f>'P&amp;LPLN'!K87/Factors!K$11</f>
        <v>2265.4011220156249</v>
      </c>
      <c r="L88" s="21">
        <f>'P&amp;LPLN'!L87/Factors!L$11</f>
        <v>2262.2733492633347</v>
      </c>
      <c r="M88" s="21">
        <f>'P&amp;LPLN'!M87/Factors!M$11</f>
        <v>2259.1542014506808</v>
      </c>
      <c r="N88" s="21">
        <f>'P&amp;LPLN'!N87/Factors!N$11</f>
        <v>2256.0436429514371</v>
      </c>
      <c r="O88" s="3">
        <f t="shared" si="30"/>
        <v>27279.728017831516</v>
      </c>
      <c r="P88" s="3"/>
      <c r="Q88" s="59" t="s">
        <v>625</v>
      </c>
      <c r="R88" s="21">
        <f>'P&amp;LPLN'!R87/Factors!R$11</f>
        <v>2336.549764650119</v>
      </c>
      <c r="S88" s="21">
        <f>'P&amp;LPLN'!S87/Factors!S$11</f>
        <v>2326.8946003333831</v>
      </c>
      <c r="T88" s="21">
        <f>'P&amp;LPLN'!T87/Factors!T$11</f>
        <v>2317.3189023896243</v>
      </c>
      <c r="U88" s="21">
        <f>'P&amp;LPLN'!U87/Factors!U$11</f>
        <v>2307.8216937732736</v>
      </c>
      <c r="V88" s="21">
        <f>'P&amp;LPLN'!V87/Factors!V$11</f>
        <v>2298.4020133905256</v>
      </c>
      <c r="W88" s="21">
        <f>'P&amp;LPLN'!W87/Factors!W$11</f>
        <v>2289.0589157751169</v>
      </c>
      <c r="X88" s="21">
        <f>'P&amp;LPLN'!X87/Factors!X$11</f>
        <v>2279.7914707719788</v>
      </c>
      <c r="Y88" s="21">
        <f>'P&amp;LPLN'!Y87/Factors!Y$11</f>
        <v>2270.5987632285437</v>
      </c>
      <c r="Z88" s="21">
        <f>'P&amp;LPLN'!Z87/Factors!Z$11</f>
        <v>2261.4798926934891</v>
      </c>
      <c r="AA88" s="21">
        <f>'P&amp;LPLN'!AA87/Factors!AA$11</f>
        <v>2252.4339731227155</v>
      </c>
      <c r="AB88" s="21">
        <f>'P&amp;LPLN'!AB87/Factors!AB$11</f>
        <v>2243.4601325923459</v>
      </c>
      <c r="AC88" s="21">
        <f>'P&amp;LPLN'!AC87/Factors!AC$11</f>
        <v>2234.5575130185671</v>
      </c>
      <c r="AD88" s="21">
        <f t="shared" si="31"/>
        <v>27418.367635739683</v>
      </c>
      <c r="AF88" s="59" t="s">
        <v>625</v>
      </c>
      <c r="AG88" s="21">
        <f>'P&amp;LPLN'!AG87/Factors!AG$11</f>
        <v>2358.8026195515499</v>
      </c>
      <c r="AH88" s="21">
        <f>'P&amp;LPLN'!AH87/Factors!AH$11</f>
        <v>2349.0555012889399</v>
      </c>
      <c r="AI88" s="21">
        <f>'P&amp;LPLN'!AI87/Factors!AI$11</f>
        <v>2339.3886062219071</v>
      </c>
      <c r="AJ88" s="21">
        <f>'P&amp;LPLN'!AJ87/Factors!AJ$11</f>
        <v>2329.8009479996863</v>
      </c>
      <c r="AK88" s="21">
        <f>'P&amp;LPLN'!AK87/Factors!AK$11</f>
        <v>2320.2915563751981</v>
      </c>
      <c r="AL88" s="21">
        <f>'P&amp;LPLN'!AL87/Factors!AL$11</f>
        <v>2310.8594768777375</v>
      </c>
      <c r="AM88" s="21">
        <f>'P&amp;LPLN'!AM87/Factors!AM$11</f>
        <v>2301.5037704936171</v>
      </c>
      <c r="AN88" s="21">
        <f>'P&amp;LPLN'!AN87/Factors!AN$11</f>
        <v>2292.22351335453</v>
      </c>
      <c r="AO88" s="21">
        <f>'P&amp;LPLN'!AO87/Factors!AO$11</f>
        <v>2283.0177964334275</v>
      </c>
      <c r="AP88" s="21">
        <f>'P&amp;LPLN'!AP87/Factors!AP$11</f>
        <v>2273.8857252476937</v>
      </c>
      <c r="AQ88" s="21">
        <f>'P&amp;LPLN'!AQ87/Factors!AQ$11</f>
        <v>2264.826419569416</v>
      </c>
      <c r="AR88" s="21">
        <f>'P&amp;LPLN'!AR87/Factors!AR$11</f>
        <v>2255.8390131425535</v>
      </c>
      <c r="AS88" s="21">
        <f t="shared" si="32"/>
        <v>27679.494946556264</v>
      </c>
    </row>
    <row r="89" spans="1:45">
      <c r="A89" s="63" t="s">
        <v>349</v>
      </c>
      <c r="B89" s="59" t="s">
        <v>626</v>
      </c>
      <c r="C89" s="21">
        <f>'P&amp;LPLN'!C88/Factors!C$11</f>
        <v>1133.0532749101692</v>
      </c>
      <c r="D89" s="21">
        <f>'P&amp;LPLN'!D88/Factors!D$11</f>
        <v>1131.4714294924645</v>
      </c>
      <c r="E89" s="21">
        <f>'P&amp;LPLN'!E88/Factors!E$11</f>
        <v>1129.893994717231</v>
      </c>
      <c r="F89" s="21">
        <f>'P&amp;LPLN'!F88/Factors!F$11</f>
        <v>1128.320952162931</v>
      </c>
      <c r="G89" s="21">
        <f>'P&amp;LPLN'!G88/Factors!G$11</f>
        <v>1126.7522835104699</v>
      </c>
      <c r="H89" s="21">
        <f>'P&amp;LPLN'!H88/Factors!H$11</f>
        <v>1125.1879705424863</v>
      </c>
      <c r="I89" s="21">
        <f>'P&amp;LPLN'!I88/Factors!I$11</f>
        <v>1123.6279951426452</v>
      </c>
      <c r="J89" s="21">
        <f>'P&amp;LPLN'!J88/Factors!J$11</f>
        <v>1122.0723392949396</v>
      </c>
      <c r="K89" s="21">
        <f>'P&amp;LPLN'!K88/Factors!K$11</f>
        <v>1120.5209850829972</v>
      </c>
      <c r="L89" s="21">
        <f>'P&amp;LPLN'!L88/Factors!L$11</f>
        <v>1118.9739146893914</v>
      </c>
      <c r="M89" s="21">
        <f>'P&amp;LPLN'!M88/Factors!M$11</f>
        <v>1117.4311103949603</v>
      </c>
      <c r="N89" s="21">
        <f>'P&amp;LPLN'!N88/Factors!N$11</f>
        <v>1115.8925545781301</v>
      </c>
      <c r="O89" s="3">
        <f t="shared" si="30"/>
        <v>13493.198804518817</v>
      </c>
      <c r="Q89" s="59" t="s">
        <v>626</v>
      </c>
      <c r="R89" s="21">
        <f>'P&amp;LPLN'!R88/Factors!R$11</f>
        <v>1155.7127868161879</v>
      </c>
      <c r="S89" s="21">
        <f>'P&amp;LPLN'!S88/Factors!S$11</f>
        <v>1150.9371141433937</v>
      </c>
      <c r="T89" s="21">
        <f>'P&amp;LPLN'!T88/Factors!T$11</f>
        <v>1146.2007474185239</v>
      </c>
      <c r="U89" s="21">
        <f>'P&amp;LPLN'!U88/Factors!U$11</f>
        <v>1141.5032033717266</v>
      </c>
      <c r="V89" s="21">
        <f>'P&amp;LPLN'!V88/Factors!V$11</f>
        <v>1136.8440066232706</v>
      </c>
      <c r="W89" s="21">
        <f>'P&amp;LPLN'!W88/Factors!W$11</f>
        <v>1132.2226895231761</v>
      </c>
      <c r="X89" s="21">
        <f>'P&amp;LPLN'!X88/Factors!X$11</f>
        <v>1127.6387919947422</v>
      </c>
      <c r="Y89" s="21">
        <f>'P&amp;LPLN'!Y88/Factors!Y$11</f>
        <v>1123.0918613818603</v>
      </c>
      <c r="Z89" s="21">
        <f>'P&amp;LPLN'!Z88/Factors!Z$11</f>
        <v>1118.5814523000054</v>
      </c>
      <c r="AA89" s="21">
        <f>'P&amp;LPLN'!AA88/Factors!AA$11</f>
        <v>1114.1071264908055</v>
      </c>
      <c r="AB89" s="21">
        <f>'P&amp;LPLN'!AB88/Factors!AB$11</f>
        <v>1109.6684526800852</v>
      </c>
      <c r="AC89" s="21">
        <f>'P&amp;LPLN'!AC88/Factors!AC$11</f>
        <v>1105.2650064392913</v>
      </c>
      <c r="AD89" s="21">
        <f t="shared" si="31"/>
        <v>13561.773239183069</v>
      </c>
      <c r="AF89" s="59" t="s">
        <v>626</v>
      </c>
      <c r="AG89" s="21">
        <f>'P&amp;LPLN'!AG88/Factors!AG$11</f>
        <v>1166.7195752620569</v>
      </c>
      <c r="AH89" s="21">
        <f>'P&amp;LPLN'!AH88/Factors!AH$11</f>
        <v>1161.8984199923789</v>
      </c>
      <c r="AI89" s="21">
        <f>'P&amp;LPLN'!AI88/Factors!AI$11</f>
        <v>1157.1169450129864</v>
      </c>
      <c r="AJ89" s="21">
        <f>'P&amp;LPLN'!AJ88/Factors!AJ$11</f>
        <v>1152.3746624514579</v>
      </c>
      <c r="AK89" s="21">
        <f>'P&amp;LPLN'!AK88/Factors!AK$11</f>
        <v>1147.6710924006354</v>
      </c>
      <c r="AL89" s="21">
        <f>'P&amp;LPLN'!AL88/Factors!AL$11</f>
        <v>1143.0057627567305</v>
      </c>
      <c r="AM89" s="21">
        <f>'P&amp;LPLN'!AM88/Factors!AM$11</f>
        <v>1138.378209061359</v>
      </c>
      <c r="AN89" s="21">
        <f>'P&amp;LPLN'!AN88/Factors!AN$11</f>
        <v>1133.787974347402</v>
      </c>
      <c r="AO89" s="21">
        <f>'P&amp;LPLN'!AO88/Factors!AO$11</f>
        <v>1129.2346089885771</v>
      </c>
      <c r="AP89" s="21">
        <f>'P&amp;LPLN'!AP88/Factors!AP$11</f>
        <v>1124.7176705526226</v>
      </c>
      <c r="AQ89" s="21">
        <f>'P&amp;LPLN'!AQ88/Factors!AQ$11</f>
        <v>1120.2367236579908</v>
      </c>
      <c r="AR89" s="21">
        <f>'P&amp;LPLN'!AR88/Factors!AR$11</f>
        <v>1115.791339833951</v>
      </c>
      <c r="AS89" s="21">
        <f t="shared" si="32"/>
        <v>13690.932984318149</v>
      </c>
    </row>
    <row r="90" spans="1:45">
      <c r="A90" s="63" t="s">
        <v>351</v>
      </c>
      <c r="B90" s="59" t="s">
        <v>627</v>
      </c>
      <c r="C90" s="21">
        <f>'P&amp;LPLN'!C89/Factors!C$11</f>
        <v>1170.0006643094139</v>
      </c>
      <c r="D90" s="21">
        <f>'P&amp;LPLN'!D89/Factors!D$11</f>
        <v>1168.3672369759145</v>
      </c>
      <c r="E90" s="21">
        <f>'P&amp;LPLN'!E89/Factors!E$11</f>
        <v>1166.7383641101842</v>
      </c>
      <c r="F90" s="21">
        <f>'P&amp;LPLN'!F89/Factors!F$11</f>
        <v>1165.1140266899829</v>
      </c>
      <c r="G90" s="21">
        <f>'P&amp;LPLN'!G89/Factors!G$11</f>
        <v>1163.4942057988549</v>
      </c>
      <c r="H90" s="21">
        <f>'P&amp;LPLN'!H89/Factors!H$11</f>
        <v>1161.8788826253935</v>
      </c>
      <c r="I90" s="21">
        <f>'P&amp;LPLN'!I89/Factors!I$11</f>
        <v>1160.2680384625141</v>
      </c>
      <c r="J90" s="21">
        <f>'P&amp;LPLN'!J89/Factors!J$11</f>
        <v>1158.6616547067313</v>
      </c>
      <c r="K90" s="21">
        <f>'P&amp;LPLN'!K89/Factors!K$11</f>
        <v>1157.0597128574427</v>
      </c>
      <c r="L90" s="21">
        <f>'P&amp;LPLN'!L89/Factors!L$11</f>
        <v>1155.4621945162194</v>
      </c>
      <c r="M90" s="21">
        <f>'P&amp;LPLN'!M89/Factors!M$11</f>
        <v>1153.8690813861003</v>
      </c>
      <c r="N90" s="21">
        <f>'P&amp;LPLN'!N89/Factors!N$11</f>
        <v>1152.2803552708954</v>
      </c>
      <c r="O90" s="3">
        <f t="shared" si="30"/>
        <v>13933.194417709647</v>
      </c>
      <c r="Q90" s="59" t="s">
        <v>627</v>
      </c>
      <c r="R90" s="21">
        <f>'P&amp;LPLN'!R89/Factors!R$11</f>
        <v>1193.3990733428029</v>
      </c>
      <c r="S90" s="21">
        <f>'P&amp;LPLN'!S89/Factors!S$11</f>
        <v>1188.4676722132872</v>
      </c>
      <c r="T90" s="21">
        <f>'P&amp;LPLN'!T89/Factors!T$11</f>
        <v>1183.576858747389</v>
      </c>
      <c r="U90" s="21">
        <f>'P&amp;LPLN'!U89/Factors!U$11</f>
        <v>1178.726133916457</v>
      </c>
      <c r="V90" s="21">
        <f>'P&amp;LPLN'!V89/Factors!V$11</f>
        <v>1173.9150068392471</v>
      </c>
      <c r="W90" s="21">
        <f>'P&amp;LPLN'!W89/Factors!W$11</f>
        <v>1169.1429946163232</v>
      </c>
      <c r="X90" s="21">
        <f>'P&amp;LPLN'!X89/Factors!X$11</f>
        <v>1164.409622168484</v>
      </c>
      <c r="Y90" s="21">
        <f>'P&amp;LPLN'!Y89/Factors!Y$11</f>
        <v>1159.7144220790949</v>
      </c>
      <c r="Z90" s="21">
        <f>'P&amp;LPLN'!Z89/Factors!Z$11</f>
        <v>1155.0569344402231</v>
      </c>
      <c r="AA90" s="21">
        <f>'P&amp;LPLN'!AA89/Factors!AA$11</f>
        <v>1150.4367067024623</v>
      </c>
      <c r="AB90" s="21">
        <f>'P&amp;LPLN'!AB89/Factors!AB$11</f>
        <v>1145.853293528349</v>
      </c>
      <c r="AC90" s="21">
        <f>'P&amp;LPLN'!AC89/Factors!AC$11</f>
        <v>1141.3062566492681</v>
      </c>
      <c r="AD90" s="21">
        <f t="shared" si="31"/>
        <v>14004.004975243388</v>
      </c>
      <c r="AF90" s="59" t="s">
        <v>627</v>
      </c>
      <c r="AG90" s="21">
        <f>'P&amp;LPLN'!AG89/Factors!AG$11</f>
        <v>1204.7647788032109</v>
      </c>
      <c r="AH90" s="21">
        <f>'P&amp;LPLN'!AH89/Factors!AH$11</f>
        <v>1199.7864119486521</v>
      </c>
      <c r="AI90" s="21">
        <f>'P&amp;LPLN'!AI89/Factors!AI$11</f>
        <v>1194.8490193068883</v>
      </c>
      <c r="AJ90" s="21">
        <f>'P&amp;LPLN'!AJ89/Factors!AJ$11</f>
        <v>1189.9520970966141</v>
      </c>
      <c r="AK90" s="21">
        <f>'P&amp;LPLN'!AK89/Factors!AK$11</f>
        <v>1185.0951497615258</v>
      </c>
      <c r="AL90" s="21">
        <f>'P&amp;LPLN'!AL89/Factors!AL$11</f>
        <v>1180.2776898031457</v>
      </c>
      <c r="AM90" s="21">
        <f>'P&amp;LPLN'!AM89/Factors!AM$11</f>
        <v>1175.4992376177079</v>
      </c>
      <c r="AN90" s="21">
        <f>'P&amp;LPLN'!AN89/Factors!AN$11</f>
        <v>1170.7593213369912</v>
      </c>
      <c r="AO90" s="21">
        <f>'P&amp;LPLN'!AO89/Factors!AO$11</f>
        <v>1166.0574766729871</v>
      </c>
      <c r="AP90" s="21">
        <f>'P&amp;LPLN'!AP89/Factors!AP$11</f>
        <v>1161.3932467662953</v>
      </c>
      <c r="AQ90" s="21">
        <f>'P&amp;LPLN'!AQ89/Factors!AQ$11</f>
        <v>1156.7661820381427</v>
      </c>
      <c r="AR90" s="21">
        <f>'P&amp;LPLN'!AR89/Factors!AR$11</f>
        <v>1152.1758400459278</v>
      </c>
      <c r="AS90" s="21">
        <f t="shared" si="32"/>
        <v>14137.37645119809</v>
      </c>
    </row>
    <row r="91" spans="1:45">
      <c r="A91" s="63" t="s">
        <v>353</v>
      </c>
      <c r="B91" s="59" t="s">
        <v>628</v>
      </c>
      <c r="C91" s="21">
        <f>'P&amp;LPLN'!C90/Factors!C$11</f>
        <v>3941.0548692527627</v>
      </c>
      <c r="D91" s="21">
        <f>'P&amp;LPLN'!D90/Factors!D$11</f>
        <v>3935.5527982346593</v>
      </c>
      <c r="E91" s="21">
        <f>'P&amp;LPLN'!E90/Factors!E$11</f>
        <v>3930.0660685816729</v>
      </c>
      <c r="F91" s="21">
        <f>'P&amp;LPLN'!F90/Factors!F$11</f>
        <v>3924.5946162188902</v>
      </c>
      <c r="G91" s="21">
        <f>'P&amp;LPLN'!G90/Factors!G$11</f>
        <v>3919.1383774277215</v>
      </c>
      <c r="H91" s="21">
        <f>'P&amp;LPLN'!H90/Factors!H$11</f>
        <v>3913.6972888434307</v>
      </c>
      <c r="I91" s="21">
        <f>'P&amp;LPLN'!I90/Factors!I$11</f>
        <v>3908.2712874526787</v>
      </c>
      <c r="J91" s="21">
        <f>'P&amp;LPLN'!J90/Factors!J$11</f>
        <v>3902.8603105910947</v>
      </c>
      <c r="K91" s="21">
        <f>'P&amp;LPLN'!K90/Factors!K$11</f>
        <v>3897.4642959408598</v>
      </c>
      <c r="L91" s="21">
        <f>'P&amp;LPLN'!L90/Factors!L$11</f>
        <v>3892.0831815283177</v>
      </c>
      <c r="M91" s="21">
        <f>'P&amp;LPLN'!M90/Factors!M$11</f>
        <v>3886.7169057216015</v>
      </c>
      <c r="N91" s="21">
        <f>'P&amp;LPLN'!N90/Factors!N$11</f>
        <v>3881.3654072282789</v>
      </c>
      <c r="O91" s="3">
        <f t="shared" si="30"/>
        <v>46932.865407021971</v>
      </c>
      <c r="Q91" s="59" t="s">
        <v>628</v>
      </c>
      <c r="R91" s="21">
        <f>'P&amp;LPLN'!R90/Factors!R$11</f>
        <v>4019.8705628389148</v>
      </c>
      <c r="S91" s="21">
        <f>'P&amp;LPLN'!S90/Factors!S$11</f>
        <v>4003.2595274552832</v>
      </c>
      <c r="T91" s="21">
        <f>'P&amp;LPLN'!T90/Factors!T$11</f>
        <v>3986.7852084122574</v>
      </c>
      <c r="U91" s="21">
        <f>'P&amp;LPLN'!U90/Factors!U$11</f>
        <v>3970.4459247712239</v>
      </c>
      <c r="V91" s="21">
        <f>'P&amp;LPLN'!V90/Factors!V$11</f>
        <v>3954.2400230374637</v>
      </c>
      <c r="W91" s="21">
        <f>'P&amp;LPLN'!W90/Factors!W$11</f>
        <v>3938.165876602352</v>
      </c>
      <c r="X91" s="21">
        <f>'P&amp;LPLN'!X90/Factors!X$11</f>
        <v>3922.2218851991038</v>
      </c>
      <c r="Y91" s="21">
        <f>'P&amp;LPLN'!Y90/Factors!Y$11</f>
        <v>3906.4064743716881</v>
      </c>
      <c r="Z91" s="21">
        <f>'P&amp;LPLN'!Z90/Factors!Z$11</f>
        <v>3890.7180949565409</v>
      </c>
      <c r="AA91" s="21">
        <f>'P&amp;LPLN'!AA90/Factors!AA$11</f>
        <v>3875.155222576715</v>
      </c>
      <c r="AB91" s="21">
        <f>'P&amp;LPLN'!AB90/Factors!AB$11</f>
        <v>3859.7163571481228</v>
      </c>
      <c r="AC91" s="21">
        <f>'P&amp;LPLN'!AC90/Factors!AC$11</f>
        <v>3844.4000223975349</v>
      </c>
      <c r="AD91" s="21">
        <f t="shared" si="31"/>
        <v>47171.385179767211</v>
      </c>
      <c r="AF91" s="59" t="s">
        <v>628</v>
      </c>
      <c r="AG91" s="21">
        <f>'P&amp;LPLN'!AG90/Factors!AG$11</f>
        <v>4058.1550443897631</v>
      </c>
      <c r="AH91" s="21">
        <f>'P&amp;LPLN'!AH90/Factors!AH$11</f>
        <v>4041.3858086691439</v>
      </c>
      <c r="AI91" s="21">
        <f>'P&amp;LPLN'!AI90/Factors!AI$11</f>
        <v>4024.7545913495178</v>
      </c>
      <c r="AJ91" s="21">
        <f>'P&amp;LPLN'!AJ90/Factors!AJ$11</f>
        <v>4008.2596954833311</v>
      </c>
      <c r="AK91" s="21">
        <f>'P&amp;LPLN'!AK90/Factors!AK$11</f>
        <v>3991.8994518282975</v>
      </c>
      <c r="AL91" s="21">
        <f>'P&amp;LPLN'!AL90/Factors!AL$11</f>
        <v>3975.67221828428</v>
      </c>
      <c r="AM91" s="21">
        <f>'P&amp;LPLN'!AM90/Factors!AM$11</f>
        <v>3959.5763793438578</v>
      </c>
      <c r="AN91" s="21">
        <f>'P&amp;LPLN'!AN90/Factors!AN$11</f>
        <v>3943.6103455561806</v>
      </c>
      <c r="AO91" s="21">
        <f>'P&amp;LPLN'!AO90/Factors!AO$11</f>
        <v>3927.772553003746</v>
      </c>
      <c r="AP91" s="21">
        <f>'P&amp;LPLN'!AP90/Factors!AP$11</f>
        <v>3912.0614627917312</v>
      </c>
      <c r="AQ91" s="21">
        <f>'P&amp;LPLN'!AQ90/Factors!AQ$11</f>
        <v>3896.4755605495329</v>
      </c>
      <c r="AR91" s="21">
        <f>'P&amp;LPLN'!AR90/Factors!AR$11</f>
        <v>3881.0133559441779</v>
      </c>
      <c r="AS91" s="21">
        <f t="shared" si="32"/>
        <v>47620.636467193552</v>
      </c>
    </row>
    <row r="92" spans="1:45">
      <c r="A92" s="63" t="s">
        <v>355</v>
      </c>
      <c r="B92" s="59" t="s">
        <v>629</v>
      </c>
      <c r="C92" s="21">
        <f>'P&amp;LPLN'!C91/Factors!C$11</f>
        <v>2463.1592932829767</v>
      </c>
      <c r="D92" s="21">
        <f>'P&amp;LPLN'!D91/Factors!D$11</f>
        <v>2459.7204988966619</v>
      </c>
      <c r="E92" s="21">
        <f>'P&amp;LPLN'!E91/Factors!E$11</f>
        <v>2456.2912928635456</v>
      </c>
      <c r="F92" s="21">
        <f>'P&amp;LPLN'!F91/Factors!F$11</f>
        <v>2452.8716351368062</v>
      </c>
      <c r="G92" s="21">
        <f>'P&amp;LPLN'!G91/Factors!G$11</f>
        <v>2449.461485892326</v>
      </c>
      <c r="H92" s="21">
        <f>'P&amp;LPLN'!H91/Factors!H$11</f>
        <v>2446.0608055271441</v>
      </c>
      <c r="I92" s="21">
        <f>'P&amp;LPLN'!I91/Factors!I$11</f>
        <v>2442.6695546579244</v>
      </c>
      <c r="J92" s="21">
        <f>'P&amp;LPLN'!J91/Factors!J$11</f>
        <v>2439.287694119434</v>
      </c>
      <c r="K92" s="21">
        <f>'P&amp;LPLN'!K91/Factors!K$11</f>
        <v>2435.9151849630375</v>
      </c>
      <c r="L92" s="21">
        <f>'P&amp;LPLN'!L91/Factors!L$11</f>
        <v>2432.5519884551986</v>
      </c>
      <c r="M92" s="21">
        <f>'P&amp;LPLN'!M91/Factors!M$11</f>
        <v>2429.1980660760009</v>
      </c>
      <c r="N92" s="21">
        <f>'P&amp;LPLN'!N91/Factors!N$11</f>
        <v>2425.8533795176741</v>
      </c>
      <c r="O92" s="3">
        <f t="shared" si="30"/>
        <v>29333.040879388729</v>
      </c>
      <c r="Q92" s="59" t="s">
        <v>629</v>
      </c>
      <c r="R92" s="21">
        <f>'P&amp;LPLN'!R91/Factors!R$11</f>
        <v>2512.4191017743215</v>
      </c>
      <c r="S92" s="21">
        <f>'P&amp;LPLN'!S91/Factors!S$11</f>
        <v>2502.0372046595517</v>
      </c>
      <c r="T92" s="21">
        <f>'P&amp;LPLN'!T91/Factors!T$11</f>
        <v>2491.7407552576606</v>
      </c>
      <c r="U92" s="21">
        <f>'P&amp;LPLN'!U91/Factors!U$11</f>
        <v>2481.5287029820147</v>
      </c>
      <c r="V92" s="21">
        <f>'P&amp;LPLN'!V91/Factors!V$11</f>
        <v>2471.4000143984144</v>
      </c>
      <c r="W92" s="21">
        <f>'P&amp;LPLN'!W91/Factors!W$11</f>
        <v>2461.3536728764698</v>
      </c>
      <c r="X92" s="21">
        <f>'P&amp;LPLN'!X91/Factors!X$11</f>
        <v>2451.3886782494396</v>
      </c>
      <c r="Y92" s="21">
        <f>'P&amp;LPLN'!Y91/Factors!Y$11</f>
        <v>2441.5040464823051</v>
      </c>
      <c r="Z92" s="21">
        <f>'P&amp;LPLN'!Z91/Factors!Z$11</f>
        <v>2431.6988093478381</v>
      </c>
      <c r="AA92" s="21">
        <f>'P&amp;LPLN'!AA91/Factors!AA$11</f>
        <v>2421.9720141104467</v>
      </c>
      <c r="AB92" s="21">
        <f>'P&amp;LPLN'!AB91/Factors!AB$11</f>
        <v>2412.3227232175764</v>
      </c>
      <c r="AC92" s="21">
        <f>'P&amp;LPLN'!AC91/Factors!AC$11</f>
        <v>2402.7500139984591</v>
      </c>
      <c r="AD92" s="21">
        <f t="shared" si="31"/>
        <v>29482.115737354499</v>
      </c>
      <c r="AF92" s="59" t="s">
        <v>629</v>
      </c>
      <c r="AG92" s="21">
        <f>'P&amp;LPLN'!AG91/Factors!AG$11</f>
        <v>2536.3469027436017</v>
      </c>
      <c r="AH92" s="21">
        <f>'P&amp;LPLN'!AH91/Factors!AH$11</f>
        <v>2525.8661304182151</v>
      </c>
      <c r="AI92" s="21">
        <f>'P&amp;LPLN'!AI91/Factors!AI$11</f>
        <v>2515.4716195934484</v>
      </c>
      <c r="AJ92" s="21">
        <f>'P&amp;LPLN'!AJ91/Factors!AJ$11</f>
        <v>2505.1623096770818</v>
      </c>
      <c r="AK92" s="21">
        <f>'P&amp;LPLN'!AK91/Factors!AK$11</f>
        <v>2494.9371573926855</v>
      </c>
      <c r="AL92" s="21">
        <f>'P&amp;LPLN'!AL91/Factors!AL$11</f>
        <v>2484.7951364276746</v>
      </c>
      <c r="AM92" s="21">
        <f>'P&amp;LPLN'!AM91/Factors!AM$11</f>
        <v>2474.7352370899107</v>
      </c>
      <c r="AN92" s="21">
        <f>'P&amp;LPLN'!AN91/Factors!AN$11</f>
        <v>2464.7564659726127</v>
      </c>
      <c r="AO92" s="21">
        <f>'P&amp;LPLN'!AO91/Factors!AO$11</f>
        <v>2454.8578456273412</v>
      </c>
      <c r="AP92" s="21">
        <f>'P&amp;LPLN'!AP91/Factors!AP$11</f>
        <v>2445.038414244832</v>
      </c>
      <c r="AQ92" s="21">
        <f>'P&amp;LPLN'!AQ91/Factors!AQ$11</f>
        <v>2435.2972253434582</v>
      </c>
      <c r="AR92" s="21">
        <f>'P&amp;LPLN'!AR91/Factors!AR$11</f>
        <v>2425.633347465111</v>
      </c>
      <c r="AS92" s="21">
        <f t="shared" si="32"/>
        <v>29762.897791995973</v>
      </c>
    </row>
    <row r="93" spans="1:45">
      <c r="A93" s="63" t="s">
        <v>508</v>
      </c>
      <c r="B93" s="59" t="s">
        <v>630</v>
      </c>
      <c r="C93" s="21">
        <f>'P&amp;LPLN'!C92/Factors!C$11</f>
        <v>394.1054869252763</v>
      </c>
      <c r="D93" s="21">
        <f>'P&amp;LPLN'!D92/Factors!D$11</f>
        <v>393.55527982346592</v>
      </c>
      <c r="E93" s="21">
        <f>'P&amp;LPLN'!E92/Factors!E$11</f>
        <v>393.00660685816729</v>
      </c>
      <c r="F93" s="21">
        <f>'P&amp;LPLN'!F92/Factors!F$11</f>
        <v>392.45946162188903</v>
      </c>
      <c r="G93" s="21">
        <f>'P&amp;LPLN'!G92/Factors!G$11</f>
        <v>391.91383774277216</v>
      </c>
      <c r="H93" s="21">
        <f>'P&amp;LPLN'!H92/Factors!H$11</f>
        <v>391.36972888434303</v>
      </c>
      <c r="I93" s="21">
        <f>'P&amp;LPLN'!I92/Factors!I$11</f>
        <v>390.82712874526788</v>
      </c>
      <c r="J93" s="21">
        <f>'P&amp;LPLN'!J92/Factors!J$11</f>
        <v>390.28603105910946</v>
      </c>
      <c r="K93" s="21">
        <f>'P&amp;LPLN'!K92/Factors!K$11</f>
        <v>389.74642959408595</v>
      </c>
      <c r="L93" s="21">
        <f>'P&amp;LPLN'!L92/Factors!L$11</f>
        <v>389.20831815283179</v>
      </c>
      <c r="M93" s="21">
        <f>'P&amp;LPLN'!M92/Factors!M$11</f>
        <v>388.67169057216017</v>
      </c>
      <c r="N93" s="21">
        <f>'P&amp;LPLN'!N92/Factors!N$11</f>
        <v>388.13654072282787</v>
      </c>
      <c r="O93" s="3">
        <f t="shared" si="30"/>
        <v>4693.2865407021973</v>
      </c>
      <c r="Q93" s="59" t="s">
        <v>630</v>
      </c>
      <c r="R93" s="21">
        <f>'P&amp;LPLN'!R92/Factors!R$11</f>
        <v>401.98705628389149</v>
      </c>
      <c r="S93" s="21">
        <f>'P&amp;LPLN'!S92/Factors!S$11</f>
        <v>400.3259527455283</v>
      </c>
      <c r="T93" s="21">
        <f>'P&amp;LPLN'!T92/Factors!T$11</f>
        <v>398.67852084122575</v>
      </c>
      <c r="U93" s="21">
        <f>'P&amp;LPLN'!U92/Factors!U$11</f>
        <v>397.04459247712236</v>
      </c>
      <c r="V93" s="21">
        <f>'P&amp;LPLN'!V92/Factors!V$11</f>
        <v>395.42400230374636</v>
      </c>
      <c r="W93" s="21">
        <f>'P&amp;LPLN'!W92/Factors!W$11</f>
        <v>393.8165876602352</v>
      </c>
      <c r="X93" s="21">
        <f>'P&amp;LPLN'!X92/Factors!X$11</f>
        <v>392.22218851991039</v>
      </c>
      <c r="Y93" s="21">
        <f>'P&amp;LPLN'!Y92/Factors!Y$11</f>
        <v>390.64064743716881</v>
      </c>
      <c r="Z93" s="21">
        <f>'P&amp;LPLN'!Z92/Factors!Z$11</f>
        <v>389.07180949565412</v>
      </c>
      <c r="AA93" s="21">
        <f>'P&amp;LPLN'!AA92/Factors!AA$11</f>
        <v>387.51552225767148</v>
      </c>
      <c r="AB93" s="21">
        <f>'P&amp;LPLN'!AB92/Factors!AB$11</f>
        <v>385.97163571481224</v>
      </c>
      <c r="AC93" s="21">
        <f>'P&amp;LPLN'!AC92/Factors!AC$11</f>
        <v>384.44000223975348</v>
      </c>
      <c r="AD93" s="21">
        <f t="shared" si="31"/>
        <v>4717.1385179767203</v>
      </c>
      <c r="AF93" s="59" t="s">
        <v>630</v>
      </c>
      <c r="AG93" s="21">
        <f>'P&amp;LPLN'!AG92/Factors!AG$11</f>
        <v>405.81550443897629</v>
      </c>
      <c r="AH93" s="21">
        <f>'P&amp;LPLN'!AH92/Factors!AH$11</f>
        <v>404.13858086691442</v>
      </c>
      <c r="AI93" s="21">
        <f>'P&amp;LPLN'!AI92/Factors!AI$11</f>
        <v>402.47545913495179</v>
      </c>
      <c r="AJ93" s="21">
        <f>'P&amp;LPLN'!AJ92/Factors!AJ$11</f>
        <v>400.82596954833315</v>
      </c>
      <c r="AK93" s="21">
        <f>'P&amp;LPLN'!AK92/Factors!AK$11</f>
        <v>399.18994518282972</v>
      </c>
      <c r="AL93" s="21">
        <f>'P&amp;LPLN'!AL92/Factors!AL$11</f>
        <v>397.56722182842799</v>
      </c>
      <c r="AM93" s="21">
        <f>'P&amp;LPLN'!AM92/Factors!AM$11</f>
        <v>395.95763793438579</v>
      </c>
      <c r="AN93" s="21">
        <f>'P&amp;LPLN'!AN92/Factors!AN$11</f>
        <v>394.36103455561806</v>
      </c>
      <c r="AO93" s="21">
        <f>'P&amp;LPLN'!AO92/Factors!AO$11</f>
        <v>392.77725530037463</v>
      </c>
      <c r="AP93" s="21">
        <f>'P&amp;LPLN'!AP92/Factors!AP$11</f>
        <v>391.20614627917314</v>
      </c>
      <c r="AQ93" s="21">
        <f>'P&amp;LPLN'!AQ92/Factors!AQ$11</f>
        <v>389.64755605495333</v>
      </c>
      <c r="AR93" s="21">
        <f>'P&amp;LPLN'!AR92/Factors!AR$11</f>
        <v>388.10133559441778</v>
      </c>
      <c r="AS93" s="21">
        <f t="shared" si="32"/>
        <v>4762.0636467193553</v>
      </c>
    </row>
    <row r="94" spans="1:45">
      <c r="A94" s="63" t="s">
        <v>357</v>
      </c>
      <c r="B94" s="59" t="s">
        <v>631</v>
      </c>
      <c r="C94" s="21">
        <f>'P&amp;LPLN'!C93/Factors!C$11</f>
        <v>464.74703646848616</v>
      </c>
      <c r="D94" s="21">
        <f>'P&amp;LPLN'!D93/Factors!D$11</f>
        <v>464.09820733899284</v>
      </c>
      <c r="E94" s="21">
        <f>'P&amp;LPLN'!E93/Factors!E$11</f>
        <v>463.4511873327445</v>
      </c>
      <c r="F94" s="21">
        <f>'P&amp;LPLN'!F93/Factors!F$11</f>
        <v>462.80596889373703</v>
      </c>
      <c r="G94" s="21">
        <f>'P&amp;LPLN'!G93/Factors!G$11</f>
        <v>462.16254450798601</v>
      </c>
      <c r="H94" s="21">
        <f>'P&amp;LPLN'!H93/Factors!H$11</f>
        <v>461.52090670323474</v>
      </c>
      <c r="I94" s="21">
        <f>'P&amp;LPLN'!I93/Factors!I$11</f>
        <v>460.88104804866498</v>
      </c>
      <c r="J94" s="21">
        <f>'P&amp;LPLN'!J93/Factors!J$11</f>
        <v>460.24296115461021</v>
      </c>
      <c r="K94" s="21">
        <f>'P&amp;LPLN'!K93/Factors!K$11</f>
        <v>459.60663867227117</v>
      </c>
      <c r="L94" s="21">
        <f>'P&amp;LPLN'!L93/Factors!L$11</f>
        <v>458.97207329343371</v>
      </c>
      <c r="M94" s="21">
        <f>'P&amp;LPLN'!M93/Factors!M$11</f>
        <v>458.33925775018884</v>
      </c>
      <c r="N94" s="21">
        <f>'P&amp;LPLN'!N93/Factors!N$11</f>
        <v>457.70818481465551</v>
      </c>
      <c r="O94" s="3">
        <f t="shared" si="30"/>
        <v>5534.5360149790058</v>
      </c>
      <c r="Q94" s="59" t="s">
        <v>631</v>
      </c>
      <c r="R94" s="21">
        <f>'P&amp;LPLN'!R93/Factors!R$11</f>
        <v>474.04133995741915</v>
      </c>
      <c r="S94" s="21">
        <f>'P&amp;LPLN'!S93/Factors!S$11</f>
        <v>472.08249144519846</v>
      </c>
      <c r="T94" s="21">
        <f>'P&amp;LPLN'!T93/Factors!T$11</f>
        <v>470.13976514295484</v>
      </c>
      <c r="U94" s="21">
        <f>'P&amp;LPLN'!U93/Factors!U$11</f>
        <v>468.21296282679521</v>
      </c>
      <c r="V94" s="21">
        <f>'P&amp;LPLN'!V93/Factors!V$11</f>
        <v>466.30188950913481</v>
      </c>
      <c r="W94" s="21">
        <f>'P&amp;LPLN'!W93/Factors!W$11</f>
        <v>464.40635337291883</v>
      </c>
      <c r="X94" s="21">
        <f>'P&amp;LPLN'!X93/Factors!X$11</f>
        <v>462.52616570744146</v>
      </c>
      <c r="Y94" s="21">
        <f>'P&amp;LPLN'!Y93/Factors!Y$11</f>
        <v>460.66114084571791</v>
      </c>
      <c r="Z94" s="21">
        <f>'P&amp;LPLN'!Z93/Factors!Z$11</f>
        <v>458.81109610336563</v>
      </c>
      <c r="AA94" s="21">
        <f>'P&amp;LPLN'!AA93/Factors!AA$11</f>
        <v>456.97585171895219</v>
      </c>
      <c r="AB94" s="21">
        <f>'P&amp;LPLN'!AB93/Factors!AB$11</f>
        <v>455.15523079576911</v>
      </c>
      <c r="AC94" s="21">
        <f>'P&amp;LPLN'!AC93/Factors!AC$11</f>
        <v>453.3490592449923</v>
      </c>
      <c r="AD94" s="21">
        <f t="shared" si="31"/>
        <v>5562.6633466706608</v>
      </c>
      <c r="AF94" s="59" t="s">
        <v>631</v>
      </c>
      <c r="AG94" s="21">
        <f>'P&amp;LPLN'!AG93/Factors!AG$11</f>
        <v>478.55601938558527</v>
      </c>
      <c r="AH94" s="21">
        <f>'P&amp;LPLN'!AH93/Factors!AH$11</f>
        <v>476.57851517324815</v>
      </c>
      <c r="AI94" s="21">
        <f>'P&amp;LPLN'!AI93/Factors!AI$11</f>
        <v>474.61728671574502</v>
      </c>
      <c r="AJ94" s="21">
        <f>'P&amp;LPLN'!AJ93/Factors!AJ$11</f>
        <v>472.67213390133622</v>
      </c>
      <c r="AK94" s="21">
        <f>'P&amp;LPLN'!AK93/Factors!AK$11</f>
        <v>470.74285988541243</v>
      </c>
      <c r="AL94" s="21">
        <f>'P&amp;LPLN'!AL93/Factors!AL$11</f>
        <v>468.82927102408962</v>
      </c>
      <c r="AM94" s="21">
        <f>'P&amp;LPLN'!AM93/Factors!AM$11</f>
        <v>466.9311768094172</v>
      </c>
      <c r="AN94" s="21">
        <f>'P&amp;LPLN'!AN93/Factors!AN$11</f>
        <v>465.04838980615341</v>
      </c>
      <c r="AO94" s="21">
        <f>'P&amp;LPLN'!AO93/Factors!AO$11</f>
        <v>463.18072559006441</v>
      </c>
      <c r="AP94" s="21">
        <f>'P&amp;LPLN'!AP93/Factors!AP$11</f>
        <v>461.32800268770416</v>
      </c>
      <c r="AQ94" s="21">
        <f>'P&amp;LPLN'!AQ93/Factors!AQ$11</f>
        <v>459.49004251763364</v>
      </c>
      <c r="AR94" s="21">
        <f>'P&amp;LPLN'!AR93/Factors!AR$11</f>
        <v>457.66666933303981</v>
      </c>
      <c r="AS94" s="21">
        <f t="shared" si="32"/>
        <v>5615.6410928294299</v>
      </c>
    </row>
    <row r="95" spans="1:45" ht="13.5" thickBot="1">
      <c r="A95" s="56"/>
      <c r="B95" s="136" t="s">
        <v>97</v>
      </c>
      <c r="C95" s="19">
        <f>SUM(C78:C94)</f>
        <v>19247.96326237882</v>
      </c>
      <c r="D95" s="19">
        <f t="shared" ref="D95:O95" si="33">SUM(D78:D94)</f>
        <v>19221.09135515173</v>
      </c>
      <c r="E95" s="19">
        <f t="shared" si="33"/>
        <v>19194.294374572943</v>
      </c>
      <c r="F95" s="19">
        <f t="shared" si="33"/>
        <v>19167.572007703013</v>
      </c>
      <c r="G95" s="19">
        <f t="shared" si="33"/>
        <v>19140.92394334275</v>
      </c>
      <c r="H95" s="19">
        <f t="shared" si="33"/>
        <v>19114.349872021168</v>
      </c>
      <c r="I95" s="19">
        <f t="shared" si="33"/>
        <v>19087.849485983508</v>
      </c>
      <c r="J95" s="19">
        <f t="shared" si="33"/>
        <v>19061.422479179339</v>
      </c>
      <c r="K95" s="19">
        <f t="shared" si="33"/>
        <v>19035.068547250783</v>
      </c>
      <c r="L95" s="19">
        <f t="shared" si="33"/>
        <v>19008.78738752085</v>
      </c>
      <c r="M95" s="19">
        <f t="shared" si="33"/>
        <v>18982.578698981819</v>
      </c>
      <c r="N95" s="19">
        <f t="shared" si="33"/>
        <v>18956.442182283776</v>
      </c>
      <c r="O95" s="19">
        <f t="shared" si="33"/>
        <v>229218.34359637051</v>
      </c>
      <c r="Q95" s="59"/>
      <c r="R95" s="19">
        <f t="shared" ref="R95:AD95" si="34">SUM(R78:R94)</f>
        <v>19632.896135676474</v>
      </c>
      <c r="S95" s="53">
        <f t="shared" si="34"/>
        <v>19551.768465694338</v>
      </c>
      <c r="T95" s="53">
        <f t="shared" si="34"/>
        <v>19471.308513160617</v>
      </c>
      <c r="U95" s="53">
        <f t="shared" si="34"/>
        <v>19391.508068434552</v>
      </c>
      <c r="V95" s="53">
        <f t="shared" si="34"/>
        <v>19312.359055910329</v>
      </c>
      <c r="W95" s="53">
        <f t="shared" si="34"/>
        <v>19233.853531292807</v>
      </c>
      <c r="X95" s="53">
        <f t="shared" si="34"/>
        <v>19155.983678939396</v>
      </c>
      <c r="Y95" s="53">
        <f t="shared" si="34"/>
        <v>19078.741809266256</v>
      </c>
      <c r="Z95" s="53">
        <f t="shared" si="34"/>
        <v>19002.120356216994</v>
      </c>
      <c r="AA95" s="53">
        <f t="shared" si="34"/>
        <v>18926.111874792125</v>
      </c>
      <c r="AB95" s="53">
        <f t="shared" si="34"/>
        <v>18850.709038637578</v>
      </c>
      <c r="AC95" s="53">
        <f t="shared" si="34"/>
        <v>18775.904637690601</v>
      </c>
      <c r="AD95" s="53">
        <f t="shared" si="34"/>
        <v>230383.26516571204</v>
      </c>
      <c r="AF95" s="59"/>
      <c r="AG95" s="19">
        <f t="shared" ref="AG95:AS95" si="35">SUM(AG78:AG94)</f>
        <v>19819.876098873396</v>
      </c>
      <c r="AH95" s="53">
        <f t="shared" si="35"/>
        <v>19737.975784415248</v>
      </c>
      <c r="AI95" s="53">
        <f t="shared" si="35"/>
        <v>19656.749546619296</v>
      </c>
      <c r="AJ95" s="53">
        <f t="shared" si="35"/>
        <v>19576.189097657738</v>
      </c>
      <c r="AK95" s="53">
        <f t="shared" si="35"/>
        <v>19496.286285014241</v>
      </c>
      <c r="AL95" s="53">
        <f t="shared" si="35"/>
        <v>19417.033088733697</v>
      </c>
      <c r="AM95" s="53">
        <f t="shared" si="35"/>
        <v>19338.421618738823</v>
      </c>
      <c r="AN95" s="53">
        <f t="shared" si="35"/>
        <v>19260.444112211651</v>
      </c>
      <c r="AO95" s="53">
        <f t="shared" si="35"/>
        <v>19183.092931038111</v>
      </c>
      <c r="AP95" s="53">
        <f t="shared" si="35"/>
        <v>19106.360559313955</v>
      </c>
      <c r="AQ95" s="53">
        <f t="shared" si="35"/>
        <v>19030.239600910314</v>
      </c>
      <c r="AR95" s="53">
        <f t="shared" si="35"/>
        <v>18954.722777097177</v>
      </c>
      <c r="AS95" s="53">
        <f t="shared" si="35"/>
        <v>232577.39150062366</v>
      </c>
    </row>
    <row r="96" spans="1:45" ht="13.5" thickTop="1">
      <c r="A96" s="56"/>
      <c r="B96" s="60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0"/>
      <c r="Q96" s="59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0"/>
      <c r="AF96" s="59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0"/>
    </row>
    <row r="97" spans="1:45">
      <c r="A97" s="64" t="s">
        <v>359</v>
      </c>
      <c r="B97" s="60" t="s">
        <v>798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0"/>
      <c r="Q97" s="60" t="s">
        <v>642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0"/>
      <c r="AF97" s="60" t="s">
        <v>642</v>
      </c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0"/>
    </row>
    <row r="98" spans="1:45">
      <c r="A98" s="63" t="s">
        <v>361</v>
      </c>
      <c r="B98" s="59" t="s">
        <v>632</v>
      </c>
      <c r="C98" s="21">
        <f>'P&amp;LPLN'!C97/Factors!C$11</f>
        <v>2025.1352114114286</v>
      </c>
      <c r="D98" s="21">
        <f>'P&amp;LPLN'!D97/Factors!D$11</f>
        <v>2022.3079384796613</v>
      </c>
      <c r="E98" s="21">
        <f>'P&amp;LPLN'!E97/Factors!E$11</f>
        <v>2019.488548802434</v>
      </c>
      <c r="F98" s="21">
        <f>'P&amp;LPLN'!F97/Factors!F$11</f>
        <v>2016.677009454459</v>
      </c>
      <c r="G98" s="21">
        <f>'P&amp;LPLN'!G97/Factors!G$11</f>
        <v>2013.8732876935492</v>
      </c>
      <c r="H98" s="21">
        <f>'P&amp;LPLN'!H97/Factors!H$11</f>
        <v>2011.0773509593453</v>
      </c>
      <c r="I98" s="21">
        <f>'P&amp;LPLN'!I97/Factors!I$11</f>
        <v>2008.2891668720576</v>
      </c>
      <c r="J98" s="21">
        <f>'P&amp;LPLN'!J97/Factors!J$11</f>
        <v>2005.508703231214</v>
      </c>
      <c r="K98" s="21">
        <f>'P&amp;LPLN'!K97/Factors!K$11</f>
        <v>2002.7359280144217</v>
      </c>
      <c r="L98" s="21">
        <f>'P&amp;LPLN'!L97/Factors!L$11</f>
        <v>1999.9708093761374</v>
      </c>
      <c r="M98" s="21">
        <f>'P&amp;LPLN'!M97/Factors!M$11</f>
        <v>1997.2133156464479</v>
      </c>
      <c r="N98" s="21">
        <f>'P&amp;LPLN'!N97/Factors!N$11</f>
        <v>1994.4634153298614</v>
      </c>
      <c r="O98" s="3">
        <f t="shared" ref="O98:O111" si="36">SUM(C98:N98)</f>
        <v>24116.740685271019</v>
      </c>
      <c r="Q98" s="59" t="s">
        <v>632</v>
      </c>
      <c r="R98" s="21">
        <f>'P&amp;LPLN'!R97/Factors!R$11</f>
        <v>2065.6351388644543</v>
      </c>
      <c r="S98" s="21">
        <f>'P&amp;LPLN'!S97/Factors!S$11</f>
        <v>2057.0994564724524</v>
      </c>
      <c r="T98" s="21">
        <f>'P&amp;LPLN'!T97/Factors!T$11</f>
        <v>2048.6340266104257</v>
      </c>
      <c r="U98" s="21">
        <f>'P&amp;LPLN'!U97/Factors!U$11</f>
        <v>2040.2379855177603</v>
      </c>
      <c r="V98" s="21">
        <f>'P&amp;LPLN'!V97/Factors!V$11</f>
        <v>2031.9104835360552</v>
      </c>
      <c r="W98" s="21">
        <f>'P&amp;LPLN'!W97/Factors!W$11</f>
        <v>2023.650684822494</v>
      </c>
      <c r="X98" s="21">
        <f>'P&amp;LPLN'!X97/Factors!X$11</f>
        <v>2015.4577670701763</v>
      </c>
      <c r="Y98" s="21">
        <f>'P&amp;LPLN'!Y97/Factors!Y$11</f>
        <v>2007.330921235216</v>
      </c>
      <c r="Z98" s="21">
        <f>'P&amp;LPLN'!Z97/Factors!Z$11</f>
        <v>1999.2693512704159</v>
      </c>
      <c r="AA98" s="21">
        <f>'P&amp;LPLN'!AA97/Factors!AA$11</f>
        <v>1991.2722738653342</v>
      </c>
      <c r="AB98" s="21">
        <f>'P&amp;LPLN'!AB97/Factors!AB$11</f>
        <v>1983.3389181925641</v>
      </c>
      <c r="AC98" s="21">
        <f>'P&amp;LPLN'!AC97/Factors!AC$11</f>
        <v>1975.468525660054</v>
      </c>
      <c r="AD98" s="21">
        <f t="shared" ref="AD98:AD111" si="37">SUM(R98:AC98)</f>
        <v>24239.305533117404</v>
      </c>
      <c r="AF98" s="59" t="s">
        <v>632</v>
      </c>
      <c r="AG98" s="21">
        <f>'P&amp;LPLN'!AG97/Factors!AG$11</f>
        <v>2085.3078544726877</v>
      </c>
      <c r="AH98" s="21">
        <f>'P&amp;LPLN'!AH97/Factors!AH$11</f>
        <v>2076.690879867429</v>
      </c>
      <c r="AI98" s="21">
        <f>'P&amp;LPLN'!AI97/Factors!AI$11</f>
        <v>2068.1448268638592</v>
      </c>
      <c r="AJ98" s="21">
        <f>'P&amp;LPLN'!AJ97/Factors!AJ$11</f>
        <v>2059.6688234750727</v>
      </c>
      <c r="AK98" s="21">
        <f>'P&amp;LPLN'!AK97/Factors!AK$11</f>
        <v>2051.2620119506846</v>
      </c>
      <c r="AL98" s="21">
        <f>'P&amp;LPLN'!AL97/Factors!AL$11</f>
        <v>2042.9235484874705</v>
      </c>
      <c r="AM98" s="21">
        <f>'P&amp;LPLN'!AM97/Factors!AM$11</f>
        <v>2034.6526029470353</v>
      </c>
      <c r="AN98" s="21">
        <f>'P&amp;LPLN'!AN97/Factors!AN$11</f>
        <v>2026.4483585803134</v>
      </c>
      <c r="AO98" s="21">
        <f>'P&amp;LPLN'!AO97/Factors!AO$11</f>
        <v>2018.3100117587057</v>
      </c>
      <c r="AP98" s="21">
        <f>'P&amp;LPLN'!AP97/Factors!AP$11</f>
        <v>2010.2367717116708</v>
      </c>
      <c r="AQ98" s="21">
        <f>'P&amp;LPLN'!AQ97/Factors!AQ$11</f>
        <v>2002.2278602705885</v>
      </c>
      <c r="AR98" s="21">
        <f>'P&amp;LPLN'!AR97/Factors!AR$11</f>
        <v>1994.2825116187212</v>
      </c>
      <c r="AS98" s="21">
        <f t="shared" ref="AS98:AS111" si="38">SUM(AG98:AR98)</f>
        <v>24470.156062004236</v>
      </c>
    </row>
    <row r="99" spans="1:45">
      <c r="A99" s="63" t="s">
        <v>363</v>
      </c>
      <c r="B99" s="57" t="s">
        <v>562</v>
      </c>
      <c r="C99" s="21">
        <f>'P&amp;LPLN'!C98/Factors!C$11</f>
        <v>19854.922892006667</v>
      </c>
      <c r="D99" s="21">
        <f>'P&amp;LPLN'!D98/Factors!D$11</f>
        <v>19827.203613936454</v>
      </c>
      <c r="E99" s="21">
        <f>'P&amp;LPLN'!E98/Factors!E$11</f>
        <v>19799.561625229508</v>
      </c>
      <c r="F99" s="21">
        <f>'P&amp;LPLN'!F98/Factors!F$11</f>
        <v>19771.996603078234</v>
      </c>
      <c r="G99" s="21">
        <f>'P&amp;LPLN'!G98/Factors!G$11</f>
        <v>19744.508226470178</v>
      </c>
      <c r="H99" s="21">
        <f>'P&amp;LPLN'!H98/Factors!H$11</f>
        <v>19717.096176175593</v>
      </c>
      <c r="I99" s="21">
        <f>'P&amp;LPLN'!I98/Factors!I$11</f>
        <v>19689.760134735065</v>
      </c>
      <c r="J99" s="21">
        <f>'P&amp;LPLN'!J98/Factors!J$11</f>
        <v>19662.499786447257</v>
      </c>
      <c r="K99" s="21">
        <f>'P&amp;LPLN'!K98/Factors!K$11</f>
        <v>19635.314817356772</v>
      </c>
      <c r="L99" s="21">
        <f>'P&amp;LPLN'!L98/Factors!L$11</f>
        <v>19608.204915242077</v>
      </c>
      <c r="M99" s="21">
        <f>'P&amp;LPLN'!M98/Factors!M$11</f>
        <v>19581.16976960357</v>
      </c>
      <c r="N99" s="21">
        <f>'P&amp;LPLN'!N98/Factors!N$11</f>
        <v>19554.209071651712</v>
      </c>
      <c r="O99" s="3">
        <f t="shared" si="36"/>
        <v>236446.44763193306</v>
      </c>
      <c r="P99" s="3"/>
      <c r="Q99" s="57" t="s">
        <v>562</v>
      </c>
      <c r="R99" s="21">
        <f>'P&amp;LPLN'!R98/Factors!R$11</f>
        <v>20251.994125660865</v>
      </c>
      <c r="S99" s="21">
        <f>'P&amp;LPLN'!S98/Factors!S$11</f>
        <v>20168.308199521769</v>
      </c>
      <c r="T99" s="21">
        <f>'P&amp;LPLN'!T98/Factors!T$11</f>
        <v>20085.31104643732</v>
      </c>
      <c r="U99" s="21">
        <f>'P&amp;LPLN'!U98/Factors!U$11</f>
        <v>20002.994197886346</v>
      </c>
      <c r="V99" s="21">
        <f>'P&amp;LPLN'!V98/Factors!V$11</f>
        <v>19921.349323609262</v>
      </c>
      <c r="W99" s="21">
        <f>'P&amp;LPLN'!W98/Factors!W$11</f>
        <v>19840.368228797841</v>
      </c>
      <c r="X99" s="21">
        <f>'P&amp;LPLN'!X98/Factors!X$11</f>
        <v>19760.042851353315</v>
      </c>
      <c r="Y99" s="21">
        <f>'P&amp;LPLN'!Y98/Factors!Y$11</f>
        <v>19680.365259210765</v>
      </c>
      <c r="Z99" s="21">
        <f>'P&amp;LPLN'!Z98/Factors!Z$11</f>
        <v>19601.327647727991</v>
      </c>
      <c r="AA99" s="21">
        <f>'P&amp;LPLN'!AA98/Factors!AA$11</f>
        <v>19522.922337137079</v>
      </c>
      <c r="AB99" s="21">
        <f>'P&amp;LPLN'!AB98/Factors!AB$11</f>
        <v>19445.141770056853</v>
      </c>
      <c r="AC99" s="21">
        <f>'P&amp;LPLN'!AC98/Factors!AC$11</f>
        <v>19367.978509064564</v>
      </c>
      <c r="AD99" s="21">
        <f t="shared" si="37"/>
        <v>237648.10349646397</v>
      </c>
      <c r="AF99" s="57" t="s">
        <v>562</v>
      </c>
      <c r="AG99" s="21">
        <f>'P&amp;LPLN'!AG98/Factors!AG$11</f>
        <v>20444.870260190975</v>
      </c>
      <c r="AH99" s="21">
        <f>'P&amp;LPLN'!AH98/Factors!AH$11</f>
        <v>20360.387325231506</v>
      </c>
      <c r="AI99" s="21">
        <f>'P&amp;LPLN'!AI98/Factors!AI$11</f>
        <v>20276.59972307006</v>
      </c>
      <c r="AJ99" s="21">
        <f>'P&amp;LPLN'!AJ98/Factors!AJ$11</f>
        <v>20193.498904532888</v>
      </c>
      <c r="AK99" s="21">
        <f>'P&amp;LPLN'!AK98/Factors!AK$11</f>
        <v>20111.076460024589</v>
      </c>
      <c r="AL99" s="21">
        <f>'P&amp;LPLN'!AL98/Factors!AL$11</f>
        <v>20029.324116691158</v>
      </c>
      <c r="AM99" s="21">
        <f>'P&amp;LPLN'!AM98/Factors!AM$11</f>
        <v>19948.23373565192</v>
      </c>
      <c r="AN99" s="21">
        <f>'P&amp;LPLN'!AN98/Factors!AN$11</f>
        <v>19867.797309298487</v>
      </c>
      <c r="AO99" s="21">
        <f>'P&amp;LPLN'!AO98/Factors!AO$11</f>
        <v>19788.006958658731</v>
      </c>
      <c r="AP99" s="21">
        <f>'P&amp;LPLN'!AP98/Factors!AP$11</f>
        <v>19708.854930824098</v>
      </c>
      <c r="AQ99" s="21">
        <f>'P&amp;LPLN'!AQ98/Factors!AQ$11</f>
        <v>19630.333596438344</v>
      </c>
      <c r="AR99" s="21">
        <f>'P&amp;LPLN'!AR98/Factors!AR$11</f>
        <v>19552.435447246127</v>
      </c>
      <c r="AS99" s="21">
        <f t="shared" si="38"/>
        <v>239911.41876785888</v>
      </c>
    </row>
    <row r="100" spans="1:45">
      <c r="A100" s="63" t="s">
        <v>365</v>
      </c>
      <c r="B100" s="57" t="s">
        <v>158</v>
      </c>
      <c r="C100" s="21">
        <f>'P&amp;LPLN'!C99/Factors!C$11</f>
        <v>580.93379558560775</v>
      </c>
      <c r="D100" s="21">
        <f>'P&amp;LPLN'!D99/Factors!D$11</f>
        <v>580.12275917374109</v>
      </c>
      <c r="E100" s="21">
        <f>'P&amp;LPLN'!E99/Factors!E$11</f>
        <v>579.31398416593061</v>
      </c>
      <c r="F100" s="21">
        <f>'P&amp;LPLN'!F99/Factors!F$11</f>
        <v>578.50746111717126</v>
      </c>
      <c r="G100" s="21">
        <f>'P&amp;LPLN'!G99/Factors!G$11</f>
        <v>577.70318063498257</v>
      </c>
      <c r="H100" s="21">
        <f>'P&amp;LPLN'!H99/Factors!H$11</f>
        <v>576.90113337904347</v>
      </c>
      <c r="I100" s="21">
        <f>'P&amp;LPLN'!I99/Factors!I$11</f>
        <v>576.10131006083122</v>
      </c>
      <c r="J100" s="21">
        <f>'P&amp;LPLN'!J99/Factors!J$11</f>
        <v>575.30370144326275</v>
      </c>
      <c r="K100" s="21">
        <f>'P&amp;LPLN'!K99/Factors!K$11</f>
        <v>574.50829834033902</v>
      </c>
      <c r="L100" s="21">
        <f>'P&amp;LPLN'!L99/Factors!L$11</f>
        <v>573.71509161679217</v>
      </c>
      <c r="M100" s="21">
        <f>'P&amp;LPLN'!M99/Factors!M$11</f>
        <v>572.9240721877361</v>
      </c>
      <c r="N100" s="21">
        <f>'P&amp;LPLN'!N99/Factors!N$11</f>
        <v>572.13523101831936</v>
      </c>
      <c r="O100" s="3">
        <f t="shared" si="36"/>
        <v>6918.1700187237566</v>
      </c>
      <c r="Q100" s="57" t="s">
        <v>158</v>
      </c>
      <c r="R100" s="21">
        <f>'P&amp;LPLN'!R99/Factors!R$11</f>
        <v>592.55167494677391</v>
      </c>
      <c r="S100" s="21">
        <f>'P&amp;LPLN'!S99/Factors!S$11</f>
        <v>590.10311430649801</v>
      </c>
      <c r="T100" s="21">
        <f>'P&amp;LPLN'!T99/Factors!T$11</f>
        <v>587.67470642869353</v>
      </c>
      <c r="U100" s="21">
        <f>'P&amp;LPLN'!U99/Factors!U$11</f>
        <v>585.26620353349404</v>
      </c>
      <c r="V100" s="21">
        <f>'P&amp;LPLN'!V99/Factors!V$11</f>
        <v>582.8773618864185</v>
      </c>
      <c r="W100" s="21">
        <f>'P&amp;LPLN'!W99/Factors!W$11</f>
        <v>580.50794171614859</v>
      </c>
      <c r="X100" s="21">
        <f>'P&amp;LPLN'!X99/Factors!X$11</f>
        <v>578.15770713430186</v>
      </c>
      <c r="Y100" s="21">
        <f>'P&amp;LPLN'!Y99/Factors!Y$11</f>
        <v>575.82642605714739</v>
      </c>
      <c r="Z100" s="21">
        <f>'P&amp;LPLN'!Z99/Factors!Z$11</f>
        <v>573.51387012920702</v>
      </c>
      <c r="AA100" s="21">
        <f>'P&amp;LPLN'!AA99/Factors!AA$11</f>
        <v>571.2198146486902</v>
      </c>
      <c r="AB100" s="21">
        <f>'P&amp;LPLN'!AB99/Factors!AB$11</f>
        <v>568.94403849471144</v>
      </c>
      <c r="AC100" s="21">
        <f>'P&amp;LPLN'!AC99/Factors!AC$11</f>
        <v>566.68632405624032</v>
      </c>
      <c r="AD100" s="21">
        <f t="shared" si="37"/>
        <v>6953.3291833383255</v>
      </c>
      <c r="AF100" s="57" t="s">
        <v>158</v>
      </c>
      <c r="AG100" s="21">
        <f>'P&amp;LPLN'!AG99/Factors!AG$11</f>
        <v>598.19502423198151</v>
      </c>
      <c r="AH100" s="21">
        <f>'P&amp;LPLN'!AH99/Factors!AH$11</f>
        <v>595.72314396656009</v>
      </c>
      <c r="AI100" s="21">
        <f>'P&amp;LPLN'!AI99/Factors!AI$11</f>
        <v>593.27160839468127</v>
      </c>
      <c r="AJ100" s="21">
        <f>'P&amp;LPLN'!AJ99/Factors!AJ$11</f>
        <v>590.84016737667025</v>
      </c>
      <c r="AK100" s="21">
        <f>'P&amp;LPLN'!AK99/Factors!AK$11</f>
        <v>588.42857485676552</v>
      </c>
      <c r="AL100" s="21">
        <f>'P&amp;LPLN'!AL99/Factors!AL$11</f>
        <v>586.03658878011197</v>
      </c>
      <c r="AM100" s="21">
        <f>'P&amp;LPLN'!AM99/Factors!AM$11</f>
        <v>583.66397101177142</v>
      </c>
      <c r="AN100" s="21">
        <f>'P&amp;LPLN'!AN99/Factors!AN$11</f>
        <v>581.31048725769165</v>
      </c>
      <c r="AO100" s="21">
        <f>'P&amp;LPLN'!AO99/Factors!AO$11</f>
        <v>578.97590698758052</v>
      </c>
      <c r="AP100" s="21">
        <f>'P&amp;LPLN'!AP99/Factors!AP$11</f>
        <v>576.6600033596302</v>
      </c>
      <c r="AQ100" s="21">
        <f>'P&amp;LPLN'!AQ99/Factors!AQ$11</f>
        <v>574.36255314704192</v>
      </c>
      <c r="AR100" s="21">
        <f>'P&amp;LPLN'!AR99/Factors!AR$11</f>
        <v>572.08333666629972</v>
      </c>
      <c r="AS100" s="21">
        <f t="shared" si="38"/>
        <v>7019.551366036786</v>
      </c>
    </row>
    <row r="101" spans="1:45" hidden="1">
      <c r="A101" s="63" t="s">
        <v>366</v>
      </c>
      <c r="B101" s="57" t="s">
        <v>649</v>
      </c>
      <c r="C101" s="21">
        <f>'P&amp;LPLN'!C100/Factors!C$11</f>
        <v>0</v>
      </c>
      <c r="D101" s="21">
        <f>'P&amp;LPLN'!D100/Factors!D$11</f>
        <v>0</v>
      </c>
      <c r="E101" s="21">
        <f>'P&amp;LPLN'!E100/Factors!E$11</f>
        <v>0</v>
      </c>
      <c r="F101" s="21">
        <f>'P&amp;LPLN'!F100/Factors!F$11</f>
        <v>0</v>
      </c>
      <c r="G101" s="21">
        <f>'P&amp;LPLN'!G100/Factors!G$11</f>
        <v>0</v>
      </c>
      <c r="H101" s="21">
        <f>'P&amp;LPLN'!H100/Factors!H$11</f>
        <v>0</v>
      </c>
      <c r="I101" s="21">
        <f>'P&amp;LPLN'!I100/Factors!I$11</f>
        <v>0</v>
      </c>
      <c r="J101" s="21">
        <f>'P&amp;LPLN'!J100/Factors!J$11</f>
        <v>0</v>
      </c>
      <c r="K101" s="21">
        <f>'P&amp;LPLN'!K100/Factors!K$11</f>
        <v>0</v>
      </c>
      <c r="L101" s="21">
        <f>'P&amp;LPLN'!L100/Factors!L$11</f>
        <v>0</v>
      </c>
      <c r="M101" s="21">
        <f>'P&amp;LPLN'!M100/Factors!M$11</f>
        <v>0</v>
      </c>
      <c r="N101" s="21">
        <f>'P&amp;LPLN'!N100/Factors!N$11</f>
        <v>0</v>
      </c>
      <c r="O101" s="3">
        <f t="shared" si="36"/>
        <v>0</v>
      </c>
      <c r="Q101" s="57" t="s">
        <v>649</v>
      </c>
      <c r="R101" s="21">
        <f>'P&amp;LPLN'!R100/Factors!R$11</f>
        <v>0</v>
      </c>
      <c r="S101" s="21">
        <f>'P&amp;LPLN'!S100/Factors!S$11</f>
        <v>0</v>
      </c>
      <c r="T101" s="21">
        <f>'P&amp;LPLN'!T100/Factors!T$11</f>
        <v>0</v>
      </c>
      <c r="U101" s="21">
        <f>'P&amp;LPLN'!U100/Factors!U$11</f>
        <v>0</v>
      </c>
      <c r="V101" s="21">
        <f>'P&amp;LPLN'!V100/Factors!V$11</f>
        <v>0</v>
      </c>
      <c r="W101" s="21">
        <f>'P&amp;LPLN'!W100/Factors!W$11</f>
        <v>0</v>
      </c>
      <c r="X101" s="21">
        <f>'P&amp;LPLN'!X100/Factors!X$11</f>
        <v>0</v>
      </c>
      <c r="Y101" s="21">
        <f>'P&amp;LPLN'!Y100/Factors!Y$11</f>
        <v>0</v>
      </c>
      <c r="Z101" s="21">
        <f>'P&amp;LPLN'!Z100/Factors!Z$11</f>
        <v>0</v>
      </c>
      <c r="AA101" s="21">
        <f>'P&amp;LPLN'!AA100/Factors!AA$11</f>
        <v>0</v>
      </c>
      <c r="AB101" s="21">
        <f>'P&amp;LPLN'!AB100/Factors!AB$11</f>
        <v>0</v>
      </c>
      <c r="AC101" s="21">
        <f>'P&amp;LPLN'!AC100/Factors!AC$11</f>
        <v>0</v>
      </c>
      <c r="AD101" s="21">
        <f t="shared" si="37"/>
        <v>0</v>
      </c>
      <c r="AF101" s="57" t="s">
        <v>649</v>
      </c>
      <c r="AG101" s="21">
        <f>'P&amp;LPLN'!AG100/Factors!AG$11</f>
        <v>0</v>
      </c>
      <c r="AH101" s="21">
        <f>'P&amp;LPLN'!AH100/Factors!AH$11</f>
        <v>0</v>
      </c>
      <c r="AI101" s="21">
        <f>'P&amp;LPLN'!AI100/Factors!AI$11</f>
        <v>0</v>
      </c>
      <c r="AJ101" s="21">
        <f>'P&amp;LPLN'!AJ100/Factors!AJ$11</f>
        <v>0</v>
      </c>
      <c r="AK101" s="21">
        <f>'P&amp;LPLN'!AK100/Factors!AK$11</f>
        <v>0</v>
      </c>
      <c r="AL101" s="21">
        <f>'P&amp;LPLN'!AL100/Factors!AL$11</f>
        <v>0</v>
      </c>
      <c r="AM101" s="21">
        <f>'P&amp;LPLN'!AM100/Factors!AM$11</f>
        <v>0</v>
      </c>
      <c r="AN101" s="21">
        <f>'P&amp;LPLN'!AN100/Factors!AN$11</f>
        <v>0</v>
      </c>
      <c r="AO101" s="21">
        <f>'P&amp;LPLN'!AO100/Factors!AO$11</f>
        <v>0</v>
      </c>
      <c r="AP101" s="21">
        <f>'P&amp;LPLN'!AP100/Factors!AP$11</f>
        <v>0</v>
      </c>
      <c r="AQ101" s="21">
        <f>'P&amp;LPLN'!AQ100/Factors!AQ$11</f>
        <v>0</v>
      </c>
      <c r="AR101" s="21">
        <f>'P&amp;LPLN'!AR100/Factors!AR$11</f>
        <v>0</v>
      </c>
      <c r="AS101" s="21">
        <f t="shared" si="38"/>
        <v>0</v>
      </c>
    </row>
    <row r="102" spans="1:45">
      <c r="A102" s="63" t="s">
        <v>368</v>
      </c>
      <c r="B102" s="57" t="s">
        <v>634</v>
      </c>
      <c r="C102" s="21">
        <f>'P&amp;LPLN'!C101/Factors!C$11</f>
        <v>2521.2526728415373</v>
      </c>
      <c r="D102" s="21">
        <f>'P&amp;LPLN'!D101/Factors!D$11</f>
        <v>2517.732774814036</v>
      </c>
      <c r="E102" s="21">
        <f>'P&amp;LPLN'!E101/Factors!E$11</f>
        <v>2514.2226912801389</v>
      </c>
      <c r="F102" s="21">
        <f>'P&amp;LPLN'!F101/Factors!F$11</f>
        <v>2510.7223812485236</v>
      </c>
      <c r="G102" s="21">
        <f>'P&amp;LPLN'!G101/Factors!G$11</f>
        <v>2507.231803955824</v>
      </c>
      <c r="H102" s="21">
        <f>'P&amp;LPLN'!H101/Factors!H$11</f>
        <v>2503.7509188650483</v>
      </c>
      <c r="I102" s="21">
        <f>'P&amp;LPLN'!I101/Factors!I$11</f>
        <v>2500.2796856640075</v>
      </c>
      <c r="J102" s="21">
        <f>'P&amp;LPLN'!J101/Factors!J$11</f>
        <v>2496.8180642637603</v>
      </c>
      <c r="K102" s="21">
        <f>'P&amp;LPLN'!K101/Factors!K$11</f>
        <v>2493.3660147970713</v>
      </c>
      <c r="L102" s="21">
        <f>'P&amp;LPLN'!L101/Factors!L$11</f>
        <v>2489.9234976168777</v>
      </c>
      <c r="M102" s="21">
        <f>'P&amp;LPLN'!M101/Factors!M$11</f>
        <v>2486.4904732947743</v>
      </c>
      <c r="N102" s="21">
        <f>'P&amp;LPLN'!N101/Factors!N$11</f>
        <v>2483.066902619506</v>
      </c>
      <c r="O102" s="3">
        <f t="shared" si="36"/>
        <v>30024.857881261105</v>
      </c>
      <c r="Q102" s="57" t="s">
        <v>634</v>
      </c>
      <c r="R102" s="21">
        <f>'P&amp;LPLN'!R101/Factors!R$11</f>
        <v>2571.6742692689991</v>
      </c>
      <c r="S102" s="21">
        <f>'P&amp;LPLN'!S101/Factors!S$11</f>
        <v>2561.0475160902015</v>
      </c>
      <c r="T102" s="21">
        <f>'P&amp;LPLN'!T101/Factors!T$11</f>
        <v>2550.5082259005299</v>
      </c>
      <c r="U102" s="21">
        <f>'P&amp;LPLN'!U101/Factors!U$11</f>
        <v>2540.0553233353639</v>
      </c>
      <c r="V102" s="21">
        <f>'P&amp;LPLN'!V101/Factors!V$11</f>
        <v>2529.6877505870566</v>
      </c>
      <c r="W102" s="21">
        <f>'P&amp;LPLN'!W101/Factors!W$11</f>
        <v>2519.4044670480848</v>
      </c>
      <c r="X102" s="21">
        <f>'P&amp;LPLN'!X101/Factors!X$11</f>
        <v>2509.2044489628697</v>
      </c>
      <c r="Y102" s="21">
        <f>'P&amp;LPLN'!Y101/Factors!Y$11</f>
        <v>2499.0866890880197</v>
      </c>
      <c r="Z102" s="21">
        <f>'P&amp;LPLN'!Z101/Factors!Z$11</f>
        <v>2489.0501963607585</v>
      </c>
      <c r="AA102" s="21">
        <f>'P&amp;LPLN'!AA101/Factors!AA$11</f>
        <v>2479.0939955753156</v>
      </c>
      <c r="AB102" s="21">
        <f>'P&amp;LPLN'!AB101/Factors!AB$11</f>
        <v>2469.2171270670474</v>
      </c>
      <c r="AC102" s="21">
        <f>'P&amp;LPLN'!AC101/Factors!AC$11</f>
        <v>2459.4186464040831</v>
      </c>
      <c r="AD102" s="21">
        <f t="shared" si="37"/>
        <v>30177.448655688335</v>
      </c>
      <c r="AF102" s="57" t="s">
        <v>634</v>
      </c>
      <c r="AG102" s="21">
        <f>'P&amp;LPLN'!AG101/Factors!AG$11</f>
        <v>2596.1664051667999</v>
      </c>
      <c r="AH102" s="21">
        <f>'P&amp;LPLN'!AH101/Factors!AH$11</f>
        <v>2585.4384448148712</v>
      </c>
      <c r="AI102" s="21">
        <f>'P&amp;LPLN'!AI101/Factors!AI$11</f>
        <v>2574.7987804329168</v>
      </c>
      <c r="AJ102" s="21">
        <f>'P&amp;LPLN'!AJ101/Factors!AJ$11</f>
        <v>2564.2463264147491</v>
      </c>
      <c r="AK102" s="21">
        <f>'P&amp;LPLN'!AK101/Factors!AK$11</f>
        <v>2553.7800148783622</v>
      </c>
      <c r="AL102" s="21">
        <f>'P&amp;LPLN'!AL101/Factors!AL$11</f>
        <v>2543.3987953056862</v>
      </c>
      <c r="AM102" s="21">
        <f>'P&amp;LPLN'!AM101/Factors!AM$11</f>
        <v>2533.1016341910881</v>
      </c>
      <c r="AN102" s="21">
        <f>'P&amp;LPLN'!AN101/Factors!AN$11</f>
        <v>2522.8875146983819</v>
      </c>
      <c r="AO102" s="21">
        <f>'P&amp;LPLN'!AO101/Factors!AO$11</f>
        <v>2512.7554363260992</v>
      </c>
      <c r="AP102" s="21">
        <f>'P&amp;LPLN'!AP101/Factors!AP$11</f>
        <v>2502.7044145807949</v>
      </c>
      <c r="AQ102" s="21">
        <f>'P&amp;LPLN'!AQ101/Factors!AQ$11</f>
        <v>2492.7334806581625</v>
      </c>
      <c r="AR102" s="21">
        <f>'P&amp;LPLN'!AR101/Factors!AR$11</f>
        <v>2482.8416811317411</v>
      </c>
      <c r="AS102" s="21">
        <f t="shared" si="38"/>
        <v>30464.852928599656</v>
      </c>
    </row>
    <row r="103" spans="1:45">
      <c r="A103" s="63" t="s">
        <v>370</v>
      </c>
      <c r="B103" s="57" t="s">
        <v>635</v>
      </c>
      <c r="C103" s="21">
        <f>'P&amp;LPLN'!C102/Factors!C$11</f>
        <v>220.75484232253092</v>
      </c>
      <c r="D103" s="21">
        <f>'P&amp;LPLN'!D102/Factors!D$11</f>
        <v>220.44664848602162</v>
      </c>
      <c r="E103" s="21">
        <f>'P&amp;LPLN'!E102/Factors!E$11</f>
        <v>220.13931398305363</v>
      </c>
      <c r="F103" s="21">
        <f>'P&amp;LPLN'!F102/Factors!F$11</f>
        <v>219.8328352245251</v>
      </c>
      <c r="G103" s="21">
        <f>'P&amp;LPLN'!G102/Factors!G$11</f>
        <v>219.52720864129336</v>
      </c>
      <c r="H103" s="21">
        <f>'P&amp;LPLN'!H102/Factors!H$11</f>
        <v>219.22243068403651</v>
      </c>
      <c r="I103" s="21">
        <f>'P&amp;LPLN'!I102/Factors!I$11</f>
        <v>218.91849782311584</v>
      </c>
      <c r="J103" s="21">
        <f>'P&amp;LPLN'!J102/Factors!J$11</f>
        <v>218.61540654843986</v>
      </c>
      <c r="K103" s="21">
        <f>'P&amp;LPLN'!K102/Factors!K$11</f>
        <v>218.31315336932883</v>
      </c>
      <c r="L103" s="21">
        <f>'P&amp;LPLN'!L102/Factors!L$11</f>
        <v>218.01173481438101</v>
      </c>
      <c r="M103" s="21">
        <f>'P&amp;LPLN'!M102/Factors!M$11</f>
        <v>217.7111474313397</v>
      </c>
      <c r="N103" s="21">
        <f>'P&amp;LPLN'!N102/Factors!N$11</f>
        <v>217.41138778696137</v>
      </c>
      <c r="O103" s="3">
        <f t="shared" si="36"/>
        <v>2628.9046071150274</v>
      </c>
      <c r="Q103" s="57" t="s">
        <v>635</v>
      </c>
      <c r="R103" s="21">
        <f>'P&amp;LPLN'!R102/Factors!R$11</f>
        <v>225.16963647977411</v>
      </c>
      <c r="S103" s="21">
        <f>'P&amp;LPLN'!S102/Factors!S$11</f>
        <v>224.23918343646926</v>
      </c>
      <c r="T103" s="21">
        <f>'P&amp;LPLN'!T102/Factors!T$11</f>
        <v>223.31638844290356</v>
      </c>
      <c r="U103" s="21">
        <f>'P&amp;LPLN'!U102/Factors!U$11</f>
        <v>222.40115734272771</v>
      </c>
      <c r="V103" s="21">
        <f>'P&amp;LPLN'!V102/Factors!V$11</f>
        <v>221.49339751683905</v>
      </c>
      <c r="W103" s="21">
        <f>'P&amp;LPLN'!W102/Factors!W$11</f>
        <v>220.59301785213646</v>
      </c>
      <c r="X103" s="21">
        <f>'P&amp;LPLN'!X102/Factors!X$11</f>
        <v>219.69992871103469</v>
      </c>
      <c r="Y103" s="21">
        <f>'P&amp;LPLN'!Y102/Factors!Y$11</f>
        <v>218.81404190171602</v>
      </c>
      <c r="Z103" s="21">
        <f>'P&amp;LPLN'!Z102/Factors!Z$11</f>
        <v>217.9352706490987</v>
      </c>
      <c r="AA103" s="21">
        <f>'P&amp;LPLN'!AA102/Factors!AA$11</f>
        <v>217.0635295665023</v>
      </c>
      <c r="AB103" s="21">
        <f>'P&amp;LPLN'!AB102/Factors!AB$11</f>
        <v>216.19873462799035</v>
      </c>
      <c r="AC103" s="21">
        <f>'P&amp;LPLN'!AC102/Factors!AC$11</f>
        <v>215.34080314137134</v>
      </c>
      <c r="AD103" s="21">
        <f t="shared" si="37"/>
        <v>2642.2650896685636</v>
      </c>
      <c r="AF103" s="57" t="s">
        <v>635</v>
      </c>
      <c r="AG103" s="21">
        <f>'P&amp;LPLN'!AG102/Factors!AG$11</f>
        <v>227.31410920815298</v>
      </c>
      <c r="AH103" s="21">
        <f>'P&amp;LPLN'!AH102/Factors!AH$11</f>
        <v>226.37479470729284</v>
      </c>
      <c r="AI103" s="21">
        <f>'P&amp;LPLN'!AI102/Factors!AI$11</f>
        <v>225.44321118997888</v>
      </c>
      <c r="AJ103" s="21">
        <f>'P&amp;LPLN'!AJ102/Factors!AJ$11</f>
        <v>224.5192636031347</v>
      </c>
      <c r="AK103" s="21">
        <f>'P&amp;LPLN'!AK102/Factors!AK$11</f>
        <v>223.60285844557089</v>
      </c>
      <c r="AL103" s="21">
        <f>'P&amp;LPLN'!AL102/Factors!AL$11</f>
        <v>222.69390373644254</v>
      </c>
      <c r="AM103" s="21">
        <f>'P&amp;LPLN'!AM102/Factors!AM$11</f>
        <v>221.79230898447312</v>
      </c>
      <c r="AN103" s="21">
        <f>'P&amp;LPLN'!AN102/Factors!AN$11</f>
        <v>220.89798515792285</v>
      </c>
      <c r="AO103" s="21">
        <f>'P&amp;LPLN'!AO102/Factors!AO$11</f>
        <v>220.01084465528058</v>
      </c>
      <c r="AP103" s="21">
        <f>'P&amp;LPLN'!AP102/Factors!AP$11</f>
        <v>219.13080127665944</v>
      </c>
      <c r="AQ103" s="21">
        <f>'P&amp;LPLN'!AQ102/Factors!AQ$11</f>
        <v>218.25777019587593</v>
      </c>
      <c r="AR103" s="21">
        <f>'P&amp;LPLN'!AR102/Factors!AR$11</f>
        <v>217.3916679331939</v>
      </c>
      <c r="AS103" s="21">
        <f t="shared" si="38"/>
        <v>2667.4295190939783</v>
      </c>
    </row>
    <row r="104" spans="1:45">
      <c r="A104" s="63" t="s">
        <v>372</v>
      </c>
      <c r="B104" s="57" t="s">
        <v>636</v>
      </c>
      <c r="C104" s="21">
        <f>'P&amp;LPLN'!C103/Factors!C$11</f>
        <v>372.26237621125745</v>
      </c>
      <c r="D104" s="21">
        <f>'P&amp;LPLN'!D103/Factors!D$11</f>
        <v>371.74266407853327</v>
      </c>
      <c r="E104" s="21">
        <f>'P&amp;LPLN'!E103/Factors!E$11</f>
        <v>371.22440105352831</v>
      </c>
      <c r="F104" s="21">
        <f>'P&amp;LPLN'!F103/Factors!F$11</f>
        <v>370.70758108388338</v>
      </c>
      <c r="G104" s="21">
        <f>'P&amp;LPLN'!G103/Factors!G$11</f>
        <v>370.19219815089679</v>
      </c>
      <c r="H104" s="21">
        <f>'P&amp;LPLN'!H103/Factors!H$11</f>
        <v>369.67824626929104</v>
      </c>
      <c r="I104" s="21">
        <f>'P&amp;LPLN'!I103/Factors!I$11</f>
        <v>369.16571948698061</v>
      </c>
      <c r="J104" s="21">
        <f>'P&amp;LPLN'!J103/Factors!J$11</f>
        <v>368.65461188484278</v>
      </c>
      <c r="K104" s="21">
        <f>'P&amp;LPLN'!K103/Factors!K$11</f>
        <v>368.14491757648921</v>
      </c>
      <c r="L104" s="21">
        <f>'P&amp;LPLN'!L103/Factors!L$11</f>
        <v>367.6366307080404</v>
      </c>
      <c r="M104" s="21">
        <f>'P&amp;LPLN'!M103/Factors!M$11</f>
        <v>367.12974545790127</v>
      </c>
      <c r="N104" s="21">
        <f>'P&amp;LPLN'!N103/Factors!N$11</f>
        <v>366.62425603653907</v>
      </c>
      <c r="O104" s="3">
        <f t="shared" si="36"/>
        <v>4433.1633479981829</v>
      </c>
      <c r="Q104" s="57" t="s">
        <v>636</v>
      </c>
      <c r="R104" s="21">
        <f>'P&amp;LPLN'!R103/Factors!R$11</f>
        <v>379.70711330589279</v>
      </c>
      <c r="S104" s="21">
        <f>'P&amp;LPLN'!S103/Factors!S$11</f>
        <v>378.13807564760401</v>
      </c>
      <c r="T104" s="21">
        <f>'P&amp;LPLN'!T103/Factors!T$11</f>
        <v>376.58195187950685</v>
      </c>
      <c r="U104" s="21">
        <f>'P&amp;LPLN'!U103/Factors!U$11</f>
        <v>375.03858322426299</v>
      </c>
      <c r="V104" s="21">
        <f>'P&amp;LPLN'!V103/Factors!V$11</f>
        <v>373.50781349681705</v>
      </c>
      <c r="W104" s="21">
        <f>'P&amp;LPLN'!W103/Factors!W$11</f>
        <v>371.98948905170806</v>
      </c>
      <c r="X104" s="21">
        <f>'P&amp;LPLN'!X103/Factors!X$11</f>
        <v>370.48345873166062</v>
      </c>
      <c r="Y104" s="21">
        <f>'P&amp;LPLN'!Y103/Factors!Y$11</f>
        <v>368.98957381742008</v>
      </c>
      <c r="Z104" s="21">
        <f>'P&amp;LPLN'!Z103/Factors!Z$11</f>
        <v>367.5076879787959</v>
      </c>
      <c r="AA104" s="21">
        <f>'P&amp;LPLN'!AA103/Factors!AA$11</f>
        <v>366.03765722688075</v>
      </c>
      <c r="AB104" s="21">
        <f>'P&amp;LPLN'!AB103/Factors!AB$11</f>
        <v>364.57933986741114</v>
      </c>
      <c r="AC104" s="21">
        <f>'P&amp;LPLN'!AC103/Factors!AC$11</f>
        <v>363.13259645523885</v>
      </c>
      <c r="AD104" s="21">
        <f t="shared" si="37"/>
        <v>4455.6933406831986</v>
      </c>
      <c r="AF104" s="57" t="s">
        <v>636</v>
      </c>
      <c r="AG104" s="21">
        <f>'P&amp;LPLN'!AG103/Factors!AG$11</f>
        <v>383.32337152785385</v>
      </c>
      <c r="AH104" s="21">
        <f>'P&amp;LPLN'!AH103/Factors!AH$11</f>
        <v>381.73939065377181</v>
      </c>
      <c r="AI104" s="21">
        <f>'P&amp;LPLN'!AI103/Factors!AI$11</f>
        <v>380.16844665931183</v>
      </c>
      <c r="AJ104" s="21">
        <f>'P&amp;LPLN'!AJ103/Factors!AJ$11</f>
        <v>378.61037925497038</v>
      </c>
      <c r="AK104" s="21">
        <f>'P&amp;LPLN'!AK103/Factors!AK$11</f>
        <v>377.06503076821537</v>
      </c>
      <c r="AL104" s="21">
        <f>'P&amp;LPLN'!AL103/Factors!AL$11</f>
        <v>375.53224609029581</v>
      </c>
      <c r="AM104" s="21">
        <f>'P&amp;LPLN'!AM103/Factors!AM$11</f>
        <v>374.0118726243432</v>
      </c>
      <c r="AN104" s="21">
        <f>'P&amp;LPLN'!AN103/Factors!AN$11</f>
        <v>372.50376023472893</v>
      </c>
      <c r="AO104" s="21">
        <f>'P&amp;LPLN'!AO103/Factors!AO$11</f>
        <v>371.00776119764163</v>
      </c>
      <c r="AP104" s="21">
        <f>'P&amp;LPLN'!AP103/Factors!AP$11</f>
        <v>369.52373015285104</v>
      </c>
      <c r="AQ104" s="21">
        <f>'P&amp;LPLN'!AQ103/Factors!AQ$11</f>
        <v>368.05152405662454</v>
      </c>
      <c r="AR104" s="21">
        <f>'P&amp;LPLN'!AR103/Factors!AR$11</f>
        <v>366.59100213576494</v>
      </c>
      <c r="AS104" s="21">
        <f t="shared" si="38"/>
        <v>4498.1285153563731</v>
      </c>
    </row>
    <row r="105" spans="1:45">
      <c r="A105" s="63" t="s">
        <v>374</v>
      </c>
      <c r="B105" s="57" t="s">
        <v>637</v>
      </c>
      <c r="C105" s="21">
        <f>'P&amp;LPLN'!C104/Factors!C$11</f>
        <v>255.6108700576674</v>
      </c>
      <c r="D105" s="21">
        <f>'P&amp;LPLN'!D104/Factors!D$11</f>
        <v>255.25401403644605</v>
      </c>
      <c r="E105" s="21">
        <f>'P&amp;LPLN'!E104/Factors!E$11</f>
        <v>254.89815303300946</v>
      </c>
      <c r="F105" s="21">
        <f>'P&amp;LPLN'!F104/Factors!F$11</f>
        <v>254.54328289155538</v>
      </c>
      <c r="G105" s="21">
        <f>'P&amp;LPLN'!G104/Factors!G$11</f>
        <v>254.18939947939231</v>
      </c>
      <c r="H105" s="21">
        <f>'P&amp;LPLN'!H104/Factors!H$11</f>
        <v>253.83649868677909</v>
      </c>
      <c r="I105" s="21">
        <f>'P&amp;LPLN'!I104/Factors!I$11</f>
        <v>253.48457642676573</v>
      </c>
      <c r="J105" s="21">
        <f>'P&amp;LPLN'!J104/Factors!J$11</f>
        <v>253.13362863503562</v>
      </c>
      <c r="K105" s="21">
        <f>'P&amp;LPLN'!K104/Factors!K$11</f>
        <v>252.78365126974916</v>
      </c>
      <c r="L105" s="21">
        <f>'P&amp;LPLN'!L104/Factors!L$11</f>
        <v>252.43464031138853</v>
      </c>
      <c r="M105" s="21">
        <f>'P&amp;LPLN'!M104/Factors!M$11</f>
        <v>252.08659176260386</v>
      </c>
      <c r="N105" s="21">
        <f>'P&amp;LPLN'!N104/Factors!N$11</f>
        <v>251.73950164806052</v>
      </c>
      <c r="O105" s="3">
        <f t="shared" si="36"/>
        <v>3043.9948082384531</v>
      </c>
      <c r="Q105" s="57" t="s">
        <v>637</v>
      </c>
      <c r="R105" s="21">
        <f>'P&amp;LPLN'!R104/Factors!R$11</f>
        <v>260.72273697658056</v>
      </c>
      <c r="S105" s="21">
        <f>'P&amp;LPLN'!S104/Factors!S$11</f>
        <v>259.64537029485916</v>
      </c>
      <c r="T105" s="21">
        <f>'P&amp;LPLN'!T104/Factors!T$11</f>
        <v>258.57687082862515</v>
      </c>
      <c r="U105" s="21">
        <f>'P&amp;LPLN'!U104/Factors!U$11</f>
        <v>257.51712955473738</v>
      </c>
      <c r="V105" s="21">
        <f>'P&amp;LPLN'!V104/Factors!V$11</f>
        <v>256.46603923002414</v>
      </c>
      <c r="W105" s="21">
        <f>'P&amp;LPLN'!W104/Factors!W$11</f>
        <v>255.42349435510536</v>
      </c>
      <c r="X105" s="21">
        <f>'P&amp;LPLN'!X104/Factors!X$11</f>
        <v>254.38939113909279</v>
      </c>
      <c r="Y105" s="21">
        <f>'P&amp;LPLN'!Y104/Factors!Y$11</f>
        <v>253.36362746514484</v>
      </c>
      <c r="Z105" s="21">
        <f>'P&amp;LPLN'!Z104/Factors!Z$11</f>
        <v>252.3461028568511</v>
      </c>
      <c r="AA105" s="21">
        <f>'P&amp;LPLN'!AA104/Factors!AA$11</f>
        <v>251.33671844542371</v>
      </c>
      <c r="AB105" s="21">
        <f>'P&amp;LPLN'!AB104/Factors!AB$11</f>
        <v>250.33537693767303</v>
      </c>
      <c r="AC105" s="21">
        <f>'P&amp;LPLN'!AC104/Factors!AC$11</f>
        <v>249.34198258474575</v>
      </c>
      <c r="AD105" s="21">
        <f t="shared" si="37"/>
        <v>3059.4648406688634</v>
      </c>
      <c r="AF105" s="57" t="s">
        <v>637</v>
      </c>
      <c r="AG105" s="21">
        <f>'P&amp;LPLN'!AG104/Factors!AG$11</f>
        <v>263.20581066207188</v>
      </c>
      <c r="AH105" s="21">
        <f>'P&amp;LPLN'!AH104/Factors!AH$11</f>
        <v>262.11818334528647</v>
      </c>
      <c r="AI105" s="21">
        <f>'P&amp;LPLN'!AI104/Factors!AI$11</f>
        <v>261.0395076936598</v>
      </c>
      <c r="AJ105" s="21">
        <f>'P&amp;LPLN'!AJ104/Factors!AJ$11</f>
        <v>259.96967364573493</v>
      </c>
      <c r="AK105" s="21">
        <f>'P&amp;LPLN'!AK104/Factors!AK$11</f>
        <v>258.90857293697684</v>
      </c>
      <c r="AL105" s="21">
        <f>'P&amp;LPLN'!AL104/Factors!AL$11</f>
        <v>257.8560990632493</v>
      </c>
      <c r="AM105" s="21">
        <f>'P&amp;LPLN'!AM104/Factors!AM$11</f>
        <v>256.81214724517946</v>
      </c>
      <c r="AN105" s="21">
        <f>'P&amp;LPLN'!AN104/Factors!AN$11</f>
        <v>255.77661439338436</v>
      </c>
      <c r="AO105" s="21">
        <f>'P&amp;LPLN'!AO104/Factors!AO$11</f>
        <v>254.74939907453543</v>
      </c>
      <c r="AP105" s="21">
        <f>'P&amp;LPLN'!AP104/Factors!AP$11</f>
        <v>253.73040147823727</v>
      </c>
      <c r="AQ105" s="21">
        <f>'P&amp;LPLN'!AQ104/Factors!AQ$11</f>
        <v>252.71952338469848</v>
      </c>
      <c r="AR105" s="21">
        <f>'P&amp;LPLN'!AR104/Factors!AR$11</f>
        <v>251.71666813317191</v>
      </c>
      <c r="AS105" s="21">
        <f t="shared" si="38"/>
        <v>3088.6026010561859</v>
      </c>
    </row>
    <row r="106" spans="1:45">
      <c r="A106" s="63" t="s">
        <v>376</v>
      </c>
      <c r="B106" s="57" t="s">
        <v>638</v>
      </c>
      <c r="C106" s="21">
        <f>'P&amp;LPLN'!C105/Factors!C$11</f>
        <v>4.6474703646848621</v>
      </c>
      <c r="D106" s="21">
        <f>'P&amp;LPLN'!D105/Factors!D$11</f>
        <v>4.6409820733899281</v>
      </c>
      <c r="E106" s="21">
        <f>'P&amp;LPLN'!E105/Factors!E$11</f>
        <v>4.6345118733274449</v>
      </c>
      <c r="F106" s="21">
        <f>'P&amp;LPLN'!F105/Factors!F$11</f>
        <v>4.6280596889373706</v>
      </c>
      <c r="G106" s="21">
        <f>'P&amp;LPLN'!G105/Factors!G$11</f>
        <v>4.62162544507986</v>
      </c>
      <c r="H106" s="21">
        <f>'P&amp;LPLN'!H105/Factors!H$11</f>
        <v>4.6152090670323478</v>
      </c>
      <c r="I106" s="21">
        <f>'P&amp;LPLN'!I105/Factors!I$11</f>
        <v>4.6088104804866497</v>
      </c>
      <c r="J106" s="21">
        <f>'P&amp;LPLN'!J105/Factors!J$11</f>
        <v>4.6024296115461025</v>
      </c>
      <c r="K106" s="21">
        <f>'P&amp;LPLN'!K105/Factors!K$11</f>
        <v>4.5960663867227121</v>
      </c>
      <c r="L106" s="21">
        <f>'P&amp;LPLN'!L105/Factors!L$11</f>
        <v>4.589720732934337</v>
      </c>
      <c r="M106" s="21">
        <f>'P&amp;LPLN'!M105/Factors!M$11</f>
        <v>4.5833925775018889</v>
      </c>
      <c r="N106" s="21">
        <f>'P&amp;LPLN'!N105/Factors!N$11</f>
        <v>4.5770818481465554</v>
      </c>
      <c r="O106" s="3">
        <f t="shared" si="36"/>
        <v>55.345360149790054</v>
      </c>
      <c r="Q106" s="57" t="s">
        <v>638</v>
      </c>
      <c r="R106" s="21">
        <f>'P&amp;LPLN'!R105/Factors!R$11</f>
        <v>4.7404133995741917</v>
      </c>
      <c r="S106" s="21">
        <f>'P&amp;LPLN'!S105/Factors!S$11</f>
        <v>4.7208249144519847</v>
      </c>
      <c r="T106" s="21">
        <f>'P&amp;LPLN'!T105/Factors!T$11</f>
        <v>4.7013976514295486</v>
      </c>
      <c r="U106" s="21">
        <f>'P&amp;LPLN'!U105/Factors!U$11</f>
        <v>4.6821296282679521</v>
      </c>
      <c r="V106" s="21">
        <f>'P&amp;LPLN'!V105/Factors!V$11</f>
        <v>4.6630188950913487</v>
      </c>
      <c r="W106" s="21">
        <f>'P&amp;LPLN'!W105/Factors!W$11</f>
        <v>4.6440635337291889</v>
      </c>
      <c r="X106" s="21">
        <f>'P&amp;LPLN'!X105/Factors!X$11</f>
        <v>4.6252616570744145</v>
      </c>
      <c r="Y106" s="21">
        <f>'P&amp;LPLN'!Y105/Factors!Y$11</f>
        <v>4.6066114084571792</v>
      </c>
      <c r="Z106" s="21">
        <f>'P&amp;LPLN'!Z105/Factors!Z$11</f>
        <v>4.5881109610336566</v>
      </c>
      <c r="AA106" s="21">
        <f>'P&amp;LPLN'!AA105/Factors!AA$11</f>
        <v>4.5697585171895225</v>
      </c>
      <c r="AB106" s="21">
        <f>'P&amp;LPLN'!AB105/Factors!AB$11</f>
        <v>4.5515523079576914</v>
      </c>
      <c r="AC106" s="21">
        <f>'P&amp;LPLN'!AC105/Factors!AC$11</f>
        <v>4.5334905924499234</v>
      </c>
      <c r="AD106" s="21">
        <f t="shared" si="37"/>
        <v>55.626633466706593</v>
      </c>
      <c r="AF106" s="57" t="s">
        <v>638</v>
      </c>
      <c r="AG106" s="21">
        <f>'P&amp;LPLN'!AG105/Factors!AG$11</f>
        <v>4.7855601938558525</v>
      </c>
      <c r="AH106" s="21">
        <f>'P&amp;LPLN'!AH105/Factors!AH$11</f>
        <v>4.765785151732481</v>
      </c>
      <c r="AI106" s="21">
        <f>'P&amp;LPLN'!AI105/Factors!AI$11</f>
        <v>4.7461728671574503</v>
      </c>
      <c r="AJ106" s="21">
        <f>'P&amp;LPLN'!AJ105/Factors!AJ$11</f>
        <v>4.7267213390133627</v>
      </c>
      <c r="AK106" s="21">
        <f>'P&amp;LPLN'!AK105/Factors!AK$11</f>
        <v>4.7074285988541238</v>
      </c>
      <c r="AL106" s="21">
        <f>'P&amp;LPLN'!AL105/Factors!AL$11</f>
        <v>4.688292710240896</v>
      </c>
      <c r="AM106" s="21">
        <f>'P&amp;LPLN'!AM105/Factors!AM$11</f>
        <v>4.6693117680941718</v>
      </c>
      <c r="AN106" s="21">
        <f>'P&amp;LPLN'!AN105/Factors!AN$11</f>
        <v>4.6504838980615339</v>
      </c>
      <c r="AO106" s="21">
        <f>'P&amp;LPLN'!AO105/Factors!AO$11</f>
        <v>4.631807255900644</v>
      </c>
      <c r="AP106" s="21">
        <f>'P&amp;LPLN'!AP105/Factors!AP$11</f>
        <v>4.6132800268770415</v>
      </c>
      <c r="AQ106" s="21">
        <f>'P&amp;LPLN'!AQ105/Factors!AQ$11</f>
        <v>4.5949004251763359</v>
      </c>
      <c r="AR106" s="21">
        <f>'P&amp;LPLN'!AR105/Factors!AR$11</f>
        <v>4.5766666933303979</v>
      </c>
      <c r="AS106" s="21">
        <f t="shared" si="38"/>
        <v>56.156410928294292</v>
      </c>
    </row>
    <row r="107" spans="1:45">
      <c r="A107" s="63" t="s">
        <v>378</v>
      </c>
      <c r="B107" s="57" t="s">
        <v>641</v>
      </c>
      <c r="C107" s="21">
        <f>'P&amp;LPLN'!C106/Factors!C$11</f>
        <v>23.237351823424309</v>
      </c>
      <c r="D107" s="21">
        <f>'P&amp;LPLN'!D106/Factors!D$11</f>
        <v>23.204910366949644</v>
      </c>
      <c r="E107" s="21">
        <f>'P&amp;LPLN'!E106/Factors!E$11</f>
        <v>23.172559366637223</v>
      </c>
      <c r="F107" s="21">
        <f>'P&amp;LPLN'!F106/Factors!F$11</f>
        <v>23.140298444686852</v>
      </c>
      <c r="G107" s="21">
        <f>'P&amp;LPLN'!G106/Factors!G$11</f>
        <v>23.108127225399301</v>
      </c>
      <c r="H107" s="21">
        <f>'P&amp;LPLN'!H106/Factors!H$11</f>
        <v>23.076045335161737</v>
      </c>
      <c r="I107" s="21">
        <f>'P&amp;LPLN'!I106/Factors!I$11</f>
        <v>23.044052402433248</v>
      </c>
      <c r="J107" s="21">
        <f>'P&amp;LPLN'!J106/Factors!J$11</f>
        <v>23.01214805773051</v>
      </c>
      <c r="K107" s="21">
        <f>'P&amp;LPLN'!K106/Factors!K$11</f>
        <v>22.980331933613559</v>
      </c>
      <c r="L107" s="21">
        <f>'P&amp;LPLN'!L106/Factors!L$11</f>
        <v>22.948603664671687</v>
      </c>
      <c r="M107" s="21">
        <f>'P&amp;LPLN'!M106/Factors!M$11</f>
        <v>22.916962887509442</v>
      </c>
      <c r="N107" s="21">
        <f>'P&amp;LPLN'!N106/Factors!N$11</f>
        <v>22.885409240732777</v>
      </c>
      <c r="O107" s="3">
        <f t="shared" si="36"/>
        <v>276.72680074895027</v>
      </c>
      <c r="Q107" s="57" t="s">
        <v>641</v>
      </c>
      <c r="R107" s="21">
        <f>'P&amp;LPLN'!R106/Factors!R$11</f>
        <v>23.702066997870958</v>
      </c>
      <c r="S107" s="21">
        <f>'P&amp;LPLN'!S106/Factors!S$11</f>
        <v>23.604124572259924</v>
      </c>
      <c r="T107" s="21">
        <f>'P&amp;LPLN'!T106/Factors!T$11</f>
        <v>23.506988257147743</v>
      </c>
      <c r="U107" s="21">
        <f>'P&amp;LPLN'!U106/Factors!U$11</f>
        <v>23.41064814133976</v>
      </c>
      <c r="V107" s="21">
        <f>'P&amp;LPLN'!V106/Factors!V$11</f>
        <v>23.315094475456743</v>
      </c>
      <c r="W107" s="21">
        <f>'P&amp;LPLN'!W106/Factors!W$11</f>
        <v>23.220317668645944</v>
      </c>
      <c r="X107" s="21">
        <f>'P&amp;LPLN'!X106/Factors!X$11</f>
        <v>23.126308285372073</v>
      </c>
      <c r="Y107" s="21">
        <f>'P&amp;LPLN'!Y106/Factors!Y$11</f>
        <v>23.033057042285897</v>
      </c>
      <c r="Z107" s="21">
        <f>'P&amp;LPLN'!Z106/Factors!Z$11</f>
        <v>22.940554805168283</v>
      </c>
      <c r="AA107" s="21">
        <f>'P&amp;LPLN'!AA106/Factors!AA$11</f>
        <v>22.84879258594761</v>
      </c>
      <c r="AB107" s="21">
        <f>'P&amp;LPLN'!AB106/Factors!AB$11</f>
        <v>22.757761539788458</v>
      </c>
      <c r="AC107" s="21">
        <f>'P&amp;LPLN'!AC106/Factors!AC$11</f>
        <v>22.667452962249616</v>
      </c>
      <c r="AD107" s="21">
        <f t="shared" si="37"/>
        <v>278.13316733353298</v>
      </c>
      <c r="AF107" s="57" t="s">
        <v>641</v>
      </c>
      <c r="AG107" s="21">
        <f>'P&amp;LPLN'!AG106/Factors!AG$11</f>
        <v>23.927800969279264</v>
      </c>
      <c r="AH107" s="21">
        <f>'P&amp;LPLN'!AH106/Factors!AH$11</f>
        <v>23.828925758662407</v>
      </c>
      <c r="AI107" s="21">
        <f>'P&amp;LPLN'!AI106/Factors!AI$11</f>
        <v>23.730864335787253</v>
      </c>
      <c r="AJ107" s="21">
        <f>'P&amp;LPLN'!AJ106/Factors!AJ$11</f>
        <v>23.633606695066813</v>
      </c>
      <c r="AK107" s="21">
        <f>'P&amp;LPLN'!AK106/Factors!AK$11</f>
        <v>23.537142994270621</v>
      </c>
      <c r="AL107" s="21">
        <f>'P&amp;LPLN'!AL106/Factors!AL$11</f>
        <v>23.441463551204482</v>
      </c>
      <c r="AM107" s="21">
        <f>'P&amp;LPLN'!AM106/Factors!AM$11</f>
        <v>23.346558840470859</v>
      </c>
      <c r="AN107" s="21">
        <f>'P&amp;LPLN'!AN106/Factors!AN$11</f>
        <v>23.25241949030767</v>
      </c>
      <c r="AO107" s="21">
        <f>'P&amp;LPLN'!AO106/Factors!AO$11</f>
        <v>23.159036279503219</v>
      </c>
      <c r="AP107" s="21">
        <f>'P&amp;LPLN'!AP106/Factors!AP$11</f>
        <v>23.066400134385209</v>
      </c>
      <c r="AQ107" s="21">
        <f>'P&amp;LPLN'!AQ106/Factors!AQ$11</f>
        <v>22.974502125881681</v>
      </c>
      <c r="AR107" s="21">
        <f>'P&amp;LPLN'!AR106/Factors!AR$11</f>
        <v>22.88333346665199</v>
      </c>
      <c r="AS107" s="21">
        <f t="shared" si="38"/>
        <v>280.78205464147152</v>
      </c>
    </row>
    <row r="108" spans="1:45">
      <c r="A108" s="63" t="s">
        <v>380</v>
      </c>
      <c r="B108" s="57" t="s">
        <v>640</v>
      </c>
      <c r="C108" s="21">
        <f>'P&amp;LPLN'!C107/Factors!C$11</f>
        <v>174.28013867568231</v>
      </c>
      <c r="D108" s="21">
        <f>'P&amp;LPLN'!D107/Factors!D$11</f>
        <v>174.03682775212232</v>
      </c>
      <c r="E108" s="21">
        <f>'P&amp;LPLN'!E107/Factors!E$11</f>
        <v>173.79419524977916</v>
      </c>
      <c r="F108" s="21">
        <f>'P&amp;LPLN'!F107/Factors!F$11</f>
        <v>173.5522383351514</v>
      </c>
      <c r="G108" s="21">
        <f>'P&amp;LPLN'!G107/Factors!G$11</f>
        <v>173.31095419049475</v>
      </c>
      <c r="H108" s="21">
        <f>'P&amp;LPLN'!H107/Factors!H$11</f>
        <v>173.07034001371304</v>
      </c>
      <c r="I108" s="21">
        <f>'P&amp;LPLN'!I107/Factors!I$11</f>
        <v>172.83039301824937</v>
      </c>
      <c r="J108" s="21">
        <f>'P&amp;LPLN'!J107/Factors!J$11</f>
        <v>172.59111043297884</v>
      </c>
      <c r="K108" s="21">
        <f>'P&amp;LPLN'!K107/Factors!K$11</f>
        <v>172.35248950210169</v>
      </c>
      <c r="L108" s="21">
        <f>'P&amp;LPLN'!L107/Factors!L$11</f>
        <v>172.11452748503766</v>
      </c>
      <c r="M108" s="21">
        <f>'P&amp;LPLN'!M107/Factors!M$11</f>
        <v>171.87722165632081</v>
      </c>
      <c r="N108" s="21">
        <f>'P&amp;LPLN'!N107/Factors!N$11</f>
        <v>171.64056930549583</v>
      </c>
      <c r="O108" s="3">
        <f t="shared" si="36"/>
        <v>2075.4510056171275</v>
      </c>
      <c r="Q108" s="57" t="s">
        <v>640</v>
      </c>
      <c r="R108" s="21">
        <f>'P&amp;LPLN'!R107/Factors!R$11</f>
        <v>177.7655024840322</v>
      </c>
      <c r="S108" s="21">
        <f>'P&amp;LPLN'!S107/Factors!S$11</f>
        <v>177.03093429194942</v>
      </c>
      <c r="T108" s="21">
        <f>'P&amp;LPLN'!T107/Factors!T$11</f>
        <v>176.30241192860808</v>
      </c>
      <c r="U108" s="21">
        <f>'P&amp;LPLN'!U107/Factors!U$11</f>
        <v>175.57986106004822</v>
      </c>
      <c r="V108" s="21">
        <f>'P&amp;LPLN'!V107/Factors!V$11</f>
        <v>174.86320856592556</v>
      </c>
      <c r="W108" s="21">
        <f>'P&amp;LPLN'!W107/Factors!W$11</f>
        <v>174.15238251484456</v>
      </c>
      <c r="X108" s="21">
        <f>'P&amp;LPLN'!X107/Factors!X$11</f>
        <v>173.44731214029053</v>
      </c>
      <c r="Y108" s="21">
        <f>'P&amp;LPLN'!Y107/Factors!Y$11</f>
        <v>172.74792781714422</v>
      </c>
      <c r="Z108" s="21">
        <f>'P&amp;LPLN'!Z107/Factors!Z$11</f>
        <v>172.05416103876212</v>
      </c>
      <c r="AA108" s="21">
        <f>'P&amp;LPLN'!AA107/Factors!AA$11</f>
        <v>171.36594439460708</v>
      </c>
      <c r="AB108" s="21">
        <f>'P&amp;LPLN'!AB107/Factors!AB$11</f>
        <v>170.68321154841342</v>
      </c>
      <c r="AC108" s="21">
        <f>'P&amp;LPLN'!AC107/Factors!AC$11</f>
        <v>170.00589721687211</v>
      </c>
      <c r="AD108" s="21">
        <f t="shared" si="37"/>
        <v>2085.9987550014976</v>
      </c>
      <c r="AF108" s="57" t="s">
        <v>640</v>
      </c>
      <c r="AG108" s="21">
        <f>'P&amp;LPLN'!AG107/Factors!AG$11</f>
        <v>179.45850726959446</v>
      </c>
      <c r="AH108" s="21">
        <f>'P&amp;LPLN'!AH107/Factors!AH$11</f>
        <v>178.71694318996805</v>
      </c>
      <c r="AI108" s="21">
        <f>'P&amp;LPLN'!AI107/Factors!AI$11</f>
        <v>177.98148251840439</v>
      </c>
      <c r="AJ108" s="21">
        <f>'P&amp;LPLN'!AJ107/Factors!AJ$11</f>
        <v>177.2520502130011</v>
      </c>
      <c r="AK108" s="21">
        <f>'P&amp;LPLN'!AK107/Factors!AK$11</f>
        <v>176.52857245702967</v>
      </c>
      <c r="AL108" s="21">
        <f>'P&amp;LPLN'!AL107/Factors!AL$11</f>
        <v>175.81097663403361</v>
      </c>
      <c r="AM108" s="21">
        <f>'P&amp;LPLN'!AM107/Factors!AM$11</f>
        <v>175.09919130353143</v>
      </c>
      <c r="AN108" s="21">
        <f>'P&amp;LPLN'!AN107/Factors!AN$11</f>
        <v>174.39314617730753</v>
      </c>
      <c r="AO108" s="21">
        <f>'P&amp;LPLN'!AO107/Factors!AO$11</f>
        <v>173.69277209627415</v>
      </c>
      <c r="AP108" s="21">
        <f>'P&amp;LPLN'!AP107/Factors!AP$11</f>
        <v>172.99800100788906</v>
      </c>
      <c r="AQ108" s="21">
        <f>'P&amp;LPLN'!AQ107/Factors!AQ$11</f>
        <v>172.30876594411259</v>
      </c>
      <c r="AR108" s="21">
        <f>'P&amp;LPLN'!AR107/Factors!AR$11</f>
        <v>171.62500099988992</v>
      </c>
      <c r="AS108" s="21">
        <f t="shared" si="38"/>
        <v>2105.865409811036</v>
      </c>
    </row>
    <row r="109" spans="1:45">
      <c r="A109" s="63" t="s">
        <v>382</v>
      </c>
      <c r="B109" s="57" t="s">
        <v>639</v>
      </c>
      <c r="C109" s="21">
        <f>'P&amp;LPLN'!C108/Factors!C$11</f>
        <v>209.13616641081879</v>
      </c>
      <c r="D109" s="21">
        <f>'P&amp;LPLN'!D108/Factors!D$11</f>
        <v>208.84419330254678</v>
      </c>
      <c r="E109" s="21">
        <f>'P&amp;LPLN'!E108/Factors!E$11</f>
        <v>208.553034299735</v>
      </c>
      <c r="F109" s="21">
        <f>'P&amp;LPLN'!F108/Factors!F$11</f>
        <v>208.26268600218168</v>
      </c>
      <c r="G109" s="21">
        <f>'P&amp;LPLN'!G108/Factors!G$11</f>
        <v>207.97314502859371</v>
      </c>
      <c r="H109" s="21">
        <f>'P&amp;LPLN'!H108/Factors!H$11</f>
        <v>207.68440801645562</v>
      </c>
      <c r="I109" s="21">
        <f>'P&amp;LPLN'!I108/Factors!I$11</f>
        <v>207.39647162189922</v>
      </c>
      <c r="J109" s="21">
        <f>'P&amp;LPLN'!J108/Factors!J$11</f>
        <v>207.10933251957459</v>
      </c>
      <c r="K109" s="21">
        <f>'P&amp;LPLN'!K108/Factors!K$11</f>
        <v>206.82298740252205</v>
      </c>
      <c r="L109" s="21">
        <f>'P&amp;LPLN'!L108/Factors!L$11</f>
        <v>206.53743298204517</v>
      </c>
      <c r="M109" s="21">
        <f>'P&amp;LPLN'!M108/Factors!M$11</f>
        <v>206.25266598758498</v>
      </c>
      <c r="N109" s="21">
        <f>'P&amp;LPLN'!N108/Factors!N$11</f>
        <v>205.96868316659499</v>
      </c>
      <c r="O109" s="3">
        <f t="shared" si="36"/>
        <v>2490.5412067405523</v>
      </c>
      <c r="Q109" s="57" t="s">
        <v>639</v>
      </c>
      <c r="R109" s="21">
        <f>'P&amp;LPLN'!R108/Factors!R$11</f>
        <v>213.31860298083862</v>
      </c>
      <c r="S109" s="21">
        <f>'P&amp;LPLN'!S108/Factors!S$11</f>
        <v>212.43712115033929</v>
      </c>
      <c r="T109" s="21">
        <f>'P&amp;LPLN'!T108/Factors!T$11</f>
        <v>211.56289431432967</v>
      </c>
      <c r="U109" s="21">
        <f>'P&amp;LPLN'!U108/Factors!U$11</f>
        <v>210.69583327205785</v>
      </c>
      <c r="V109" s="21">
        <f>'P&amp;LPLN'!V108/Factors!V$11</f>
        <v>209.83585027911067</v>
      </c>
      <c r="W109" s="21">
        <f>'P&amp;LPLN'!W108/Factors!W$11</f>
        <v>208.9828590178135</v>
      </c>
      <c r="X109" s="21">
        <f>'P&amp;LPLN'!X108/Factors!X$11</f>
        <v>208.13677456834867</v>
      </c>
      <c r="Y109" s="21">
        <f>'P&amp;LPLN'!Y108/Factors!Y$11</f>
        <v>207.29751338057306</v>
      </c>
      <c r="Z109" s="21">
        <f>'P&amp;LPLN'!Z108/Factors!Z$11</f>
        <v>206.46499324651455</v>
      </c>
      <c r="AA109" s="21">
        <f>'P&amp;LPLN'!AA108/Factors!AA$11</f>
        <v>205.6391332735285</v>
      </c>
      <c r="AB109" s="21">
        <f>'P&amp;LPLN'!AB108/Factors!AB$11</f>
        <v>204.81985385809611</v>
      </c>
      <c r="AC109" s="21">
        <f>'P&amp;LPLN'!AC108/Factors!AC$11</f>
        <v>204.00707666024653</v>
      </c>
      <c r="AD109" s="21">
        <f t="shared" si="37"/>
        <v>2503.1985060017969</v>
      </c>
      <c r="AF109" s="57" t="s">
        <v>639</v>
      </c>
      <c r="AG109" s="21">
        <f>'P&amp;LPLN'!AG108/Factors!AG$11</f>
        <v>215.35020872351336</v>
      </c>
      <c r="AH109" s="21">
        <f>'P&amp;LPLN'!AH108/Factors!AH$11</f>
        <v>214.46033182796165</v>
      </c>
      <c r="AI109" s="21">
        <f>'P&amp;LPLN'!AI108/Factors!AI$11</f>
        <v>213.57777902208528</v>
      </c>
      <c r="AJ109" s="21">
        <f>'P&amp;LPLN'!AJ108/Factors!AJ$11</f>
        <v>212.70246025560132</v>
      </c>
      <c r="AK109" s="21">
        <f>'P&amp;LPLN'!AK108/Factors!AK$11</f>
        <v>211.83428694843559</v>
      </c>
      <c r="AL109" s="21">
        <f>'P&amp;LPLN'!AL108/Factors!AL$11</f>
        <v>210.97317196084032</v>
      </c>
      <c r="AM109" s="21">
        <f>'P&amp;LPLN'!AM108/Factors!AM$11</f>
        <v>210.11902956423774</v>
      </c>
      <c r="AN109" s="21">
        <f>'P&amp;LPLN'!AN108/Factors!AN$11</f>
        <v>209.27177541276902</v>
      </c>
      <c r="AO109" s="21">
        <f>'P&amp;LPLN'!AO108/Factors!AO$11</f>
        <v>208.43132651552898</v>
      </c>
      <c r="AP109" s="21">
        <f>'P&amp;LPLN'!AP108/Factors!AP$11</f>
        <v>207.59760120946686</v>
      </c>
      <c r="AQ109" s="21">
        <f>'P&amp;LPLN'!AQ108/Factors!AQ$11</f>
        <v>206.77051913293514</v>
      </c>
      <c r="AR109" s="21">
        <f>'P&amp;LPLN'!AR108/Factors!AR$11</f>
        <v>205.95000119986793</v>
      </c>
      <c r="AS109" s="21">
        <f t="shared" si="38"/>
        <v>2527.0384917732431</v>
      </c>
    </row>
    <row r="110" spans="1:45" hidden="1">
      <c r="A110" s="63" t="s">
        <v>384</v>
      </c>
      <c r="B110" s="57" t="s">
        <v>385</v>
      </c>
      <c r="C110" s="21">
        <f>'P&amp;LPLN'!C109/Factors!C$11</f>
        <v>0</v>
      </c>
      <c r="D110" s="21">
        <f>'P&amp;LPLN'!D109/Factors!D$11</f>
        <v>0</v>
      </c>
      <c r="E110" s="21">
        <f>'P&amp;LPLN'!E109/Factors!E$11</f>
        <v>0</v>
      </c>
      <c r="F110" s="21">
        <f>'P&amp;LPLN'!F109/Factors!F$11</f>
        <v>0</v>
      </c>
      <c r="G110" s="21">
        <f>'P&amp;LPLN'!G109/Factors!G$11</f>
        <v>0</v>
      </c>
      <c r="H110" s="21">
        <f>'P&amp;LPLN'!H109/Factors!H$11</f>
        <v>0</v>
      </c>
      <c r="I110" s="21">
        <f>'P&amp;LPLN'!I109/Factors!I$11</f>
        <v>0</v>
      </c>
      <c r="J110" s="21">
        <f>'P&amp;LPLN'!J109/Factors!J$11</f>
        <v>0</v>
      </c>
      <c r="K110" s="21">
        <f>'P&amp;LPLN'!K109/Factors!K$11</f>
        <v>0</v>
      </c>
      <c r="L110" s="21">
        <f>'P&amp;LPLN'!L109/Factors!L$11</f>
        <v>0</v>
      </c>
      <c r="M110" s="21">
        <f>'P&amp;LPLN'!M109/Factors!M$11</f>
        <v>0</v>
      </c>
      <c r="N110" s="21">
        <f>'P&amp;LPLN'!N109/Factors!N$11</f>
        <v>0</v>
      </c>
      <c r="O110" s="3">
        <f t="shared" si="36"/>
        <v>0</v>
      </c>
      <c r="Q110" s="57" t="s">
        <v>385</v>
      </c>
      <c r="R110" s="21">
        <f>'P&amp;LPLN'!R109/Factors!R$11</f>
        <v>0</v>
      </c>
      <c r="S110" s="21">
        <f>'P&amp;LPLN'!S109/Factors!S$11</f>
        <v>0</v>
      </c>
      <c r="T110" s="21">
        <f>'P&amp;LPLN'!T109/Factors!T$11</f>
        <v>0</v>
      </c>
      <c r="U110" s="21">
        <f>'P&amp;LPLN'!U109/Factors!U$11</f>
        <v>0</v>
      </c>
      <c r="V110" s="21">
        <f>'P&amp;LPLN'!V109/Factors!V$11</f>
        <v>0</v>
      </c>
      <c r="W110" s="21">
        <f>'P&amp;LPLN'!W109/Factors!W$11</f>
        <v>0</v>
      </c>
      <c r="X110" s="21">
        <f>'P&amp;LPLN'!X109/Factors!X$11</f>
        <v>0</v>
      </c>
      <c r="Y110" s="21">
        <f>'P&amp;LPLN'!Y109/Factors!Y$11</f>
        <v>0</v>
      </c>
      <c r="Z110" s="21">
        <f>'P&amp;LPLN'!Z109/Factors!Z$11</f>
        <v>0</v>
      </c>
      <c r="AA110" s="21">
        <f>'P&amp;LPLN'!AA109/Factors!AA$11</f>
        <v>0</v>
      </c>
      <c r="AB110" s="21">
        <f>'P&amp;LPLN'!AB109/Factors!AB$11</f>
        <v>0</v>
      </c>
      <c r="AC110" s="21">
        <f>'P&amp;LPLN'!AC109/Factors!AC$11</f>
        <v>0</v>
      </c>
      <c r="AD110" s="21">
        <f t="shared" si="37"/>
        <v>0</v>
      </c>
      <c r="AF110" s="57" t="s">
        <v>385</v>
      </c>
      <c r="AG110" s="21">
        <f>'P&amp;LPLN'!AG109/Factors!AG$11</f>
        <v>0</v>
      </c>
      <c r="AH110" s="21">
        <f>'P&amp;LPLN'!AH109/Factors!AH$11</f>
        <v>0</v>
      </c>
      <c r="AI110" s="21">
        <f>'P&amp;LPLN'!AI109/Factors!AI$11</f>
        <v>0</v>
      </c>
      <c r="AJ110" s="21">
        <f>'P&amp;LPLN'!AJ109/Factors!AJ$11</f>
        <v>0</v>
      </c>
      <c r="AK110" s="21">
        <f>'P&amp;LPLN'!AK109/Factors!AK$11</f>
        <v>0</v>
      </c>
      <c r="AL110" s="21">
        <f>'P&amp;LPLN'!AL109/Factors!AL$11</f>
        <v>0</v>
      </c>
      <c r="AM110" s="21">
        <f>'P&amp;LPLN'!AM109/Factors!AM$11</f>
        <v>0</v>
      </c>
      <c r="AN110" s="21">
        <f>'P&amp;LPLN'!AN109/Factors!AN$11</f>
        <v>0</v>
      </c>
      <c r="AO110" s="21">
        <f>'P&amp;LPLN'!AO109/Factors!AO$11</f>
        <v>0</v>
      </c>
      <c r="AP110" s="21">
        <f>'P&amp;LPLN'!AP109/Factors!AP$11</f>
        <v>0</v>
      </c>
      <c r="AQ110" s="21">
        <f>'P&amp;LPLN'!AQ109/Factors!AQ$11</f>
        <v>0</v>
      </c>
      <c r="AR110" s="21">
        <f>'P&amp;LPLN'!AR109/Factors!AR$11</f>
        <v>0</v>
      </c>
      <c r="AS110" s="21">
        <f t="shared" si="38"/>
        <v>0</v>
      </c>
    </row>
    <row r="111" spans="1:45">
      <c r="A111" s="63" t="s">
        <v>386</v>
      </c>
      <c r="B111" s="57" t="s">
        <v>563</v>
      </c>
      <c r="C111" s="21">
        <f>'P&amp;LPLN'!C110/Factors!C$11</f>
        <v>290.46689779280388</v>
      </c>
      <c r="D111" s="21">
        <f>'P&amp;LPLN'!D110/Factors!D$11</f>
        <v>290.06137958687054</v>
      </c>
      <c r="E111" s="21">
        <f>'P&amp;LPLN'!E110/Factors!E$11</f>
        <v>289.6569920829653</v>
      </c>
      <c r="F111" s="21">
        <f>'P&amp;LPLN'!F110/Factors!F$11</f>
        <v>289.25373055858563</v>
      </c>
      <c r="G111" s="21">
        <f>'P&amp;LPLN'!G110/Factors!G$11</f>
        <v>288.85159031749129</v>
      </c>
      <c r="H111" s="21">
        <f>'P&amp;LPLN'!H110/Factors!H$11</f>
        <v>288.45056668952174</v>
      </c>
      <c r="I111" s="21">
        <f>'P&amp;LPLN'!I110/Factors!I$11</f>
        <v>288.05065503041561</v>
      </c>
      <c r="J111" s="21">
        <f>'P&amp;LPLN'!J110/Factors!J$11</f>
        <v>287.65185072163138</v>
      </c>
      <c r="K111" s="21">
        <f>'P&amp;LPLN'!K110/Factors!K$11</f>
        <v>287.25414917016951</v>
      </c>
      <c r="L111" s="21">
        <f>'P&amp;LPLN'!L110/Factors!L$11</f>
        <v>286.85754580839608</v>
      </c>
      <c r="M111" s="21">
        <f>'P&amp;LPLN'!M110/Factors!M$11</f>
        <v>286.46203609386805</v>
      </c>
      <c r="N111" s="21">
        <f>'P&amp;LPLN'!N110/Factors!N$11</f>
        <v>286.06761550915968</v>
      </c>
      <c r="O111" s="3">
        <f t="shared" si="36"/>
        <v>3459.0850093618783</v>
      </c>
      <c r="Q111" s="57" t="s">
        <v>563</v>
      </c>
      <c r="R111" s="21">
        <f>'P&amp;LPLN'!R110/Factors!R$11</f>
        <v>296.27583747338696</v>
      </c>
      <c r="S111" s="21">
        <f>'P&amp;LPLN'!S110/Factors!S$11</f>
        <v>295.05155715324901</v>
      </c>
      <c r="T111" s="21">
        <f>'P&amp;LPLN'!T110/Factors!T$11</f>
        <v>293.83735321434676</v>
      </c>
      <c r="U111" s="21">
        <f>'P&amp;LPLN'!U110/Factors!U$11</f>
        <v>292.63310176674702</v>
      </c>
      <c r="V111" s="21">
        <f>'P&amp;LPLN'!V110/Factors!V$11</f>
        <v>291.43868094320925</v>
      </c>
      <c r="W111" s="21">
        <f>'P&amp;LPLN'!W110/Factors!W$11</f>
        <v>290.2539708580743</v>
      </c>
      <c r="X111" s="21">
        <f>'P&amp;LPLN'!X110/Factors!X$11</f>
        <v>289.07885356715093</v>
      </c>
      <c r="Y111" s="21">
        <f>'P&amp;LPLN'!Y110/Factors!Y$11</f>
        <v>287.91321302857369</v>
      </c>
      <c r="Z111" s="21">
        <f>'P&amp;LPLN'!Z110/Factors!Z$11</f>
        <v>286.75693506460351</v>
      </c>
      <c r="AA111" s="21">
        <f>'P&amp;LPLN'!AA110/Factors!AA$11</f>
        <v>285.6099073243451</v>
      </c>
      <c r="AB111" s="21">
        <f>'P&amp;LPLN'!AB110/Factors!AB$11</f>
        <v>284.47201924735572</v>
      </c>
      <c r="AC111" s="21">
        <f>'P&amp;LPLN'!AC110/Factors!AC$11</f>
        <v>283.34316202812016</v>
      </c>
      <c r="AD111" s="21">
        <f t="shared" si="37"/>
        <v>3476.6645916691627</v>
      </c>
      <c r="AF111" s="57" t="s">
        <v>563</v>
      </c>
      <c r="AG111" s="21">
        <f>'P&amp;LPLN'!AG110/Factors!AG$11</f>
        <v>299.09751211599075</v>
      </c>
      <c r="AH111" s="21">
        <f>'P&amp;LPLN'!AH110/Factors!AH$11</f>
        <v>297.86157198328004</v>
      </c>
      <c r="AI111" s="21">
        <f>'P&amp;LPLN'!AI110/Factors!AI$11</f>
        <v>296.63580419734063</v>
      </c>
      <c r="AJ111" s="21">
        <f>'P&amp;LPLN'!AJ110/Factors!AJ$11</f>
        <v>295.42008368833513</v>
      </c>
      <c r="AK111" s="21">
        <f>'P&amp;LPLN'!AK110/Factors!AK$11</f>
        <v>294.21428742838276</v>
      </c>
      <c r="AL111" s="21">
        <f>'P&amp;LPLN'!AL110/Factors!AL$11</f>
        <v>293.01829439005598</v>
      </c>
      <c r="AM111" s="21">
        <f>'P&amp;LPLN'!AM110/Factors!AM$11</f>
        <v>291.83198550588571</v>
      </c>
      <c r="AN111" s="21">
        <f>'P&amp;LPLN'!AN110/Factors!AN$11</f>
        <v>290.65524362884582</v>
      </c>
      <c r="AO111" s="21">
        <f>'P&amp;LPLN'!AO110/Factors!AO$11</f>
        <v>289.48795349379026</v>
      </c>
      <c r="AP111" s="21">
        <f>'P&amp;LPLN'!AP110/Factors!AP$11</f>
        <v>288.3300016798151</v>
      </c>
      <c r="AQ111" s="21">
        <f>'P&amp;LPLN'!AQ110/Factors!AQ$11</f>
        <v>287.18127657352096</v>
      </c>
      <c r="AR111" s="21">
        <f>'P&amp;LPLN'!AR110/Factors!AR$11</f>
        <v>286.04166833314986</v>
      </c>
      <c r="AS111" s="21">
        <f t="shared" si="38"/>
        <v>3509.775683018393</v>
      </c>
    </row>
    <row r="112" spans="1:45" ht="13.5" thickBot="1">
      <c r="A112" s="63"/>
      <c r="B112" s="136" t="s">
        <v>97</v>
      </c>
      <c r="C112" s="19">
        <f>SUM(C98:C111)</f>
        <v>26532.640685504106</v>
      </c>
      <c r="D112" s="19">
        <f t="shared" ref="D112:O112" si="39">SUM(D98:D111)</f>
        <v>26495.598706086774</v>
      </c>
      <c r="E112" s="19">
        <f t="shared" si="39"/>
        <v>26458.660010420044</v>
      </c>
      <c r="F112" s="19">
        <f t="shared" si="39"/>
        <v>26421.824167127899</v>
      </c>
      <c r="G112" s="19">
        <f t="shared" si="39"/>
        <v>26385.090747233182</v>
      </c>
      <c r="H112" s="19">
        <f t="shared" si="39"/>
        <v>26348.459324141018</v>
      </c>
      <c r="I112" s="19">
        <f t="shared" si="39"/>
        <v>26311.929473622313</v>
      </c>
      <c r="J112" s="19">
        <f t="shared" si="39"/>
        <v>26275.500773797274</v>
      </c>
      <c r="K112" s="19">
        <f t="shared" si="39"/>
        <v>26239.172805119306</v>
      </c>
      <c r="L112" s="19">
        <f t="shared" si="39"/>
        <v>26202.945150358773</v>
      </c>
      <c r="M112" s="19">
        <f t="shared" si="39"/>
        <v>26166.817394587153</v>
      </c>
      <c r="N112" s="19">
        <f t="shared" si="39"/>
        <v>26130.789125161096</v>
      </c>
      <c r="O112" s="19">
        <f t="shared" si="39"/>
        <v>315969.42836315883</v>
      </c>
      <c r="Q112" s="57"/>
      <c r="R112" s="19">
        <f t="shared" ref="R112:AD112" si="40">SUM(R98:R111)</f>
        <v>27063.257118839043</v>
      </c>
      <c r="S112" s="53">
        <f t="shared" si="40"/>
        <v>26951.425477852103</v>
      </c>
      <c r="T112" s="53">
        <f t="shared" si="40"/>
        <v>26840.51426189387</v>
      </c>
      <c r="U112" s="53">
        <f t="shared" si="40"/>
        <v>26730.512154263153</v>
      </c>
      <c r="V112" s="53">
        <f t="shared" si="40"/>
        <v>26621.408023021271</v>
      </c>
      <c r="W112" s="53">
        <f t="shared" si="40"/>
        <v>26513.190917236621</v>
      </c>
      <c r="X112" s="53">
        <f t="shared" si="40"/>
        <v>26405.85006332069</v>
      </c>
      <c r="Y112" s="53">
        <f t="shared" si="40"/>
        <v>26299.374861452459</v>
      </c>
      <c r="Z112" s="53">
        <f t="shared" si="40"/>
        <v>26193.754882089201</v>
      </c>
      <c r="AA112" s="53">
        <f t="shared" si="40"/>
        <v>26088.979862560849</v>
      </c>
      <c r="AB112" s="53">
        <f t="shared" si="40"/>
        <v>25985.039703745861</v>
      </c>
      <c r="AC112" s="53">
        <f t="shared" si="40"/>
        <v>25881.924466826236</v>
      </c>
      <c r="AD112" s="53">
        <f t="shared" si="40"/>
        <v>317575.23179310129</v>
      </c>
      <c r="AF112" s="57"/>
      <c r="AG112" s="19">
        <f t="shared" ref="AG112:AS112" si="41">SUM(AG98:AG111)</f>
        <v>27321.00242473276</v>
      </c>
      <c r="AH112" s="53">
        <f t="shared" si="41"/>
        <v>27208.105720498323</v>
      </c>
      <c r="AI112" s="53">
        <f t="shared" si="41"/>
        <v>27096.13820724524</v>
      </c>
      <c r="AJ112" s="53">
        <f t="shared" si="41"/>
        <v>26985.08846049424</v>
      </c>
      <c r="AK112" s="53">
        <f t="shared" si="41"/>
        <v>26874.945242288137</v>
      </c>
      <c r="AL112" s="53">
        <f t="shared" si="41"/>
        <v>26765.69749740079</v>
      </c>
      <c r="AM112" s="53">
        <f t="shared" si="41"/>
        <v>26657.334349638033</v>
      </c>
      <c r="AN112" s="53">
        <f t="shared" si="41"/>
        <v>26549.845098228205</v>
      </c>
      <c r="AO112" s="53">
        <f t="shared" si="41"/>
        <v>26443.21921429957</v>
      </c>
      <c r="AP112" s="53">
        <f t="shared" si="41"/>
        <v>26337.446337442383</v>
      </c>
      <c r="AQ112" s="53">
        <f t="shared" si="41"/>
        <v>26232.516272352965</v>
      </c>
      <c r="AR112" s="53">
        <f t="shared" si="41"/>
        <v>26128.41898555791</v>
      </c>
      <c r="AS112" s="53">
        <f t="shared" si="41"/>
        <v>320599.75781017845</v>
      </c>
    </row>
    <row r="113" spans="1:45" ht="13.5" thickTop="1">
      <c r="A113" s="63"/>
      <c r="B113" s="55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Q113" s="57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F113" s="57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</row>
    <row r="114" spans="1:45">
      <c r="A114" s="64" t="s">
        <v>388</v>
      </c>
      <c r="B114" s="55" t="s">
        <v>23</v>
      </c>
      <c r="C114" s="39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0"/>
      <c r="Q114" s="55" t="s">
        <v>645</v>
      </c>
      <c r="R114" s="22" t="s">
        <v>514</v>
      </c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0"/>
      <c r="AF114" s="55" t="s">
        <v>645</v>
      </c>
      <c r="AG114" s="22" t="s">
        <v>514</v>
      </c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0"/>
    </row>
    <row r="115" spans="1:45">
      <c r="A115" s="63" t="s">
        <v>390</v>
      </c>
      <c r="B115" s="57" t="s">
        <v>100</v>
      </c>
      <c r="C115" s="21">
        <f>employees!D76+employees!D67/Factors!C11+employees!D78/Factors!C11-employees!D79/Factors!C11</f>
        <v>127854.34797767433</v>
      </c>
      <c r="D115" s="21">
        <f>employees!E76+employees!E67/Factors!D11+employees!E78/Factors!D11</f>
        <v>56490.477707237544</v>
      </c>
      <c r="E115" s="21">
        <f>employees!F76+employees!F67/Factors!E11+employees!F78/Factors!E11</f>
        <v>56411.721813202355</v>
      </c>
      <c r="F115" s="21">
        <f>employees!G76+employees!G67/Factors!F11+employees!G78/Factors!F11</f>
        <v>56333.185207654933</v>
      </c>
      <c r="G115" s="21">
        <f>employees!H76+employees!H67/Factors!G11+employees!H78/Factors!G11</f>
        <v>56254.866975985897</v>
      </c>
      <c r="H115" s="21">
        <f>employees!I76+employees!I67/Factors!H11+employees!I78/Factors!H11</f>
        <v>56176.766208665009</v>
      </c>
      <c r="I115" s="21">
        <f>employees!J76+employees!J67/Factors!I11+employees!J78/Factors!I11</f>
        <v>56098.882001205973</v>
      </c>
      <c r="J115" s="21">
        <f>employees!K76+employees!K67/Factors!J11+employees!K78/Factors!J11</f>
        <v>56021.21345413151</v>
      </c>
      <c r="K115" s="21">
        <f>employees!L76+employees!L67/Factors!K11+employees!L78/Factors!K11</f>
        <v>55943.759672938751</v>
      </c>
      <c r="L115" s="21">
        <f>employees!M76+employees!M67/Factors!L11+employees!M78/Factors!L11</f>
        <v>55866.519768064871</v>
      </c>
      <c r="M115" s="21">
        <f>employees!N76+employees!N67/Factors!M11+employees!N78/Factors!M11</f>
        <v>55789.492854853037</v>
      </c>
      <c r="N115" s="21">
        <f>employees!O76+employees!O67/Factors!N11+employees!O78/Factors!N11</f>
        <v>55712.678053518655</v>
      </c>
      <c r="O115" s="3">
        <f>SUM(C115:N115)</f>
        <v>744953.91169513285</v>
      </c>
      <c r="Q115" s="57" t="s">
        <v>100</v>
      </c>
      <c r="R115" s="21">
        <f>employees!T76+employees!T67/Factors!R11</f>
        <v>61029.655627090979</v>
      </c>
      <c r="S115" s="21">
        <f>employees!U76+employees!U67/Factors!S11</f>
        <v>60777.466967474902</v>
      </c>
      <c r="T115" s="21">
        <f>employees!V76+employees!V67/Factors!T11</f>
        <v>60527.353934686944</v>
      </c>
      <c r="U115" s="21">
        <f>employees!W76+employees!W67/Factors!U11</f>
        <v>60279.291008725115</v>
      </c>
      <c r="V115" s="21">
        <f>employees!X76+employees!X67/Factors!V11</f>
        <v>60033.253086240526</v>
      </c>
      <c r="W115" s="21">
        <f>employees!Y76+employees!Y67/Factors!W11</f>
        <v>59789.215472068812</v>
      </c>
      <c r="X115" s="21">
        <f>employees!Z76+employees!Z67/Factors!X11</f>
        <v>59547.153870967326</v>
      </c>
      <c r="Y115" s="21">
        <f>employees!AA76+employees!AA67/Factors!Y11</f>
        <v>59307.044379552135</v>
      </c>
      <c r="Z115" s="21">
        <f>employees!AB76+employees!AB67/Factors!Z11</f>
        <v>59068.863478429434</v>
      </c>
      <c r="AA115" s="21">
        <f>employees!AC76+employees!AC67/Factors!AA11</f>
        <v>58832.588024515724</v>
      </c>
      <c r="AB115" s="21">
        <f>employees!AD76+employees!AD67/Factors!AB11</f>
        <v>58598.195243541559</v>
      </c>
      <c r="AC115" s="21">
        <f>employees!AE76+employees!AE67/Factors!AC11</f>
        <v>58365.662722733854</v>
      </c>
      <c r="AD115" s="21">
        <f>SUM(R115:AC115)</f>
        <v>716155.74381602742</v>
      </c>
      <c r="AF115" s="57" t="s">
        <v>100</v>
      </c>
      <c r="AG115" s="21">
        <f>employees!AH76+employees!AH67/Factors!AG11</f>
        <v>0</v>
      </c>
      <c r="AH115" s="21">
        <f>employees!AI76+employees!AI67/Factors!AH11</f>
        <v>0</v>
      </c>
      <c r="AI115" s="21">
        <f>employees!AJ76+employees!AJ67/Factors!AI11</f>
        <v>0</v>
      </c>
      <c r="AJ115" s="21">
        <f>employees!AK76+employees!AK67/Factors!AJ11</f>
        <v>0</v>
      </c>
      <c r="AK115" s="21">
        <f>employees!AL76+employees!AL67/Factors!AK11</f>
        <v>0</v>
      </c>
      <c r="AL115" s="21">
        <f>employees!AM76+employees!AM67/Factors!AL11</f>
        <v>0</v>
      </c>
      <c r="AM115" s="21">
        <f>employees!AN76+employees!AN67/Factors!AM11</f>
        <v>0</v>
      </c>
      <c r="AN115" s="21">
        <f>employees!AO76+employees!AO67/Factors!AN11</f>
        <v>0</v>
      </c>
      <c r="AO115" s="21">
        <f>employees!AP76+employees!AP67/Factors!AO11</f>
        <v>0</v>
      </c>
      <c r="AP115" s="21">
        <f>employees!AQ76+employees!AQ67/Factors!AP11</f>
        <v>0</v>
      </c>
      <c r="AQ115" s="21">
        <f>employees!AR76+employees!AR67/Factors!AQ11</f>
        <v>0</v>
      </c>
      <c r="AR115" s="21">
        <f>employees!AS76+employees!AS67/Factors!AR11</f>
        <v>0</v>
      </c>
      <c r="AS115" s="21">
        <f>SUM(AG115:AR115)</f>
        <v>0</v>
      </c>
    </row>
    <row r="116" spans="1:45" s="108" customFormat="1">
      <c r="A116" s="63" t="s">
        <v>392</v>
      </c>
      <c r="B116" s="57" t="s">
        <v>101</v>
      </c>
      <c r="C116" s="191">
        <f>employees!D68/Factors!C11+employees!D79/Factors!C11</f>
        <v>25152.329461027075</v>
      </c>
      <c r="D116" s="191">
        <f>employees!E68/Factors!D11</f>
        <v>10168.285987302757</v>
      </c>
      <c r="E116" s="191">
        <f>employees!F68/Factors!E11</f>
        <v>10154.109926376423</v>
      </c>
      <c r="F116" s="191">
        <f>employees!G68/Factors!F11</f>
        <v>10139.973337377887</v>
      </c>
      <c r="G116" s="191">
        <f>employees!H68/Factors!G11</f>
        <v>10125.876055677461</v>
      </c>
      <c r="H116" s="191">
        <f>employees!I68/Factors!H11</f>
        <v>10111.8179175597</v>
      </c>
      <c r="I116" s="191">
        <f>employees!J68/Factors!I11</f>
        <v>10097.798760217074</v>
      </c>
      <c r="J116" s="191">
        <f>employees!K68/Factors!J11</f>
        <v>10083.818421743672</v>
      </c>
      <c r="K116" s="191">
        <f>employees!L68/Factors!K11</f>
        <v>10069.876741128975</v>
      </c>
      <c r="L116" s="191">
        <f>employees!M68/Factors!L11</f>
        <v>10055.973558251677</v>
      </c>
      <c r="M116" s="191">
        <f>employees!N68/Factors!M11</f>
        <v>10042.108713873546</v>
      </c>
      <c r="N116" s="191">
        <f>employees!O68/Factors!N11</f>
        <v>10028.282049633357</v>
      </c>
      <c r="O116" s="125">
        <f>SUM(C116:N116)</f>
        <v>136230.2509301696</v>
      </c>
      <c r="Q116" s="57" t="s">
        <v>101</v>
      </c>
      <c r="R116" s="191">
        <f>employees!T68/Factors!R11</f>
        <v>10985.338012876377</v>
      </c>
      <c r="S116" s="191">
        <f>employees!U68/Factors!S11</f>
        <v>10939.944054145482</v>
      </c>
      <c r="T116" s="191">
        <f>employees!V68/Factors!T11</f>
        <v>10894.92370824365</v>
      </c>
      <c r="U116" s="191">
        <f>employees!W68/Factors!U11</f>
        <v>10850.272381570521</v>
      </c>
      <c r="V116" s="191">
        <f>employees!X68/Factors!V11</f>
        <v>10805.985555523295</v>
      </c>
      <c r="W116" s="191">
        <f>employees!Y68/Factors!W11</f>
        <v>10762.058784972387</v>
      </c>
      <c r="X116" s="191">
        <f>employees!Z68/Factors!X11</f>
        <v>10718.487696774118</v>
      </c>
      <c r="Y116" s="191">
        <f>employees!AA68/Factors!Y11</f>
        <v>10675.267988319385</v>
      </c>
      <c r="Z116" s="191">
        <f>employees!AB68/Factors!Z11</f>
        <v>10632.395426117298</v>
      </c>
      <c r="AA116" s="191">
        <f>employees!AC68/Factors!AA11</f>
        <v>10589.86584441283</v>
      </c>
      <c r="AB116" s="191">
        <f>employees!AD68/Factors!AB11</f>
        <v>10547.675143837481</v>
      </c>
      <c r="AC116" s="191">
        <f>employees!AE68/Factors!AC11</f>
        <v>10505.819290092095</v>
      </c>
      <c r="AD116" s="187">
        <f>SUM(R116:AC116)</f>
        <v>128908.03388688491</v>
      </c>
      <c r="AF116" s="57" t="s">
        <v>101</v>
      </c>
      <c r="AG116" s="191">
        <f>employees!AH68/Factors!AG11</f>
        <v>0</v>
      </c>
      <c r="AH116" s="191">
        <f>employees!AI68/Factors!AH11</f>
        <v>0</v>
      </c>
      <c r="AI116" s="191">
        <f>employees!AJ68/Factors!AI11</f>
        <v>0</v>
      </c>
      <c r="AJ116" s="191">
        <f>employees!AK68/Factors!AJ11</f>
        <v>0</v>
      </c>
      <c r="AK116" s="191">
        <f>employees!AL68/Factors!AK11</f>
        <v>0</v>
      </c>
      <c r="AL116" s="191">
        <f>employees!AM68/Factors!AL11</f>
        <v>0</v>
      </c>
      <c r="AM116" s="191">
        <f>employees!AN68/Factors!AM11</f>
        <v>0</v>
      </c>
      <c r="AN116" s="191">
        <f>employees!AO68/Factors!AN11</f>
        <v>0</v>
      </c>
      <c r="AO116" s="191">
        <f>employees!AP68/Factors!AO11</f>
        <v>0</v>
      </c>
      <c r="AP116" s="191">
        <f>employees!AQ68/Factors!AP11</f>
        <v>0</v>
      </c>
      <c r="AQ116" s="191">
        <f>employees!AR68/Factors!AQ11</f>
        <v>0</v>
      </c>
      <c r="AR116" s="191">
        <f>employees!AS68/Factors!AR11</f>
        <v>0</v>
      </c>
      <c r="AS116" s="187">
        <f>SUM(AG116:AR116)</f>
        <v>0</v>
      </c>
    </row>
    <row r="117" spans="1:45" hidden="1">
      <c r="A117" s="63" t="s">
        <v>394</v>
      </c>
      <c r="B117" s="57" t="s">
        <v>650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3">
        <f>SUM(C117:N117)</f>
        <v>0</v>
      </c>
      <c r="Q117" s="57" t="s">
        <v>650</v>
      </c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>
        <f>SUM(R117:AC117)</f>
        <v>0</v>
      </c>
      <c r="AF117" s="57" t="s">
        <v>650</v>
      </c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>
        <f>SUM(AG117:AR117)</f>
        <v>0</v>
      </c>
    </row>
    <row r="118" spans="1:45">
      <c r="A118" s="63" t="s">
        <v>395</v>
      </c>
      <c r="B118" s="57" t="s">
        <v>643</v>
      </c>
      <c r="C118" s="21">
        <f>'P&amp;LPLN'!C117/Factors!C11</f>
        <v>5562.6629579326463</v>
      </c>
      <c r="D118" s="21">
        <f>'P&amp;LPLN'!D117/Factors!D11</f>
        <v>5554.8969745450249</v>
      </c>
      <c r="E118" s="21">
        <f>'P&amp;LPLN'!E117/Factors!E11</f>
        <v>5547.1526449648982</v>
      </c>
      <c r="F118" s="21">
        <f>'P&amp;LPLN'!F117/Factors!F11</f>
        <v>5539.429878752735</v>
      </c>
      <c r="G118" s="21">
        <f>'P&amp;LPLN'!G117/Factors!G11</f>
        <v>5531.7285859719468</v>
      </c>
      <c r="H118" s="21">
        <f>'P&amp;LPLN'!H117/Factors!H11</f>
        <v>5524.048677185393</v>
      </c>
      <c r="I118" s="21">
        <f>'P&amp;LPLN'!I117/Factors!I11</f>
        <v>5516.3900634519205</v>
      </c>
      <c r="J118" s="21">
        <f>'P&amp;LPLN'!J117/Factors!J11</f>
        <v>5508.7526563229321</v>
      </c>
      <c r="K118" s="21">
        <f>'P&amp;LPLN'!K117/Factors!K11</f>
        <v>5501.136367838978</v>
      </c>
      <c r="L118" s="21">
        <f>'P&amp;LPLN'!L117/Factors!L11</f>
        <v>5493.5411105263793</v>
      </c>
      <c r="M118" s="21">
        <f>'P&amp;LPLN'!M117/Factors!M11</f>
        <v>5485.9667973938822</v>
      </c>
      <c r="N118" s="21">
        <f>'P&amp;LPLN'!N117/Factors!N11</f>
        <v>5478.4133419293348</v>
      </c>
      <c r="O118" s="3">
        <f>SUM(C118:N118)</f>
        <v>66244.120056816071</v>
      </c>
      <c r="Q118" s="57" t="s">
        <v>643</v>
      </c>
      <c r="R118" s="21">
        <f>'P&amp;LPLN'!R117/Factors!R11</f>
        <v>6001.2494699972804</v>
      </c>
      <c r="S118" s="21">
        <f>'P&amp;LPLN'!S117/Factors!S11</f>
        <v>5976.4509184683666</v>
      </c>
      <c r="T118" s="21">
        <f>'P&amp;LPLN'!T117/Factors!T11</f>
        <v>5951.8564702442172</v>
      </c>
      <c r="U118" s="21">
        <f>'P&amp;LPLN'!U117/Factors!U11</f>
        <v>5927.4636158579706</v>
      </c>
      <c r="V118" s="21">
        <f>'P&amp;LPLN'!V117/Factors!V11</f>
        <v>5903.2698868136522</v>
      </c>
      <c r="W118" s="21">
        <f>'P&amp;LPLN'!W117/Factors!W11</f>
        <v>5879.2728547534343</v>
      </c>
      <c r="X118" s="21">
        <f>'P&amp;LPLN'!X117/Factors!X11</f>
        <v>5855.4701306451207</v>
      </c>
      <c r="Y118" s="21">
        <f>'P&amp;LPLN'!Y117/Factors!Y11</f>
        <v>5831.8593639892943</v>
      </c>
      <c r="Z118" s="21">
        <f>'P&amp;LPLN'!Z117/Factors!Z11</f>
        <v>5808.4382420455622</v>
      </c>
      <c r="AA118" s="21">
        <f>'P&amp;LPLN'!AA117/Factors!AA11</f>
        <v>5785.2044890773795</v>
      </c>
      <c r="AB118" s="21">
        <f>'P&amp;LPLN'!AB117/Factors!AB11</f>
        <v>5762.15586561492</v>
      </c>
      <c r="AC118" s="21">
        <f>'P&amp;LPLN'!AC117/Factors!AC11</f>
        <v>5739.2901677354967</v>
      </c>
      <c r="AD118" s="21">
        <f>SUM(R118:AC118)</f>
        <v>70421.981475242705</v>
      </c>
      <c r="AF118" s="57" t="s">
        <v>643</v>
      </c>
      <c r="AG118" s="21">
        <f>'P&amp;LPLN'!AG117/Factors!AG11</f>
        <v>0</v>
      </c>
      <c r="AH118" s="21">
        <f>'P&amp;LPLN'!AH117/Factors!AH11</f>
        <v>0</v>
      </c>
      <c r="AI118" s="21">
        <f>'P&amp;LPLN'!AI117/Factors!AI11</f>
        <v>0</v>
      </c>
      <c r="AJ118" s="21">
        <f>'P&amp;LPLN'!AJ117/Factors!AJ11</f>
        <v>0</v>
      </c>
      <c r="AK118" s="21">
        <f>'P&amp;LPLN'!AK117/Factors!AK11</f>
        <v>0</v>
      </c>
      <c r="AL118" s="21">
        <f>'P&amp;LPLN'!AL117/Factors!AL11</f>
        <v>0</v>
      </c>
      <c r="AM118" s="21">
        <f>'P&amp;LPLN'!AM117/Factors!AM11</f>
        <v>0</v>
      </c>
      <c r="AN118" s="21">
        <f>'P&amp;LPLN'!AN117/Factors!AN11</f>
        <v>0</v>
      </c>
      <c r="AO118" s="21">
        <f>'P&amp;LPLN'!AO117/Factors!AO11</f>
        <v>0</v>
      </c>
      <c r="AP118" s="21">
        <f>'P&amp;LPLN'!AP117/Factors!AP11</f>
        <v>0</v>
      </c>
      <c r="AQ118" s="21">
        <f>'P&amp;LPLN'!AQ117/Factors!AQ11</f>
        <v>0</v>
      </c>
      <c r="AR118" s="21">
        <f>'P&amp;LPLN'!AR117/Factors!AR11</f>
        <v>0</v>
      </c>
      <c r="AS118" s="21">
        <f>SUM(AG118:AR118)</f>
        <v>0</v>
      </c>
    </row>
    <row r="119" spans="1:45" hidden="1">
      <c r="A119" s="63" t="s">
        <v>397</v>
      </c>
      <c r="B119" s="55" t="s">
        <v>818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3">
        <f>SUM(C119:N119)</f>
        <v>0</v>
      </c>
      <c r="Q119" s="57" t="s">
        <v>644</v>
      </c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>
        <f>SUM(R119:AC119)</f>
        <v>0</v>
      </c>
      <c r="AF119" s="57" t="s">
        <v>644</v>
      </c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>
        <f>SUM(AG119:AR119)</f>
        <v>0</v>
      </c>
    </row>
    <row r="120" spans="1:45" ht="13.5" thickBot="1">
      <c r="A120" s="63"/>
      <c r="B120" s="136" t="s">
        <v>97</v>
      </c>
      <c r="C120" s="19">
        <f>SUM(C115:C119)</f>
        <v>158569.34039663407</v>
      </c>
      <c r="D120" s="19">
        <f t="shared" ref="D120:O120" si="42">SUM(D115:D119)</f>
        <v>72213.660669085337</v>
      </c>
      <c r="E120" s="19">
        <f t="shared" si="42"/>
        <v>72112.98438454367</v>
      </c>
      <c r="F120" s="19">
        <f t="shared" si="42"/>
        <v>72012.58842378555</v>
      </c>
      <c r="G120" s="19">
        <f t="shared" si="42"/>
        <v>71912.471617635296</v>
      </c>
      <c r="H120" s="19">
        <f t="shared" si="42"/>
        <v>71812.632803410102</v>
      </c>
      <c r="I120" s="19">
        <f t="shared" si="42"/>
        <v>71713.070824874972</v>
      </c>
      <c r="J120" s="19">
        <f t="shared" si="42"/>
        <v>71613.784532198115</v>
      </c>
      <c r="K120" s="19">
        <f t="shared" si="42"/>
        <v>71514.772781906708</v>
      </c>
      <c r="L120" s="19">
        <f t="shared" si="42"/>
        <v>71416.034436842921</v>
      </c>
      <c r="M120" s="19">
        <f t="shared" si="42"/>
        <v>71317.568366120468</v>
      </c>
      <c r="N120" s="19">
        <f t="shared" si="42"/>
        <v>71219.37344508135</v>
      </c>
      <c r="O120" s="19">
        <f t="shared" si="42"/>
        <v>947428.28268211847</v>
      </c>
      <c r="Q120" s="57"/>
      <c r="R120" s="19">
        <f t="shared" ref="R120:AD120" si="43">SUM(R115:R119)</f>
        <v>78016.243109964635</v>
      </c>
      <c r="S120" s="53">
        <f t="shared" si="43"/>
        <v>77693.861940088755</v>
      </c>
      <c r="T120" s="53">
        <f t="shared" si="43"/>
        <v>77374.13411317482</v>
      </c>
      <c r="U120" s="53">
        <f t="shared" si="43"/>
        <v>77057.027006153599</v>
      </c>
      <c r="V120" s="53">
        <f t="shared" si="43"/>
        <v>76742.508528577469</v>
      </c>
      <c r="W120" s="53">
        <f t="shared" si="43"/>
        <v>76430.547111794629</v>
      </c>
      <c r="X120" s="53">
        <f t="shared" si="43"/>
        <v>76121.111698386565</v>
      </c>
      <c r="Y120" s="53">
        <f t="shared" si="43"/>
        <v>75814.171731860813</v>
      </c>
      <c r="Z120" s="53">
        <f t="shared" si="43"/>
        <v>75509.697146592298</v>
      </c>
      <c r="AA120" s="53">
        <f t="shared" si="43"/>
        <v>75207.658358005938</v>
      </c>
      <c r="AB120" s="53">
        <f t="shared" si="43"/>
        <v>74908.02625299395</v>
      </c>
      <c r="AC120" s="53">
        <f t="shared" si="43"/>
        <v>74610.772180561442</v>
      </c>
      <c r="AD120" s="53">
        <f t="shared" si="43"/>
        <v>915485.7591781551</v>
      </c>
      <c r="AF120" s="57"/>
      <c r="AG120" s="19">
        <f t="shared" ref="AG120:AS120" si="44">SUM(AG115:AG119)</f>
        <v>0</v>
      </c>
      <c r="AH120" s="53">
        <f t="shared" si="44"/>
        <v>0</v>
      </c>
      <c r="AI120" s="53">
        <f t="shared" si="44"/>
        <v>0</v>
      </c>
      <c r="AJ120" s="53">
        <f t="shared" si="44"/>
        <v>0</v>
      </c>
      <c r="AK120" s="53">
        <f t="shared" si="44"/>
        <v>0</v>
      </c>
      <c r="AL120" s="53">
        <f t="shared" si="44"/>
        <v>0</v>
      </c>
      <c r="AM120" s="53">
        <f t="shared" si="44"/>
        <v>0</v>
      </c>
      <c r="AN120" s="53">
        <f t="shared" si="44"/>
        <v>0</v>
      </c>
      <c r="AO120" s="53">
        <f t="shared" si="44"/>
        <v>0</v>
      </c>
      <c r="AP120" s="53">
        <f t="shared" si="44"/>
        <v>0</v>
      </c>
      <c r="AQ120" s="53">
        <f t="shared" si="44"/>
        <v>0</v>
      </c>
      <c r="AR120" s="53">
        <f t="shared" si="44"/>
        <v>0</v>
      </c>
      <c r="AS120" s="53">
        <f t="shared" si="44"/>
        <v>0</v>
      </c>
    </row>
    <row r="121" spans="1:45" ht="13.5" thickTop="1">
      <c r="A121" s="63"/>
      <c r="B121" s="55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0"/>
      <c r="Q121" s="57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0"/>
      <c r="AF121" s="57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0"/>
    </row>
    <row r="122" spans="1:45">
      <c r="A122" s="64" t="s">
        <v>399</v>
      </c>
      <c r="B122" s="55" t="s">
        <v>24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0"/>
      <c r="Q122" s="55" t="s">
        <v>646</v>
      </c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0"/>
      <c r="AF122" s="55" t="s">
        <v>646</v>
      </c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0"/>
    </row>
    <row r="123" spans="1:45" s="108" customFormat="1">
      <c r="A123" s="63" t="s">
        <v>400</v>
      </c>
      <c r="B123" s="57" t="s">
        <v>647</v>
      </c>
      <c r="C123" s="186">
        <f>'P&amp;LPLN'!C122/Factors!C$11</f>
        <v>1463.9531648757315</v>
      </c>
      <c r="D123" s="186">
        <f>'P&amp;LPLN'!D122/Factors!D$11</f>
        <v>1461.9093531178275</v>
      </c>
      <c r="E123" s="186">
        <f>'P&amp;LPLN'!E122/Factors!E$11</f>
        <v>1459.8712400981451</v>
      </c>
      <c r="F123" s="186">
        <f>'P&amp;LPLN'!F122/Factors!F$11</f>
        <v>1457.8388020152718</v>
      </c>
      <c r="G123" s="186">
        <f>'P&amp;LPLN'!G122/Factors!G$11</f>
        <v>1455.8120152001561</v>
      </c>
      <c r="H123" s="186">
        <f>'P&amp;LPLN'!H122/Factors!H$11</f>
        <v>1453.7908561151894</v>
      </c>
      <c r="I123" s="186">
        <f>'P&amp;LPLN'!I122/Factors!I$11</f>
        <v>1451.7753013532947</v>
      </c>
      <c r="J123" s="186">
        <f>'P&amp;LPLN'!J122/Factors!J$11</f>
        <v>1449.7653276370222</v>
      </c>
      <c r="K123" s="186">
        <f>'P&amp;LPLN'!K122/Factors!K$11</f>
        <v>1447.7609118176542</v>
      </c>
      <c r="L123" s="186">
        <f>'P&amp;LPLN'!L122/Factors!L$11</f>
        <v>1445.7620308743162</v>
      </c>
      <c r="M123" s="186">
        <f>'P&amp;LPLN'!M122/Factors!M$11</f>
        <v>1443.7686619130948</v>
      </c>
      <c r="N123" s="186">
        <f>'P&amp;LPLN'!N122/Factors!N$11</f>
        <v>1441.780782166165</v>
      </c>
      <c r="O123" s="125">
        <f>SUM(C123:N123)</f>
        <v>17433.78844718387</v>
      </c>
      <c r="P123" s="125"/>
      <c r="Q123" s="57" t="s">
        <v>647</v>
      </c>
      <c r="R123" s="186">
        <f>'P&amp;LPLN'!R122/Factors!R$11</f>
        <v>1435.7982892941061</v>
      </c>
      <c r="S123" s="186">
        <f>'P&amp;LPLN'!S122/Factors!S$11</f>
        <v>1429.8652385118992</v>
      </c>
      <c r="T123" s="186">
        <f>'P&amp;LPLN'!T122/Factors!T$11</f>
        <v>1423.9810194233728</v>
      </c>
      <c r="U123" s="186">
        <f>'P&amp;LPLN'!U122/Factors!U$11</f>
        <v>1418.1450316388509</v>
      </c>
      <c r="V123" s="186">
        <f>'P&amp;LPLN'!V122/Factors!V$11</f>
        <v>1412.3566845709372</v>
      </c>
      <c r="W123" s="186">
        <f>'P&amp;LPLN'!W122/Factors!W$11</f>
        <v>1406.6153972352831</v>
      </c>
      <c r="X123" s="186">
        <f>'P&amp;LPLN'!X122/Factors!X$11</f>
        <v>1400.9205980561928</v>
      </c>
      <c r="Y123" s="186">
        <f>'P&amp;LPLN'!Y122/Factors!Y$11</f>
        <v>1395.2717246769341</v>
      </c>
      <c r="Z123" s="186">
        <f>'P&amp;LPLN'!Z122/Factors!Z$11</f>
        <v>1389.6682237746172</v>
      </c>
      <c r="AA123" s="186">
        <f>'P&amp;LPLN'!AA122/Factors!AA$11</f>
        <v>1384.1095508795188</v>
      </c>
      <c r="AB123" s="186">
        <f>'P&amp;LPLN'!AB122/Factors!AB$11</f>
        <v>1378.5951701987237</v>
      </c>
      <c r="AC123" s="186">
        <f>'P&amp;LPLN'!AC122/Factors!AC$11</f>
        <v>1373.1245544439671</v>
      </c>
      <c r="AD123" s="187">
        <f>SUM(R123:AC123)</f>
        <v>16848.4514827044</v>
      </c>
      <c r="AF123" s="57" t="s">
        <v>647</v>
      </c>
      <c r="AG123" s="186">
        <f>'P&amp;LPLN'!AG122/Factors!AG$11</f>
        <v>0</v>
      </c>
      <c r="AH123" s="186">
        <f>'P&amp;LPLN'!AH122/Factors!AH$11</f>
        <v>0</v>
      </c>
      <c r="AI123" s="186">
        <f>'P&amp;LPLN'!AI122/Factors!AI$11</f>
        <v>0</v>
      </c>
      <c r="AJ123" s="186">
        <f>'P&amp;LPLN'!AJ122/Factors!AJ$11</f>
        <v>0</v>
      </c>
      <c r="AK123" s="186">
        <f>'P&amp;LPLN'!AK122/Factors!AK$11</f>
        <v>0</v>
      </c>
      <c r="AL123" s="186">
        <f>'P&amp;LPLN'!AL122/Factors!AL$11</f>
        <v>0</v>
      </c>
      <c r="AM123" s="186">
        <f>'P&amp;LPLN'!AM122/Factors!AM$11</f>
        <v>0</v>
      </c>
      <c r="AN123" s="186">
        <f>'P&amp;LPLN'!AN122/Factors!AN$11</f>
        <v>0</v>
      </c>
      <c r="AO123" s="186">
        <f>'P&amp;LPLN'!AO122/Factors!AO$11</f>
        <v>0</v>
      </c>
      <c r="AP123" s="186">
        <f>'P&amp;LPLN'!AP122/Factors!AP$11</f>
        <v>0</v>
      </c>
      <c r="AQ123" s="186">
        <f>'P&amp;LPLN'!AQ122/Factors!AQ$11</f>
        <v>0</v>
      </c>
      <c r="AR123" s="186">
        <f>'P&amp;LPLN'!AR122/Factors!AR$11</f>
        <v>0</v>
      </c>
      <c r="AS123" s="187">
        <f>SUM(AG123:AR123)</f>
        <v>0</v>
      </c>
    </row>
    <row r="124" spans="1:45" s="108" customFormat="1">
      <c r="A124" s="63" t="s">
        <v>402</v>
      </c>
      <c r="B124" s="57" t="s">
        <v>648</v>
      </c>
      <c r="C124" s="186">
        <f>'P&amp;LPLN'!C123/Factors!C$11</f>
        <v>3137.0424961622816</v>
      </c>
      <c r="D124" s="186">
        <f>'P&amp;LPLN'!D123/Factors!D$11</f>
        <v>3132.6628995382016</v>
      </c>
      <c r="E124" s="186">
        <f>'P&amp;LPLN'!E123/Factors!E$11</f>
        <v>3128.2955144960251</v>
      </c>
      <c r="F124" s="186">
        <f>'P&amp;LPLN'!F123/Factors!F$11</f>
        <v>3123.940290032725</v>
      </c>
      <c r="G124" s="186">
        <f>'P&amp;LPLN'!G123/Factors!G$11</f>
        <v>3119.5971754289058</v>
      </c>
      <c r="H124" s="186">
        <f>'P&amp;LPLN'!H123/Factors!H$11</f>
        <v>3115.2661202468344</v>
      </c>
      <c r="I124" s="186">
        <f>'P&amp;LPLN'!I123/Factors!I$11</f>
        <v>3110.9470743284883</v>
      </c>
      <c r="J124" s="186">
        <f>'P&amp;LPLN'!J123/Factors!J$11</f>
        <v>3106.6399877936187</v>
      </c>
      <c r="K124" s="186">
        <f>'P&amp;LPLN'!K123/Factors!K$11</f>
        <v>3102.3448110378308</v>
      </c>
      <c r="L124" s="186">
        <f>'P&amp;LPLN'!L123/Factors!L$11</f>
        <v>3098.0614947306776</v>
      </c>
      <c r="M124" s="186">
        <f>'P&amp;LPLN'!M123/Factors!M$11</f>
        <v>3093.7899898137748</v>
      </c>
      <c r="N124" s="186">
        <f>'P&amp;LPLN'!N123/Factors!N$11</f>
        <v>3089.5302474989248</v>
      </c>
      <c r="O124" s="125">
        <f>SUM(C124:N124)</f>
        <v>37358.118101108288</v>
      </c>
      <c r="P124" s="125"/>
      <c r="Q124" s="57" t="s">
        <v>648</v>
      </c>
      <c r="R124" s="186">
        <f>'P&amp;LPLN'!R123/Factors!R$11</f>
        <v>2994.66500338485</v>
      </c>
      <c r="S124" s="186">
        <f>'P&amp;LPLN'!S123/Factors!S$11</f>
        <v>2982.2903546105326</v>
      </c>
      <c r="T124" s="186">
        <f>'P&amp;LPLN'!T123/Factors!T$11</f>
        <v>2970.0175547973204</v>
      </c>
      <c r="U124" s="186">
        <f>'P&amp;LPLN'!U123/Factors!U$11</f>
        <v>2957.8453517038888</v>
      </c>
      <c r="V124" s="186">
        <f>'P&amp;LPLN'!V123/Factors!V$11</f>
        <v>2945.7725135336691</v>
      </c>
      <c r="W124" s="186">
        <f>'P&amp;LPLN'!W123/Factors!W$11</f>
        <v>2933.7978285193049</v>
      </c>
      <c r="X124" s="186">
        <f>'P&amp;LPLN'!X123/Factors!X$11</f>
        <v>2921.9201045172022</v>
      </c>
      <c r="Y124" s="186">
        <f>'P&amp;LPLN'!Y123/Factors!Y$11</f>
        <v>2910.1381686118912</v>
      </c>
      <c r="Z124" s="186">
        <f>'P&amp;LPLN'!Z123/Factors!Z$11</f>
        <v>2898.4508667299156</v>
      </c>
      <c r="AA124" s="186">
        <f>'P&amp;LPLN'!AA123/Factors!AA$11</f>
        <v>2886.8570632629962</v>
      </c>
      <c r="AB124" s="186">
        <f>'P&amp;LPLN'!AB123/Factors!AB$11</f>
        <v>2875.3556407001956</v>
      </c>
      <c r="AC124" s="186">
        <f>'P&amp;LPLN'!AC123/Factors!AC$11</f>
        <v>2863.9454992688457</v>
      </c>
      <c r="AD124" s="187">
        <f>SUM(R124:AC124)</f>
        <v>35141.055949640613</v>
      </c>
      <c r="AF124" s="57" t="s">
        <v>648</v>
      </c>
      <c r="AG124" s="186">
        <f>'P&amp;LPLN'!AG123/Factors!AG$11</f>
        <v>0</v>
      </c>
      <c r="AH124" s="186">
        <f>'P&amp;LPLN'!AH123/Factors!AH$11</f>
        <v>0</v>
      </c>
      <c r="AI124" s="186">
        <f>'P&amp;LPLN'!AI123/Factors!AI$11</f>
        <v>0</v>
      </c>
      <c r="AJ124" s="186">
        <f>'P&amp;LPLN'!AJ123/Factors!AJ$11</f>
        <v>0</v>
      </c>
      <c r="AK124" s="186">
        <f>'P&amp;LPLN'!AK123/Factors!AK$11</f>
        <v>0</v>
      </c>
      <c r="AL124" s="186">
        <f>'P&amp;LPLN'!AL123/Factors!AL$11</f>
        <v>0</v>
      </c>
      <c r="AM124" s="186">
        <f>'P&amp;LPLN'!AM123/Factors!AM$11</f>
        <v>0</v>
      </c>
      <c r="AN124" s="186">
        <f>'P&amp;LPLN'!AN123/Factors!AN$11</f>
        <v>0</v>
      </c>
      <c r="AO124" s="186">
        <f>'P&amp;LPLN'!AO123/Factors!AO$11</f>
        <v>0</v>
      </c>
      <c r="AP124" s="186">
        <f>'P&amp;LPLN'!AP123/Factors!AP$11</f>
        <v>0</v>
      </c>
      <c r="AQ124" s="186">
        <f>'P&amp;LPLN'!AQ123/Factors!AQ$11</f>
        <v>0</v>
      </c>
      <c r="AR124" s="186">
        <f>'P&amp;LPLN'!AR123/Factors!AR$11</f>
        <v>0</v>
      </c>
      <c r="AS124" s="187">
        <f>SUM(AG124:AR124)</f>
        <v>0</v>
      </c>
    </row>
    <row r="125" spans="1:45" s="108" customFormat="1">
      <c r="A125" s="63" t="s">
        <v>404</v>
      </c>
      <c r="B125" s="57" t="s">
        <v>633</v>
      </c>
      <c r="C125" s="186">
        <f>'P&amp;LPLN'!C124/Factors!C$11</f>
        <v>580.93379558560775</v>
      </c>
      <c r="D125" s="186">
        <f>'P&amp;LPLN'!D124/Factors!D$11</f>
        <v>580.12275917374109</v>
      </c>
      <c r="E125" s="186">
        <f>'P&amp;LPLN'!E124/Factors!E$11</f>
        <v>579.31398416593061</v>
      </c>
      <c r="F125" s="186">
        <f>'P&amp;LPLN'!F124/Factors!F$11</f>
        <v>578.50746111717126</v>
      </c>
      <c r="G125" s="186">
        <f>'P&amp;LPLN'!G124/Factors!G$11</f>
        <v>577.70318063498257</v>
      </c>
      <c r="H125" s="186">
        <f>'P&amp;LPLN'!H124/Factors!H$11</f>
        <v>576.90113337904347</v>
      </c>
      <c r="I125" s="186">
        <f>'P&amp;LPLN'!I124/Factors!I$11</f>
        <v>576.10131006083122</v>
      </c>
      <c r="J125" s="186">
        <f>'P&amp;LPLN'!J124/Factors!J$11</f>
        <v>575.30370144326275</v>
      </c>
      <c r="K125" s="186">
        <f>'P&amp;LPLN'!K124/Factors!K$11</f>
        <v>574.50829834033902</v>
      </c>
      <c r="L125" s="186">
        <f>'P&amp;LPLN'!L124/Factors!L$11</f>
        <v>573.71509161679217</v>
      </c>
      <c r="M125" s="186">
        <f>'P&amp;LPLN'!M124/Factors!M$11</f>
        <v>572.9240721877361</v>
      </c>
      <c r="N125" s="186">
        <f>'P&amp;LPLN'!N124/Factors!N$11</f>
        <v>572.13523101831936</v>
      </c>
      <c r="O125" s="125">
        <f>SUM(C125:N125)</f>
        <v>6918.1700187237566</v>
      </c>
      <c r="P125" s="125"/>
      <c r="Q125" s="57" t="s">
        <v>633</v>
      </c>
      <c r="R125" s="186">
        <f>'P&amp;LPLN'!R124/Factors!R$11</f>
        <v>227.90449036414384</v>
      </c>
      <c r="S125" s="186">
        <f>'P&amp;LPLN'!S124/Factors!S$11</f>
        <v>226.96273627173002</v>
      </c>
      <c r="T125" s="186">
        <f>'P&amp;LPLN'!T124/Factors!T$11</f>
        <v>226.02873324180521</v>
      </c>
      <c r="U125" s="186">
        <f>'P&amp;LPLN'!U124/Factors!U$11</f>
        <v>225.10238597442077</v>
      </c>
      <c r="V125" s="186">
        <f>'P&amp;LPLN'!V124/Factors!V$11</f>
        <v>224.1836007255456</v>
      </c>
      <c r="W125" s="186">
        <f>'P&amp;LPLN'!W124/Factors!W$11</f>
        <v>223.27228527544176</v>
      </c>
      <c r="X125" s="186">
        <f>'P&amp;LPLN'!X124/Factors!X$11</f>
        <v>222.3683488978084</v>
      </c>
      <c r="Y125" s="186">
        <f>'P&amp;LPLN'!Y124/Factors!Y$11</f>
        <v>221.47170232967207</v>
      </c>
      <c r="Z125" s="186">
        <f>'P&amp;LPLN'!Z124/Factors!Z$11</f>
        <v>220.58225774200272</v>
      </c>
      <c r="AA125" s="186">
        <f>'P&amp;LPLN'!AA124/Factors!AA$11</f>
        <v>219.69992871103472</v>
      </c>
      <c r="AB125" s="186">
        <f>'P&amp;LPLN'!AB124/Factors!AB$11</f>
        <v>218.82463019027364</v>
      </c>
      <c r="AC125" s="186">
        <f>'P&amp;LPLN'!AC124/Factors!AC$11</f>
        <v>217.95627848316937</v>
      </c>
      <c r="AD125" s="187">
        <f>SUM(R125:AC125)</f>
        <v>2674.357378207048</v>
      </c>
      <c r="AF125" s="57" t="s">
        <v>633</v>
      </c>
      <c r="AG125" s="186">
        <f>'P&amp;LPLN'!AG124/Factors!AG$11</f>
        <v>0</v>
      </c>
      <c r="AH125" s="186">
        <f>'P&amp;LPLN'!AH124/Factors!AH$11</f>
        <v>0</v>
      </c>
      <c r="AI125" s="186">
        <f>'P&amp;LPLN'!AI124/Factors!AI$11</f>
        <v>0</v>
      </c>
      <c r="AJ125" s="186">
        <f>'P&amp;LPLN'!AJ124/Factors!AJ$11</f>
        <v>0</v>
      </c>
      <c r="AK125" s="186">
        <f>'P&amp;LPLN'!AK124/Factors!AK$11</f>
        <v>0</v>
      </c>
      <c r="AL125" s="186">
        <f>'P&amp;LPLN'!AL124/Factors!AL$11</f>
        <v>0</v>
      </c>
      <c r="AM125" s="186">
        <f>'P&amp;LPLN'!AM124/Factors!AM$11</f>
        <v>0</v>
      </c>
      <c r="AN125" s="186">
        <f>'P&amp;LPLN'!AN124/Factors!AN$11</f>
        <v>0</v>
      </c>
      <c r="AO125" s="186">
        <f>'P&amp;LPLN'!AO124/Factors!AO$11</f>
        <v>0</v>
      </c>
      <c r="AP125" s="186">
        <f>'P&amp;LPLN'!AP124/Factors!AP$11</f>
        <v>0</v>
      </c>
      <c r="AQ125" s="186">
        <f>'P&amp;LPLN'!AQ124/Factors!AQ$11</f>
        <v>0</v>
      </c>
      <c r="AR125" s="186">
        <f>'P&amp;LPLN'!AR124/Factors!AR$11</f>
        <v>0</v>
      </c>
      <c r="AS125" s="187">
        <f>SUM(AG125:AR125)</f>
        <v>0</v>
      </c>
    </row>
    <row r="126" spans="1:45" s="108" customFormat="1">
      <c r="A126" s="63" t="s">
        <v>406</v>
      </c>
      <c r="B126" s="57" t="s">
        <v>651</v>
      </c>
      <c r="C126" s="186">
        <f>'P&amp;LPLN'!C125/Factors!C$11</f>
        <v>2556.108700576674</v>
      </c>
      <c r="D126" s="186">
        <f>'P&amp;LPLN'!D125/Factors!D$11</f>
        <v>2552.5401403644605</v>
      </c>
      <c r="E126" s="186">
        <f>'P&amp;LPLN'!E125/Factors!E$11</f>
        <v>2548.9815303300948</v>
      </c>
      <c r="F126" s="186">
        <f>'P&amp;LPLN'!F125/Factors!F$11</f>
        <v>2545.4328289155537</v>
      </c>
      <c r="G126" s="186">
        <f>'P&amp;LPLN'!G125/Factors!G$11</f>
        <v>2541.8939947939234</v>
      </c>
      <c r="H126" s="186">
        <f>'P&amp;LPLN'!H125/Factors!H$11</f>
        <v>2538.3649868677912</v>
      </c>
      <c r="I126" s="186">
        <f>'P&amp;LPLN'!I125/Factors!I$11</f>
        <v>2534.8457642676572</v>
      </c>
      <c r="J126" s="186">
        <f>'P&amp;LPLN'!J125/Factors!J$11</f>
        <v>2531.3362863503562</v>
      </c>
      <c r="K126" s="186">
        <f>'P&amp;LPLN'!K125/Factors!K$11</f>
        <v>2527.8365126974918</v>
      </c>
      <c r="L126" s="186">
        <f>'P&amp;LPLN'!L125/Factors!L$11</f>
        <v>2524.3464031138856</v>
      </c>
      <c r="M126" s="186">
        <f>'P&amp;LPLN'!M125/Factors!M$11</f>
        <v>2520.8659176260385</v>
      </c>
      <c r="N126" s="186">
        <f>'P&amp;LPLN'!N125/Factors!N$11</f>
        <v>2517.3950164806051</v>
      </c>
      <c r="O126" s="125">
        <f>SUM(C126:N126)</f>
        <v>30439.948082384533</v>
      </c>
      <c r="P126" s="125"/>
      <c r="Q126" s="57" t="s">
        <v>651</v>
      </c>
      <c r="R126" s="186">
        <f>'P&amp;LPLN'!R125/Factors!R$11</f>
        <v>1139.5224518207192</v>
      </c>
      <c r="S126" s="186">
        <f>'P&amp;LPLN'!S125/Factors!S$11</f>
        <v>1134.8136813586502</v>
      </c>
      <c r="T126" s="186">
        <f>'P&amp;LPLN'!T125/Factors!T$11</f>
        <v>1130.1436662090262</v>
      </c>
      <c r="U126" s="186">
        <f>'P&amp;LPLN'!U125/Factors!U$11</f>
        <v>1125.5119298721038</v>
      </c>
      <c r="V126" s="186">
        <f>'P&amp;LPLN'!V125/Factors!V$11</f>
        <v>1120.918003627728</v>
      </c>
      <c r="W126" s="186">
        <f>'P&amp;LPLN'!W125/Factors!W$11</f>
        <v>1116.3614263772088</v>
      </c>
      <c r="X126" s="186">
        <f>'P&amp;LPLN'!X125/Factors!X$11</f>
        <v>1111.841744489042</v>
      </c>
      <c r="Y126" s="186">
        <f>'P&amp;LPLN'!Y125/Factors!Y$11</f>
        <v>1107.3585116483605</v>
      </c>
      <c r="Z126" s="186">
        <f>'P&amp;LPLN'!Z125/Factors!Z$11</f>
        <v>1102.9112887100137</v>
      </c>
      <c r="AA126" s="186">
        <f>'P&amp;LPLN'!AA125/Factors!AA$11</f>
        <v>1098.4996435551736</v>
      </c>
      <c r="AB126" s="186">
        <f>'P&amp;LPLN'!AB125/Factors!AB$11</f>
        <v>1094.1231509513682</v>
      </c>
      <c r="AC126" s="186">
        <f>'P&amp;LPLN'!AC125/Factors!AC$11</f>
        <v>1089.7813924158468</v>
      </c>
      <c r="AD126" s="187">
        <f>SUM(R126:AC126)</f>
        <v>13371.786891035241</v>
      </c>
      <c r="AF126" s="57" t="s">
        <v>651</v>
      </c>
      <c r="AG126" s="186">
        <f>'P&amp;LPLN'!AG125/Factors!AG$11</f>
        <v>0</v>
      </c>
      <c r="AH126" s="186">
        <f>'P&amp;LPLN'!AH125/Factors!AH$11</f>
        <v>0</v>
      </c>
      <c r="AI126" s="186">
        <f>'P&amp;LPLN'!AI125/Factors!AI$11</f>
        <v>0</v>
      </c>
      <c r="AJ126" s="186">
        <f>'P&amp;LPLN'!AJ125/Factors!AJ$11</f>
        <v>0</v>
      </c>
      <c r="AK126" s="186">
        <f>'P&amp;LPLN'!AK125/Factors!AK$11</f>
        <v>0</v>
      </c>
      <c r="AL126" s="186">
        <f>'P&amp;LPLN'!AL125/Factors!AL$11</f>
        <v>0</v>
      </c>
      <c r="AM126" s="186">
        <f>'P&amp;LPLN'!AM125/Factors!AM$11</f>
        <v>0</v>
      </c>
      <c r="AN126" s="186">
        <f>'P&amp;LPLN'!AN125/Factors!AN$11</f>
        <v>0</v>
      </c>
      <c r="AO126" s="186">
        <f>'P&amp;LPLN'!AO125/Factors!AO$11</f>
        <v>0</v>
      </c>
      <c r="AP126" s="186">
        <f>'P&amp;LPLN'!AP125/Factors!AP$11</f>
        <v>0</v>
      </c>
      <c r="AQ126" s="186">
        <f>'P&amp;LPLN'!AQ125/Factors!AQ$11</f>
        <v>0</v>
      </c>
      <c r="AR126" s="186">
        <f>'P&amp;LPLN'!AR125/Factors!AR$11</f>
        <v>0</v>
      </c>
      <c r="AS126" s="187">
        <f>SUM(AG126:AR126)</f>
        <v>0</v>
      </c>
    </row>
    <row r="127" spans="1:45" s="108" customFormat="1">
      <c r="A127" s="63" t="s">
        <v>408</v>
      </c>
      <c r="B127" s="57" t="s">
        <v>96</v>
      </c>
      <c r="C127" s="186">
        <f>'P&amp;LPLN'!C126/Factors!C$11</f>
        <v>232.37351823424308</v>
      </c>
      <c r="D127" s="186">
        <f>'P&amp;LPLN'!D126/Factors!D$11</f>
        <v>232.04910366949642</v>
      </c>
      <c r="E127" s="186">
        <f>'P&amp;LPLN'!E126/Factors!E$11</f>
        <v>231.72559366637225</v>
      </c>
      <c r="F127" s="186">
        <f>'P&amp;LPLN'!F126/Factors!F$11</f>
        <v>231.40298444686852</v>
      </c>
      <c r="G127" s="186">
        <f>'P&amp;LPLN'!G126/Factors!G$11</f>
        <v>231.08127225399301</v>
      </c>
      <c r="H127" s="186">
        <f>'P&amp;LPLN'!H126/Factors!H$11</f>
        <v>230.76045335161737</v>
      </c>
      <c r="I127" s="186">
        <f>'P&amp;LPLN'!I126/Factors!I$11</f>
        <v>230.44052402433249</v>
      </c>
      <c r="J127" s="186">
        <f>'P&amp;LPLN'!J126/Factors!J$11</f>
        <v>230.12148057730511</v>
      </c>
      <c r="K127" s="186">
        <f>'P&amp;LPLN'!K126/Factors!K$11</f>
        <v>229.80331933613559</v>
      </c>
      <c r="L127" s="186">
        <f>'P&amp;LPLN'!L126/Factors!L$11</f>
        <v>229.48603664671685</v>
      </c>
      <c r="M127" s="186">
        <f>'P&amp;LPLN'!M126/Factors!M$11</f>
        <v>229.16962887509442</v>
      </c>
      <c r="N127" s="186">
        <f>'P&amp;LPLN'!N126/Factors!N$11</f>
        <v>228.85409240732776</v>
      </c>
      <c r="O127" s="125">
        <f>SUM(C127:N127)</f>
        <v>2767.2680074895029</v>
      </c>
      <c r="P127" s="125"/>
      <c r="Q127" s="57" t="s">
        <v>96</v>
      </c>
      <c r="R127" s="186">
        <f>'P&amp;LPLN'!R126/Factors!R$11</f>
        <v>227.90449036414384</v>
      </c>
      <c r="S127" s="186">
        <f>'P&amp;LPLN'!S126/Factors!S$11</f>
        <v>226.96273627173002</v>
      </c>
      <c r="T127" s="186">
        <f>'P&amp;LPLN'!T126/Factors!T$11</f>
        <v>226.02873324180521</v>
      </c>
      <c r="U127" s="186">
        <f>'P&amp;LPLN'!U126/Factors!U$11</f>
        <v>225.10238597442077</v>
      </c>
      <c r="V127" s="186">
        <f>'P&amp;LPLN'!V126/Factors!V$11</f>
        <v>224.1836007255456</v>
      </c>
      <c r="W127" s="186">
        <f>'P&amp;LPLN'!W126/Factors!W$11</f>
        <v>223.27228527544176</v>
      </c>
      <c r="X127" s="186">
        <f>'P&amp;LPLN'!X126/Factors!X$11</f>
        <v>222.3683488978084</v>
      </c>
      <c r="Y127" s="186">
        <f>'P&amp;LPLN'!Y126/Factors!Y$11</f>
        <v>221.47170232967207</v>
      </c>
      <c r="Z127" s="186">
        <f>'P&amp;LPLN'!Z126/Factors!Z$11</f>
        <v>220.58225774200272</v>
      </c>
      <c r="AA127" s="186">
        <f>'P&amp;LPLN'!AA126/Factors!AA$11</f>
        <v>219.69992871103472</v>
      </c>
      <c r="AB127" s="186">
        <f>'P&amp;LPLN'!AB126/Factors!AB$11</f>
        <v>218.82463019027364</v>
      </c>
      <c r="AC127" s="186">
        <f>'P&amp;LPLN'!AC126/Factors!AC$11</f>
        <v>217.95627848316937</v>
      </c>
      <c r="AD127" s="187">
        <f>SUM(R127:AC127)</f>
        <v>2674.357378207048</v>
      </c>
      <c r="AF127" s="57" t="s">
        <v>96</v>
      </c>
      <c r="AG127" s="186">
        <f>'P&amp;LPLN'!AG126/Factors!AG$11</f>
        <v>0</v>
      </c>
      <c r="AH127" s="186">
        <f>'P&amp;LPLN'!AH126/Factors!AH$11</f>
        <v>0</v>
      </c>
      <c r="AI127" s="186">
        <f>'P&amp;LPLN'!AI126/Factors!AI$11</f>
        <v>0</v>
      </c>
      <c r="AJ127" s="186">
        <f>'P&amp;LPLN'!AJ126/Factors!AJ$11</f>
        <v>0</v>
      </c>
      <c r="AK127" s="186">
        <f>'P&amp;LPLN'!AK126/Factors!AK$11</f>
        <v>0</v>
      </c>
      <c r="AL127" s="186">
        <f>'P&amp;LPLN'!AL126/Factors!AL$11</f>
        <v>0</v>
      </c>
      <c r="AM127" s="186">
        <f>'P&amp;LPLN'!AM126/Factors!AM$11</f>
        <v>0</v>
      </c>
      <c r="AN127" s="186">
        <f>'P&amp;LPLN'!AN126/Factors!AN$11</f>
        <v>0</v>
      </c>
      <c r="AO127" s="186">
        <f>'P&amp;LPLN'!AO126/Factors!AO$11</f>
        <v>0</v>
      </c>
      <c r="AP127" s="186">
        <f>'P&amp;LPLN'!AP126/Factors!AP$11</f>
        <v>0</v>
      </c>
      <c r="AQ127" s="186">
        <f>'P&amp;LPLN'!AQ126/Factors!AQ$11</f>
        <v>0</v>
      </c>
      <c r="AR127" s="186">
        <f>'P&amp;LPLN'!AR126/Factors!AR$11</f>
        <v>0</v>
      </c>
      <c r="AS127" s="187">
        <f>SUM(AG127:AR127)</f>
        <v>0</v>
      </c>
    </row>
    <row r="128" spans="1:45" ht="13.5" thickBot="1">
      <c r="A128" s="63"/>
      <c r="B128" s="136" t="s">
        <v>97</v>
      </c>
      <c r="C128" s="19">
        <f t="shared" ref="C128:O128" si="45">SUM(C123:C127)</f>
        <v>7970.4116754345387</v>
      </c>
      <c r="D128" s="19">
        <f t="shared" si="45"/>
        <v>7959.2842558637276</v>
      </c>
      <c r="E128" s="19">
        <f t="shared" si="45"/>
        <v>7948.1878627565675</v>
      </c>
      <c r="F128" s="19">
        <f t="shared" si="45"/>
        <v>7937.1223665275902</v>
      </c>
      <c r="G128" s="19">
        <f t="shared" si="45"/>
        <v>7926.0876383119603</v>
      </c>
      <c r="H128" s="19">
        <f t="shared" si="45"/>
        <v>7915.0835499604764</v>
      </c>
      <c r="I128" s="19">
        <f t="shared" si="45"/>
        <v>7904.1099740346035</v>
      </c>
      <c r="J128" s="19">
        <f t="shared" si="45"/>
        <v>7893.1667838015655</v>
      </c>
      <c r="K128" s="19">
        <f t="shared" si="45"/>
        <v>7882.2538532294511</v>
      </c>
      <c r="L128" s="19">
        <f t="shared" si="45"/>
        <v>7871.3710569823879</v>
      </c>
      <c r="M128" s="19">
        <f t="shared" si="45"/>
        <v>7860.5182704157387</v>
      </c>
      <c r="N128" s="19">
        <f t="shared" si="45"/>
        <v>7849.6953695713419</v>
      </c>
      <c r="O128" s="19">
        <f t="shared" si="45"/>
        <v>94917.292656889957</v>
      </c>
      <c r="P128" s="3"/>
      <c r="Q128" s="57"/>
      <c r="R128" s="19">
        <f t="shared" ref="R128:AD128" si="46">SUM(R123:R127)</f>
        <v>6025.7947252279646</v>
      </c>
      <c r="S128" s="53">
        <f t="shared" si="46"/>
        <v>6000.894747024543</v>
      </c>
      <c r="T128" s="53">
        <f t="shared" si="46"/>
        <v>5976.1997069133313</v>
      </c>
      <c r="U128" s="53">
        <f t="shared" si="46"/>
        <v>5951.7070851636854</v>
      </c>
      <c r="V128" s="53">
        <f t="shared" si="46"/>
        <v>5927.4144031834257</v>
      </c>
      <c r="W128" s="53">
        <f t="shared" si="46"/>
        <v>5903.3192226826795</v>
      </c>
      <c r="X128" s="53">
        <f t="shared" si="46"/>
        <v>5879.4191448580541</v>
      </c>
      <c r="Y128" s="53">
        <f t="shared" si="46"/>
        <v>5855.7118095965297</v>
      </c>
      <c r="Z128" s="53">
        <f t="shared" si="46"/>
        <v>5832.1948946985531</v>
      </c>
      <c r="AA128" s="53">
        <f t="shared" si="46"/>
        <v>5808.8661151197584</v>
      </c>
      <c r="AB128" s="53">
        <f t="shared" si="46"/>
        <v>5785.7232222308348</v>
      </c>
      <c r="AC128" s="53">
        <f t="shared" si="46"/>
        <v>5762.7640030949979</v>
      </c>
      <c r="AD128" s="53">
        <f t="shared" si="46"/>
        <v>70710.009079794341</v>
      </c>
      <c r="AF128" s="57"/>
      <c r="AG128" s="19">
        <f t="shared" ref="AG128:AS128" si="47">SUM(AG123:AG127)</f>
        <v>0</v>
      </c>
      <c r="AH128" s="53">
        <f t="shared" si="47"/>
        <v>0</v>
      </c>
      <c r="AI128" s="53">
        <f t="shared" si="47"/>
        <v>0</v>
      </c>
      <c r="AJ128" s="53">
        <f t="shared" si="47"/>
        <v>0</v>
      </c>
      <c r="AK128" s="53">
        <f t="shared" si="47"/>
        <v>0</v>
      </c>
      <c r="AL128" s="53">
        <f t="shared" si="47"/>
        <v>0</v>
      </c>
      <c r="AM128" s="53">
        <f t="shared" si="47"/>
        <v>0</v>
      </c>
      <c r="AN128" s="53">
        <f t="shared" si="47"/>
        <v>0</v>
      </c>
      <c r="AO128" s="53">
        <f t="shared" si="47"/>
        <v>0</v>
      </c>
      <c r="AP128" s="53">
        <f t="shared" si="47"/>
        <v>0</v>
      </c>
      <c r="AQ128" s="53">
        <f t="shared" si="47"/>
        <v>0</v>
      </c>
      <c r="AR128" s="53">
        <f t="shared" si="47"/>
        <v>0</v>
      </c>
      <c r="AS128" s="53">
        <f t="shared" si="47"/>
        <v>0</v>
      </c>
    </row>
    <row r="129" spans="1:45" ht="13.5" thickTop="1">
      <c r="A129" s="63"/>
      <c r="B129" s="55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3"/>
      <c r="Q129" s="57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F129" s="57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</row>
    <row r="130" spans="1:45">
      <c r="A130" s="64" t="s">
        <v>410</v>
      </c>
      <c r="B130" s="55" t="s">
        <v>801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"/>
      <c r="Q130" s="55" t="s">
        <v>647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F130" s="55" t="s">
        <v>647</v>
      </c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spans="1:45">
      <c r="A131" s="63" t="s">
        <v>411</v>
      </c>
      <c r="B131" s="57" t="s">
        <v>565</v>
      </c>
      <c r="C131" s="21">
        <f>Oheads!C72</f>
        <v>43854</v>
      </c>
      <c r="D131" s="21">
        <f>Oheads!D72</f>
        <v>43854</v>
      </c>
      <c r="E131" s="21">
        <f>Oheads!E72</f>
        <v>43854</v>
      </c>
      <c r="F131" s="21">
        <f>Oheads!F72</f>
        <v>43854</v>
      </c>
      <c r="G131" s="21">
        <f>Oheads!G72</f>
        <v>43854</v>
      </c>
      <c r="H131" s="21">
        <f>Oheads!H72</f>
        <v>43854</v>
      </c>
      <c r="I131" s="21">
        <f>Oheads!I72</f>
        <v>48239.4</v>
      </c>
      <c r="J131" s="21">
        <f>Oheads!J72</f>
        <v>48239.4</v>
      </c>
      <c r="K131" s="21">
        <f>Oheads!K72</f>
        <v>48239.4</v>
      </c>
      <c r="L131" s="21">
        <f>Oheads!L72</f>
        <v>48239.4</v>
      </c>
      <c r="M131" s="21">
        <f>Oheads!M72</f>
        <v>48239.4</v>
      </c>
      <c r="N131" s="21">
        <f>Oheads!N72</f>
        <v>48239.4</v>
      </c>
      <c r="O131" s="3">
        <f>SUM(C131:N131)</f>
        <v>552560.40000000014</v>
      </c>
      <c r="P131" s="3"/>
      <c r="Q131" s="57" t="s">
        <v>565</v>
      </c>
      <c r="R131" s="21">
        <f>Oheads!Q72</f>
        <v>40000</v>
      </c>
      <c r="S131" s="21">
        <f>Oheads!R72</f>
        <v>40000</v>
      </c>
      <c r="T131" s="21">
        <f>Oheads!S72</f>
        <v>40000</v>
      </c>
      <c r="U131" s="21">
        <f>Oheads!T72</f>
        <v>40000</v>
      </c>
      <c r="V131" s="21">
        <f>Oheads!U72</f>
        <v>40000</v>
      </c>
      <c r="W131" s="21">
        <f>Oheads!V72</f>
        <v>40000</v>
      </c>
      <c r="X131" s="21">
        <f>Oheads!W72</f>
        <v>44000</v>
      </c>
      <c r="Y131" s="21">
        <f>Oheads!X72</f>
        <v>44000</v>
      </c>
      <c r="Z131" s="21">
        <f>Oheads!Y72</f>
        <v>44000</v>
      </c>
      <c r="AA131" s="21">
        <f>Oheads!Z72</f>
        <v>44000</v>
      </c>
      <c r="AB131" s="21">
        <f>Oheads!AA72</f>
        <v>44000</v>
      </c>
      <c r="AC131" s="21">
        <f>Oheads!AB72</f>
        <v>44000</v>
      </c>
      <c r="AD131" s="21">
        <f>SUM(R131:AC131)</f>
        <v>504000</v>
      </c>
      <c r="AF131" s="57" t="s">
        <v>565</v>
      </c>
      <c r="AG131" s="21">
        <f>Oheads!AE72</f>
        <v>40000</v>
      </c>
      <c r="AH131" s="21">
        <f>Oheads!AF72</f>
        <v>40000</v>
      </c>
      <c r="AI131" s="21">
        <f>Oheads!AG72</f>
        <v>40000</v>
      </c>
      <c r="AJ131" s="21">
        <f>Oheads!AH72</f>
        <v>40000</v>
      </c>
      <c r="AK131" s="21">
        <f>Oheads!AI72</f>
        <v>40000</v>
      </c>
      <c r="AL131" s="21">
        <f>Oheads!AJ72</f>
        <v>40000</v>
      </c>
      <c r="AM131" s="21">
        <f>Oheads!AK72</f>
        <v>44000</v>
      </c>
      <c r="AN131" s="21">
        <f>Oheads!AL72</f>
        <v>44000</v>
      </c>
      <c r="AO131" s="21">
        <f>Oheads!AM72</f>
        <v>44000</v>
      </c>
      <c r="AP131" s="21">
        <f>Oheads!AN72</f>
        <v>44000</v>
      </c>
      <c r="AQ131" s="21">
        <f>Oheads!AO72</f>
        <v>44000</v>
      </c>
      <c r="AR131" s="21">
        <f>Oheads!AP72</f>
        <v>44000</v>
      </c>
      <c r="AS131" s="21">
        <f>SUM(AG131:AR131)</f>
        <v>504000</v>
      </c>
    </row>
    <row r="132" spans="1:45">
      <c r="A132" s="63" t="s">
        <v>413</v>
      </c>
      <c r="B132" s="57" t="s">
        <v>652</v>
      </c>
      <c r="C132" s="21">
        <f>'P&amp;LPLN'!C131/Factors!C11</f>
        <v>395.03498099821326</v>
      </c>
      <c r="D132" s="21">
        <f>'P&amp;LPLN'!D131/Factors!D11</f>
        <v>394.48347623814391</v>
      </c>
      <c r="E132" s="21">
        <f>'P&amp;LPLN'!E131/Factors!E11</f>
        <v>393.93350923283282</v>
      </c>
      <c r="F132" s="21">
        <f>'P&amp;LPLN'!F131/Factors!F11</f>
        <v>393.38507355967647</v>
      </c>
      <c r="G132" s="21">
        <f>'P&amp;LPLN'!G131/Factors!G11</f>
        <v>392.83816283178811</v>
      </c>
      <c r="H132" s="21">
        <f>'P&amp;LPLN'!H131/Factors!H11</f>
        <v>392.29277069774952</v>
      </c>
      <c r="I132" s="21">
        <f>'P&amp;LPLN'!I131/Factors!I11</f>
        <v>430.92377992550178</v>
      </c>
      <c r="J132" s="21">
        <f>'P&amp;LPLN'!J131/Factors!J11</f>
        <v>430.3271686795606</v>
      </c>
      <c r="K132" s="21">
        <f>'P&amp;LPLN'!K131/Factors!K11</f>
        <v>429.7322071585736</v>
      </c>
      <c r="L132" s="21">
        <f>'P&amp;LPLN'!L131/Factors!L11</f>
        <v>429.1388885293606</v>
      </c>
      <c r="M132" s="21">
        <f>'P&amp;LPLN'!M131/Factors!M11</f>
        <v>428.54720599642661</v>
      </c>
      <c r="N132" s="21">
        <f>'P&amp;LPLN'!N131/Factors!N11</f>
        <v>427.95715280170299</v>
      </c>
      <c r="O132" s="3">
        <f>SUM(C132:N132)</f>
        <v>4938.5943766495302</v>
      </c>
      <c r="P132" s="3"/>
      <c r="Q132" s="57" t="s">
        <v>652</v>
      </c>
      <c r="R132" s="21">
        <f>'P&amp;LPLN'!R131/Factors!R11</f>
        <v>387.4376336190445</v>
      </c>
      <c r="S132" s="21">
        <f>'P&amp;LPLN'!S131/Factors!S11</f>
        <v>385.83665166194106</v>
      </c>
      <c r="T132" s="21">
        <f>'P&amp;LPLN'!T131/Factors!T11</f>
        <v>384.24884651106885</v>
      </c>
      <c r="U132" s="21">
        <f>'P&amp;LPLN'!U131/Factors!U11</f>
        <v>382.67405615651529</v>
      </c>
      <c r="V132" s="21">
        <f>'P&amp;LPLN'!V131/Factors!V11</f>
        <v>381.1121212334275</v>
      </c>
      <c r="W132" s="21">
        <f>'P&amp;LPLN'!W131/Factors!W11</f>
        <v>379.56288496825101</v>
      </c>
      <c r="X132" s="21">
        <f>'P&amp;LPLN'!X131/Factors!X11</f>
        <v>415.82881243890176</v>
      </c>
      <c r="Y132" s="21">
        <f>'P&amp;LPLN'!Y131/Factors!Y11</f>
        <v>414.15208335648686</v>
      </c>
      <c r="Z132" s="21">
        <f>'P&amp;LPLN'!Z131/Factors!Z11</f>
        <v>412.48882197754511</v>
      </c>
      <c r="AA132" s="21">
        <f>'P&amp;LPLN'!AA131/Factors!AA11</f>
        <v>410.83886668963498</v>
      </c>
      <c r="AB132" s="21">
        <f>'P&amp;LPLN'!AB131/Factors!AB11</f>
        <v>409.20205845581171</v>
      </c>
      <c r="AC132" s="21">
        <f>'P&amp;LPLN'!AC131/Factors!AC11</f>
        <v>407.57824076352676</v>
      </c>
      <c r="AD132" s="21">
        <f>SUM(R132:AC132)</f>
        <v>4770.9610778321558</v>
      </c>
      <c r="AF132" s="57" t="s">
        <v>652</v>
      </c>
      <c r="AG132" s="21">
        <f>'P&amp;LPLN'!AG131/Factors!AG11</f>
        <v>368.98822249432823</v>
      </c>
      <c r="AH132" s="21">
        <f>'P&amp;LPLN'!AH131/Factors!AH11</f>
        <v>367.4634777732773</v>
      </c>
      <c r="AI132" s="21">
        <f>'P&amp;LPLN'!AI131/Factors!AI11</f>
        <v>365.95128239149426</v>
      </c>
      <c r="AJ132" s="21">
        <f>'P&amp;LPLN'!AJ131/Factors!AJ11</f>
        <v>364.45148205382418</v>
      </c>
      <c r="AK132" s="21">
        <f>'P&amp;LPLN'!AK131/Factors!AK11</f>
        <v>362.9639249842167</v>
      </c>
      <c r="AL132" s="21">
        <f>'P&amp;LPLN'!AL131/Factors!AL11</f>
        <v>361.48846187452477</v>
      </c>
      <c r="AM132" s="21">
        <f>'P&amp;LPLN'!AM131/Factors!AM11</f>
        <v>396.02744041800167</v>
      </c>
      <c r="AN132" s="21">
        <f>'P&amp;LPLN'!AN131/Factors!AN11</f>
        <v>394.43055557760653</v>
      </c>
      <c r="AO132" s="21">
        <f>'P&amp;LPLN'!AO131/Factors!AO11</f>
        <v>392.84649712147154</v>
      </c>
      <c r="AP132" s="21">
        <f>'P&amp;LPLN'!AP131/Factors!AP11</f>
        <v>391.27511113298567</v>
      </c>
      <c r="AQ132" s="21">
        <f>'P&amp;LPLN'!AQ131/Factors!AQ11</f>
        <v>389.71624614839209</v>
      </c>
      <c r="AR132" s="21">
        <f>'P&amp;LPLN'!AR131/Factors!AR11</f>
        <v>388.16975310812069</v>
      </c>
      <c r="AS132" s="21">
        <f>SUM(AG132:AR132)</f>
        <v>4543.7724550782432</v>
      </c>
    </row>
    <row r="133" spans="1:45" hidden="1">
      <c r="A133" s="63" t="s">
        <v>415</v>
      </c>
      <c r="B133" s="55" t="s">
        <v>653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3">
        <f>SUM(C133:N133)</f>
        <v>0</v>
      </c>
      <c r="P133" s="3"/>
      <c r="Q133" s="57" t="s">
        <v>653</v>
      </c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>
        <f>SUM(R133:AC133)</f>
        <v>0</v>
      </c>
      <c r="AF133" s="57" t="s">
        <v>653</v>
      </c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>
        <f>SUM(AG133:AR133)</f>
        <v>0</v>
      </c>
    </row>
    <row r="134" spans="1:45" ht="13.5" thickBot="1">
      <c r="A134" s="63"/>
      <c r="B134" s="136" t="s">
        <v>97</v>
      </c>
      <c r="C134" s="19">
        <f>SUM(C131:C133)</f>
        <v>44249.034980998214</v>
      </c>
      <c r="D134" s="19">
        <f t="shared" ref="D134:O134" si="48">SUM(D131:D133)</f>
        <v>44248.483476238143</v>
      </c>
      <c r="E134" s="19">
        <f t="shared" si="48"/>
        <v>44247.933509232833</v>
      </c>
      <c r="F134" s="19">
        <f t="shared" si="48"/>
        <v>44247.385073559679</v>
      </c>
      <c r="G134" s="19">
        <f t="shared" si="48"/>
        <v>44246.838162831787</v>
      </c>
      <c r="H134" s="19">
        <f t="shared" si="48"/>
        <v>44246.29277069775</v>
      </c>
      <c r="I134" s="19">
        <f t="shared" si="48"/>
        <v>48670.3237799255</v>
      </c>
      <c r="J134" s="19">
        <f t="shared" si="48"/>
        <v>48669.727168679565</v>
      </c>
      <c r="K134" s="19">
        <f t="shared" si="48"/>
        <v>48669.132207158575</v>
      </c>
      <c r="L134" s="19">
        <f t="shared" si="48"/>
        <v>48668.538888529365</v>
      </c>
      <c r="M134" s="19">
        <f t="shared" si="48"/>
        <v>48667.947205996425</v>
      </c>
      <c r="N134" s="19">
        <f t="shared" si="48"/>
        <v>48667.357152801706</v>
      </c>
      <c r="O134" s="19">
        <f t="shared" si="48"/>
        <v>557498.99437664961</v>
      </c>
      <c r="P134" s="3"/>
      <c r="Q134" s="57"/>
      <c r="R134" s="19">
        <f t="shared" ref="R134:AD134" si="49">SUM(R131:R133)</f>
        <v>40387.437633619047</v>
      </c>
      <c r="S134" s="53">
        <f t="shared" si="49"/>
        <v>40385.836651661943</v>
      </c>
      <c r="T134" s="53">
        <f t="shared" si="49"/>
        <v>40384.248846511065</v>
      </c>
      <c r="U134" s="53">
        <f t="shared" si="49"/>
        <v>40382.674056156517</v>
      </c>
      <c r="V134" s="53">
        <f t="shared" si="49"/>
        <v>40381.112121233426</v>
      </c>
      <c r="W134" s="53">
        <f t="shared" si="49"/>
        <v>40379.562884968254</v>
      </c>
      <c r="X134" s="53">
        <f t="shared" si="49"/>
        <v>44415.8288124389</v>
      </c>
      <c r="Y134" s="53">
        <f t="shared" si="49"/>
        <v>44414.152083356486</v>
      </c>
      <c r="Z134" s="53">
        <f t="shared" si="49"/>
        <v>44412.488821977546</v>
      </c>
      <c r="AA134" s="53">
        <f t="shared" si="49"/>
        <v>44410.838866689635</v>
      </c>
      <c r="AB134" s="53">
        <f t="shared" si="49"/>
        <v>44409.202058455812</v>
      </c>
      <c r="AC134" s="53">
        <f t="shared" si="49"/>
        <v>44407.578240763527</v>
      </c>
      <c r="AD134" s="53">
        <f t="shared" si="49"/>
        <v>508770.96107783215</v>
      </c>
      <c r="AF134" s="57"/>
      <c r="AG134" s="19">
        <f t="shared" ref="AG134:AS134" si="50">SUM(AG131:AG133)</f>
        <v>40368.988222494329</v>
      </c>
      <c r="AH134" s="53">
        <f t="shared" si="50"/>
        <v>40367.463477773279</v>
      </c>
      <c r="AI134" s="53">
        <f t="shared" si="50"/>
        <v>40365.951282391492</v>
      </c>
      <c r="AJ134" s="53">
        <f t="shared" si="50"/>
        <v>40364.451482053824</v>
      </c>
      <c r="AK134" s="53">
        <f t="shared" si="50"/>
        <v>40362.963924984215</v>
      </c>
      <c r="AL134" s="53">
        <f t="shared" si="50"/>
        <v>40361.488461874527</v>
      </c>
      <c r="AM134" s="53">
        <f t="shared" si="50"/>
        <v>44396.027440418002</v>
      </c>
      <c r="AN134" s="53">
        <f t="shared" si="50"/>
        <v>44394.430555577608</v>
      </c>
      <c r="AO134" s="53">
        <f t="shared" si="50"/>
        <v>44392.846497121471</v>
      </c>
      <c r="AP134" s="53">
        <f t="shared" si="50"/>
        <v>44391.275111132985</v>
      </c>
      <c r="AQ134" s="53">
        <f t="shared" si="50"/>
        <v>44389.716246148389</v>
      </c>
      <c r="AR134" s="53">
        <f t="shared" si="50"/>
        <v>44388.169753108123</v>
      </c>
      <c r="AS134" s="53">
        <f t="shared" si="50"/>
        <v>508543.77245507826</v>
      </c>
    </row>
    <row r="135" spans="1:45" ht="13.5" thickTop="1">
      <c r="A135" s="63"/>
      <c r="B135" s="55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3"/>
      <c r="Q135" s="57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F135" s="57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</row>
    <row r="136" spans="1:45">
      <c r="A136" s="64" t="s">
        <v>417</v>
      </c>
      <c r="B136" s="55" t="s">
        <v>807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3"/>
      <c r="Q136" s="55" t="s">
        <v>654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F136" s="55" t="s">
        <v>654</v>
      </c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</row>
    <row r="137" spans="1:45">
      <c r="A137" s="63" t="s">
        <v>418</v>
      </c>
      <c r="B137" s="57" t="s">
        <v>655</v>
      </c>
      <c r="C137" s="21">
        <f>'P&amp;LPLN'!C136/Factors!C$11</f>
        <v>3764.4509953947381</v>
      </c>
      <c r="D137" s="21">
        <f>'P&amp;LPLN'!D136/Factors!D$11</f>
        <v>3759.195479445842</v>
      </c>
      <c r="E137" s="21">
        <f>'P&amp;LPLN'!E136/Factors!E$11</f>
        <v>3753.9546173952303</v>
      </c>
      <c r="F137" s="21">
        <f>'P&amp;LPLN'!F136/Factors!F$11</f>
        <v>3748.7283480392698</v>
      </c>
      <c r="G137" s="21">
        <f>'P&amp;LPLN'!G136/Factors!G$11</f>
        <v>3743.5166105146868</v>
      </c>
      <c r="H137" s="21">
        <f>'P&amp;LPLN'!H136/Factors!H$11</f>
        <v>3738.3193442962015</v>
      </c>
      <c r="I137" s="21">
        <f>'P&amp;LPLN'!I136/Factors!I$11</f>
        <v>3733.1364891941862</v>
      </c>
      <c r="J137" s="21">
        <f>'P&amp;LPLN'!J136/Factors!J$11</f>
        <v>3727.9679853523426</v>
      </c>
      <c r="K137" s="21">
        <f>'P&amp;LPLN'!K136/Factors!K$11</f>
        <v>3722.8137732453965</v>
      </c>
      <c r="L137" s="21">
        <f>'P&amp;LPLN'!L136/Factors!L$11</f>
        <v>3717.6737936768131</v>
      </c>
      <c r="M137" s="21">
        <f>'P&amp;LPLN'!M136/Factors!M$11</f>
        <v>3712.5479877765297</v>
      </c>
      <c r="N137" s="21">
        <f>'P&amp;LPLN'!N136/Factors!N$11</f>
        <v>3707.4362969987096</v>
      </c>
      <c r="O137" s="3">
        <f>SUM(C137:N137)</f>
        <v>44829.741721329941</v>
      </c>
      <c r="P137" s="3"/>
      <c r="Q137" s="57" t="s">
        <v>655</v>
      </c>
      <c r="R137" s="21">
        <f>'P&amp;LPLN'!R136/Factors!R$11</f>
        <v>3839.7348536550953</v>
      </c>
      <c r="S137" s="21">
        <f>'P&amp;LPLN'!S136/Factors!S$11</f>
        <v>3823.8681807061075</v>
      </c>
      <c r="T137" s="21">
        <f>'P&amp;LPLN'!T136/Factors!T$11</f>
        <v>3808.1320976579341</v>
      </c>
      <c r="U137" s="21">
        <f>'P&amp;LPLN'!U136/Factors!U$11</f>
        <v>3792.5249988970413</v>
      </c>
      <c r="V137" s="21">
        <f>'P&amp;LPLN'!V136/Factors!V$11</f>
        <v>3777.0453050239921</v>
      </c>
      <c r="W137" s="21">
        <f>'P&amp;LPLN'!W136/Factors!W$11</f>
        <v>3761.6914623206426</v>
      </c>
      <c r="X137" s="21">
        <f>'P&amp;LPLN'!X136/Factors!X$11</f>
        <v>3746.4619422302758</v>
      </c>
      <c r="Y137" s="21">
        <f>'P&amp;LPLN'!Y136/Factors!Y$11</f>
        <v>3731.3552408503151</v>
      </c>
      <c r="Z137" s="21">
        <f>'P&amp;LPLN'!Z136/Factors!Z$11</f>
        <v>3716.3698784372618</v>
      </c>
      <c r="AA137" s="21">
        <f>'P&amp;LPLN'!AA136/Factors!AA$11</f>
        <v>3701.5043989235128</v>
      </c>
      <c r="AB137" s="21">
        <f>'P&amp;LPLN'!AB136/Factors!AB$11</f>
        <v>3686.7573694457301</v>
      </c>
      <c r="AC137" s="21">
        <f>'P&amp;LPLN'!AC136/Factors!AC$11</f>
        <v>3672.1273798844377</v>
      </c>
      <c r="AD137" s="21">
        <f>SUM(R137:AC137)</f>
        <v>45057.573108032346</v>
      </c>
      <c r="AF137" s="57" t="s">
        <v>655</v>
      </c>
      <c r="AG137" s="21">
        <f>'P&amp;LPLN'!AG136/Factors!AG$11</f>
        <v>3876.3037570232405</v>
      </c>
      <c r="AH137" s="21">
        <f>'P&amp;LPLN'!AH136/Factors!AH$11</f>
        <v>3860.2859729033098</v>
      </c>
      <c r="AI137" s="21">
        <f>'P&amp;LPLN'!AI136/Factors!AI$11</f>
        <v>3844.4000223975349</v>
      </c>
      <c r="AJ137" s="21">
        <f>'P&amp;LPLN'!AJ136/Factors!AJ$11</f>
        <v>3828.6442846008235</v>
      </c>
      <c r="AK137" s="21">
        <f>'P&amp;LPLN'!AK136/Factors!AK$11</f>
        <v>3813.0171650718403</v>
      </c>
      <c r="AL137" s="21">
        <f>'P&amp;LPLN'!AL136/Factors!AL$11</f>
        <v>3797.5170952951257</v>
      </c>
      <c r="AM137" s="21">
        <f>'P&amp;LPLN'!AM136/Factors!AM$11</f>
        <v>3782.1425321562788</v>
      </c>
      <c r="AN137" s="21">
        <f>'P&amp;LPLN'!AN136/Factors!AN$11</f>
        <v>3766.8919574298425</v>
      </c>
      <c r="AO137" s="21">
        <f>'P&amp;LPLN'!AO136/Factors!AO$11</f>
        <v>3751.7638772795217</v>
      </c>
      <c r="AP137" s="21">
        <f>'P&amp;LPLN'!AP136/Factors!AP$11</f>
        <v>3736.7568217704033</v>
      </c>
      <c r="AQ137" s="21">
        <f>'P&amp;LPLN'!AQ136/Factors!AQ$11</f>
        <v>3721.8693443928323</v>
      </c>
      <c r="AR137" s="21">
        <f>'P&amp;LPLN'!AR136/Factors!AR$11</f>
        <v>3707.1000215976223</v>
      </c>
      <c r="AS137" s="21">
        <f>SUM(AG137:AR137)</f>
        <v>45486.692851918378</v>
      </c>
    </row>
    <row r="138" spans="1:45" hidden="1">
      <c r="A138" s="63" t="s">
        <v>419</v>
      </c>
      <c r="B138" s="55" t="s">
        <v>420</v>
      </c>
      <c r="C138" s="21">
        <f>'P&amp;LPLN'!C137/Factors!C$11</f>
        <v>0</v>
      </c>
      <c r="D138" s="21">
        <f>'P&amp;LPLN'!D137/Factors!D$11</f>
        <v>0</v>
      </c>
      <c r="E138" s="21">
        <f>'P&amp;LPLN'!E137/Factors!E$11</f>
        <v>0</v>
      </c>
      <c r="F138" s="21">
        <f>'P&amp;LPLN'!F137/Factors!F$11</f>
        <v>0</v>
      </c>
      <c r="G138" s="21">
        <f>'P&amp;LPLN'!G137/Factors!G$11</f>
        <v>0</v>
      </c>
      <c r="H138" s="21">
        <f>'P&amp;LPLN'!H137/Factors!H$11</f>
        <v>0</v>
      </c>
      <c r="I138" s="21">
        <f>'P&amp;LPLN'!I137/Factors!I$11</f>
        <v>0</v>
      </c>
      <c r="J138" s="21">
        <f>'P&amp;LPLN'!J137/Factors!J$11</f>
        <v>0</v>
      </c>
      <c r="K138" s="21">
        <f>'P&amp;LPLN'!K137/Factors!K$11</f>
        <v>0</v>
      </c>
      <c r="L138" s="21">
        <f>'P&amp;LPLN'!L137/Factors!L$11</f>
        <v>0</v>
      </c>
      <c r="M138" s="21">
        <f>'P&amp;LPLN'!M137/Factors!M$11</f>
        <v>0</v>
      </c>
      <c r="N138" s="21">
        <f>'P&amp;LPLN'!N137/Factors!N$11</f>
        <v>0</v>
      </c>
      <c r="O138" s="3">
        <f>SUM(C138:N138)</f>
        <v>0</v>
      </c>
      <c r="P138" s="3"/>
      <c r="Q138" s="57" t="s">
        <v>420</v>
      </c>
      <c r="R138" s="21">
        <f>'P&amp;LPLN'!R137/Factors!R$11</f>
        <v>0</v>
      </c>
      <c r="S138" s="21">
        <f>'P&amp;LPLN'!S137/Factors!S$11</f>
        <v>0</v>
      </c>
      <c r="T138" s="21">
        <f>'P&amp;LPLN'!T137/Factors!T$11</f>
        <v>0</v>
      </c>
      <c r="U138" s="21">
        <f>'P&amp;LPLN'!U137/Factors!U$11</f>
        <v>0</v>
      </c>
      <c r="V138" s="21">
        <f>'P&amp;LPLN'!V137/Factors!V$11</f>
        <v>0</v>
      </c>
      <c r="W138" s="21">
        <f>'P&amp;LPLN'!W137/Factors!W$11</f>
        <v>0</v>
      </c>
      <c r="X138" s="21">
        <f>'P&amp;LPLN'!X137/Factors!X$11</f>
        <v>0</v>
      </c>
      <c r="Y138" s="21">
        <f>'P&amp;LPLN'!Y137/Factors!Y$11</f>
        <v>0</v>
      </c>
      <c r="Z138" s="21">
        <f>'P&amp;LPLN'!Z137/Factors!Z$11</f>
        <v>0</v>
      </c>
      <c r="AA138" s="21">
        <f>'P&amp;LPLN'!AA137/Factors!AA$11</f>
        <v>0</v>
      </c>
      <c r="AB138" s="21">
        <f>'P&amp;LPLN'!AB137/Factors!AB$11</f>
        <v>0</v>
      </c>
      <c r="AC138" s="21">
        <f>'P&amp;LPLN'!AC137/Factors!AC$11</f>
        <v>0</v>
      </c>
      <c r="AD138" s="21">
        <f>SUM(R138:AC138)</f>
        <v>0</v>
      </c>
      <c r="AF138" s="57" t="s">
        <v>420</v>
      </c>
      <c r="AG138" s="21">
        <f>'P&amp;LPLN'!AG137/Factors!AG$11</f>
        <v>0</v>
      </c>
      <c r="AH138" s="21">
        <f>'P&amp;LPLN'!AH137/Factors!AH$11</f>
        <v>0</v>
      </c>
      <c r="AI138" s="21">
        <f>'P&amp;LPLN'!AI137/Factors!AI$11</f>
        <v>0</v>
      </c>
      <c r="AJ138" s="21">
        <f>'P&amp;LPLN'!AJ137/Factors!AJ$11</f>
        <v>0</v>
      </c>
      <c r="AK138" s="21">
        <f>'P&amp;LPLN'!AK137/Factors!AK$11</f>
        <v>0</v>
      </c>
      <c r="AL138" s="21">
        <f>'P&amp;LPLN'!AL137/Factors!AL$11</f>
        <v>0</v>
      </c>
      <c r="AM138" s="21">
        <f>'P&amp;LPLN'!AM137/Factors!AM$11</f>
        <v>0</v>
      </c>
      <c r="AN138" s="21">
        <f>'P&amp;LPLN'!AN137/Factors!AN$11</f>
        <v>0</v>
      </c>
      <c r="AO138" s="21">
        <f>'P&amp;LPLN'!AO137/Factors!AO$11</f>
        <v>0</v>
      </c>
      <c r="AP138" s="21">
        <f>'P&amp;LPLN'!AP137/Factors!AP$11</f>
        <v>0</v>
      </c>
      <c r="AQ138" s="21">
        <f>'P&amp;LPLN'!AQ137/Factors!AQ$11</f>
        <v>0</v>
      </c>
      <c r="AR138" s="21">
        <f>'P&amp;LPLN'!AR137/Factors!AR$11</f>
        <v>0</v>
      </c>
      <c r="AS138" s="21">
        <f>SUM(AG138:AR138)</f>
        <v>0</v>
      </c>
    </row>
    <row r="139" spans="1:45" hidden="1">
      <c r="A139" s="63" t="s">
        <v>421</v>
      </c>
      <c r="B139" s="55" t="s">
        <v>422</v>
      </c>
      <c r="C139" s="21">
        <f>'P&amp;LPLN'!C138/Factors!C$11</f>
        <v>0</v>
      </c>
      <c r="D139" s="21">
        <f>'P&amp;LPLN'!D138/Factors!D$11</f>
        <v>0</v>
      </c>
      <c r="E139" s="21">
        <f>'P&amp;LPLN'!E138/Factors!E$11</f>
        <v>0</v>
      </c>
      <c r="F139" s="21">
        <f>'P&amp;LPLN'!F138/Factors!F$11</f>
        <v>0</v>
      </c>
      <c r="G139" s="21">
        <f>'P&amp;LPLN'!G138/Factors!G$11</f>
        <v>0</v>
      </c>
      <c r="H139" s="21">
        <f>'P&amp;LPLN'!H138/Factors!H$11</f>
        <v>0</v>
      </c>
      <c r="I139" s="21">
        <f>'P&amp;LPLN'!I138/Factors!I$11</f>
        <v>0</v>
      </c>
      <c r="J139" s="21">
        <f>'P&amp;LPLN'!J138/Factors!J$11</f>
        <v>0</v>
      </c>
      <c r="K139" s="21">
        <f>'P&amp;LPLN'!K138/Factors!K$11</f>
        <v>0</v>
      </c>
      <c r="L139" s="21">
        <f>'P&amp;LPLN'!L138/Factors!L$11</f>
        <v>0</v>
      </c>
      <c r="M139" s="21">
        <f>'P&amp;LPLN'!M138/Factors!M$11</f>
        <v>0</v>
      </c>
      <c r="N139" s="21">
        <f>'P&amp;LPLN'!N138/Factors!N$11</f>
        <v>0</v>
      </c>
      <c r="O139" s="3">
        <f>SUM(C139:N139)</f>
        <v>0</v>
      </c>
      <c r="P139" s="3"/>
      <c r="Q139" s="57" t="s">
        <v>422</v>
      </c>
      <c r="R139" s="21">
        <f>'P&amp;LPLN'!R138/Factors!R$11</f>
        <v>0</v>
      </c>
      <c r="S139" s="21">
        <f>'P&amp;LPLN'!S138/Factors!S$11</f>
        <v>0</v>
      </c>
      <c r="T139" s="21">
        <f>'P&amp;LPLN'!T138/Factors!T$11</f>
        <v>0</v>
      </c>
      <c r="U139" s="21">
        <f>'P&amp;LPLN'!U138/Factors!U$11</f>
        <v>0</v>
      </c>
      <c r="V139" s="21">
        <f>'P&amp;LPLN'!V138/Factors!V$11</f>
        <v>0</v>
      </c>
      <c r="W139" s="21">
        <f>'P&amp;LPLN'!W138/Factors!W$11</f>
        <v>0</v>
      </c>
      <c r="X139" s="21">
        <f>'P&amp;LPLN'!X138/Factors!X$11</f>
        <v>0</v>
      </c>
      <c r="Y139" s="21">
        <f>'P&amp;LPLN'!Y138/Factors!Y$11</f>
        <v>0</v>
      </c>
      <c r="Z139" s="21">
        <f>'P&amp;LPLN'!Z138/Factors!Z$11</f>
        <v>0</v>
      </c>
      <c r="AA139" s="21">
        <f>'P&amp;LPLN'!AA138/Factors!AA$11</f>
        <v>0</v>
      </c>
      <c r="AB139" s="21">
        <f>'P&amp;LPLN'!AB138/Factors!AB$11</f>
        <v>0</v>
      </c>
      <c r="AC139" s="21">
        <f>'P&amp;LPLN'!AC138/Factors!AC$11</f>
        <v>0</v>
      </c>
      <c r="AD139" s="21">
        <f>SUM(R139:AC139)</f>
        <v>0</v>
      </c>
      <c r="AF139" s="57" t="s">
        <v>422</v>
      </c>
      <c r="AG139" s="21">
        <f>'P&amp;LPLN'!AG138/Factors!AG$11</f>
        <v>0</v>
      </c>
      <c r="AH139" s="21">
        <f>'P&amp;LPLN'!AH138/Factors!AH$11</f>
        <v>0</v>
      </c>
      <c r="AI139" s="21">
        <f>'P&amp;LPLN'!AI138/Factors!AI$11</f>
        <v>0</v>
      </c>
      <c r="AJ139" s="21">
        <f>'P&amp;LPLN'!AJ138/Factors!AJ$11</f>
        <v>0</v>
      </c>
      <c r="AK139" s="21">
        <f>'P&amp;LPLN'!AK138/Factors!AK$11</f>
        <v>0</v>
      </c>
      <c r="AL139" s="21">
        <f>'P&amp;LPLN'!AL138/Factors!AL$11</f>
        <v>0</v>
      </c>
      <c r="AM139" s="21">
        <f>'P&amp;LPLN'!AM138/Factors!AM$11</f>
        <v>0</v>
      </c>
      <c r="AN139" s="21">
        <f>'P&amp;LPLN'!AN138/Factors!AN$11</f>
        <v>0</v>
      </c>
      <c r="AO139" s="21">
        <f>'P&amp;LPLN'!AO138/Factors!AO$11</f>
        <v>0</v>
      </c>
      <c r="AP139" s="21">
        <f>'P&amp;LPLN'!AP138/Factors!AP$11</f>
        <v>0</v>
      </c>
      <c r="AQ139" s="21">
        <f>'P&amp;LPLN'!AQ138/Factors!AQ$11</f>
        <v>0</v>
      </c>
      <c r="AR139" s="21">
        <f>'P&amp;LPLN'!AR138/Factors!AR$11</f>
        <v>0</v>
      </c>
      <c r="AS139" s="21">
        <f>SUM(AG139:AR139)</f>
        <v>0</v>
      </c>
    </row>
    <row r="140" spans="1:45" hidden="1">
      <c r="A140" s="63" t="s">
        <v>423</v>
      </c>
      <c r="B140" s="55" t="s">
        <v>424</v>
      </c>
      <c r="C140" s="21">
        <f>'P&amp;LPLN'!C139/Factors!C$11</f>
        <v>0</v>
      </c>
      <c r="D140" s="21">
        <f>'P&amp;LPLN'!D139/Factors!D$11</f>
        <v>0</v>
      </c>
      <c r="E140" s="21">
        <f>'P&amp;LPLN'!E139/Factors!E$11</f>
        <v>0</v>
      </c>
      <c r="F140" s="21">
        <f>'P&amp;LPLN'!F139/Factors!F$11</f>
        <v>0</v>
      </c>
      <c r="G140" s="21">
        <f>'P&amp;LPLN'!G139/Factors!G$11</f>
        <v>0</v>
      </c>
      <c r="H140" s="21">
        <f>'P&amp;LPLN'!H139/Factors!H$11</f>
        <v>0</v>
      </c>
      <c r="I140" s="21">
        <f>'P&amp;LPLN'!I139/Factors!I$11</f>
        <v>0</v>
      </c>
      <c r="J140" s="21">
        <f>'P&amp;LPLN'!J139/Factors!J$11</f>
        <v>0</v>
      </c>
      <c r="K140" s="21">
        <f>'P&amp;LPLN'!K139/Factors!K$11</f>
        <v>0</v>
      </c>
      <c r="L140" s="21">
        <f>'P&amp;LPLN'!L139/Factors!L$11</f>
        <v>0</v>
      </c>
      <c r="M140" s="21">
        <f>'P&amp;LPLN'!M139/Factors!M$11</f>
        <v>0</v>
      </c>
      <c r="N140" s="21">
        <f>'P&amp;LPLN'!N139/Factors!N$11</f>
        <v>0</v>
      </c>
      <c r="O140" s="3">
        <f>SUM(C140:N140)</f>
        <v>0</v>
      </c>
      <c r="P140" s="3"/>
      <c r="Q140" s="57" t="s">
        <v>424</v>
      </c>
      <c r="R140" s="21">
        <f>'P&amp;LPLN'!R139/Factors!R$11</f>
        <v>0</v>
      </c>
      <c r="S140" s="21">
        <f>'P&amp;LPLN'!S139/Factors!S$11</f>
        <v>0</v>
      </c>
      <c r="T140" s="21">
        <f>'P&amp;LPLN'!T139/Factors!T$11</f>
        <v>0</v>
      </c>
      <c r="U140" s="21">
        <f>'P&amp;LPLN'!U139/Factors!U$11</f>
        <v>0</v>
      </c>
      <c r="V140" s="21">
        <f>'P&amp;LPLN'!V139/Factors!V$11</f>
        <v>0</v>
      </c>
      <c r="W140" s="21">
        <f>'P&amp;LPLN'!W139/Factors!W$11</f>
        <v>0</v>
      </c>
      <c r="X140" s="21">
        <f>'P&amp;LPLN'!X139/Factors!X$11</f>
        <v>0</v>
      </c>
      <c r="Y140" s="21">
        <f>'P&amp;LPLN'!Y139/Factors!Y$11</f>
        <v>0</v>
      </c>
      <c r="Z140" s="21">
        <f>'P&amp;LPLN'!Z139/Factors!Z$11</f>
        <v>0</v>
      </c>
      <c r="AA140" s="21">
        <f>'P&amp;LPLN'!AA139/Factors!AA$11</f>
        <v>0</v>
      </c>
      <c r="AB140" s="21">
        <f>'P&amp;LPLN'!AB139/Factors!AB$11</f>
        <v>0</v>
      </c>
      <c r="AC140" s="21">
        <f>'P&amp;LPLN'!AC139/Factors!AC$11</f>
        <v>0</v>
      </c>
      <c r="AD140" s="21">
        <f>SUM(R140:AC140)</f>
        <v>0</v>
      </c>
      <c r="AF140" s="57" t="s">
        <v>424</v>
      </c>
      <c r="AG140" s="21">
        <f>'P&amp;LPLN'!AG139/Factors!AG$11</f>
        <v>0</v>
      </c>
      <c r="AH140" s="21">
        <f>'P&amp;LPLN'!AH139/Factors!AH$11</f>
        <v>0</v>
      </c>
      <c r="AI140" s="21">
        <f>'P&amp;LPLN'!AI139/Factors!AI$11</f>
        <v>0</v>
      </c>
      <c r="AJ140" s="21">
        <f>'P&amp;LPLN'!AJ139/Factors!AJ$11</f>
        <v>0</v>
      </c>
      <c r="AK140" s="21">
        <f>'P&amp;LPLN'!AK139/Factors!AK$11</f>
        <v>0</v>
      </c>
      <c r="AL140" s="21">
        <f>'P&amp;LPLN'!AL139/Factors!AL$11</f>
        <v>0</v>
      </c>
      <c r="AM140" s="21">
        <f>'P&amp;LPLN'!AM139/Factors!AM$11</f>
        <v>0</v>
      </c>
      <c r="AN140" s="21">
        <f>'P&amp;LPLN'!AN139/Factors!AN$11</f>
        <v>0</v>
      </c>
      <c r="AO140" s="21">
        <f>'P&amp;LPLN'!AO139/Factors!AO$11</f>
        <v>0</v>
      </c>
      <c r="AP140" s="21">
        <f>'P&amp;LPLN'!AP139/Factors!AP$11</f>
        <v>0</v>
      </c>
      <c r="AQ140" s="21">
        <f>'P&amp;LPLN'!AQ139/Factors!AQ$11</f>
        <v>0</v>
      </c>
      <c r="AR140" s="21">
        <f>'P&amp;LPLN'!AR139/Factors!AR$11</f>
        <v>0</v>
      </c>
      <c r="AS140" s="21">
        <f>SUM(AG140:AR140)</f>
        <v>0</v>
      </c>
    </row>
    <row r="141" spans="1:45" ht="13.5" thickBot="1">
      <c r="A141" s="63"/>
      <c r="B141" s="136" t="s">
        <v>97</v>
      </c>
      <c r="C141" s="19">
        <f>SUM(C137:C140)</f>
        <v>3764.4509953947381</v>
      </c>
      <c r="D141" s="19">
        <f t="shared" ref="D141:O141" si="51">SUM(D137:D140)</f>
        <v>3759.195479445842</v>
      </c>
      <c r="E141" s="19">
        <f t="shared" si="51"/>
        <v>3753.9546173952303</v>
      </c>
      <c r="F141" s="19">
        <f t="shared" si="51"/>
        <v>3748.7283480392698</v>
      </c>
      <c r="G141" s="19">
        <f t="shared" si="51"/>
        <v>3743.5166105146868</v>
      </c>
      <c r="H141" s="19">
        <f t="shared" si="51"/>
        <v>3738.3193442962015</v>
      </c>
      <c r="I141" s="19">
        <f t="shared" si="51"/>
        <v>3733.1364891941862</v>
      </c>
      <c r="J141" s="19">
        <f t="shared" si="51"/>
        <v>3727.9679853523426</v>
      </c>
      <c r="K141" s="19">
        <f t="shared" si="51"/>
        <v>3722.8137732453965</v>
      </c>
      <c r="L141" s="19">
        <f t="shared" si="51"/>
        <v>3717.6737936768131</v>
      </c>
      <c r="M141" s="19">
        <f t="shared" si="51"/>
        <v>3712.5479877765297</v>
      </c>
      <c r="N141" s="19">
        <f t="shared" si="51"/>
        <v>3707.4362969987096</v>
      </c>
      <c r="O141" s="19">
        <f t="shared" si="51"/>
        <v>44829.741721329941</v>
      </c>
      <c r="P141" s="3"/>
      <c r="Q141" s="57"/>
      <c r="R141" s="19">
        <f t="shared" ref="R141:AD141" si="52">SUM(R137:R140)</f>
        <v>3839.7348536550953</v>
      </c>
      <c r="S141" s="53">
        <f t="shared" si="52"/>
        <v>3823.8681807061075</v>
      </c>
      <c r="T141" s="53">
        <f t="shared" si="52"/>
        <v>3808.1320976579341</v>
      </c>
      <c r="U141" s="53">
        <f t="shared" si="52"/>
        <v>3792.5249988970413</v>
      </c>
      <c r="V141" s="53">
        <f t="shared" si="52"/>
        <v>3777.0453050239921</v>
      </c>
      <c r="W141" s="53">
        <f t="shared" si="52"/>
        <v>3761.6914623206426</v>
      </c>
      <c r="X141" s="53">
        <f t="shared" si="52"/>
        <v>3746.4619422302758</v>
      </c>
      <c r="Y141" s="53">
        <f t="shared" si="52"/>
        <v>3731.3552408503151</v>
      </c>
      <c r="Z141" s="53">
        <f t="shared" si="52"/>
        <v>3716.3698784372618</v>
      </c>
      <c r="AA141" s="53">
        <f t="shared" si="52"/>
        <v>3701.5043989235128</v>
      </c>
      <c r="AB141" s="53">
        <f t="shared" si="52"/>
        <v>3686.7573694457301</v>
      </c>
      <c r="AC141" s="53">
        <f t="shared" si="52"/>
        <v>3672.1273798844377</v>
      </c>
      <c r="AD141" s="53">
        <f t="shared" si="52"/>
        <v>45057.573108032346</v>
      </c>
      <c r="AF141" s="57"/>
      <c r="AG141" s="19">
        <f t="shared" ref="AG141:AS141" si="53">SUM(AG137:AG140)</f>
        <v>3876.3037570232405</v>
      </c>
      <c r="AH141" s="53">
        <f t="shared" si="53"/>
        <v>3860.2859729033098</v>
      </c>
      <c r="AI141" s="53">
        <f t="shared" si="53"/>
        <v>3844.4000223975349</v>
      </c>
      <c r="AJ141" s="53">
        <f t="shared" si="53"/>
        <v>3828.6442846008235</v>
      </c>
      <c r="AK141" s="53">
        <f t="shared" si="53"/>
        <v>3813.0171650718403</v>
      </c>
      <c r="AL141" s="53">
        <f t="shared" si="53"/>
        <v>3797.5170952951257</v>
      </c>
      <c r="AM141" s="53">
        <f t="shared" si="53"/>
        <v>3782.1425321562788</v>
      </c>
      <c r="AN141" s="53">
        <f t="shared" si="53"/>
        <v>3766.8919574298425</v>
      </c>
      <c r="AO141" s="53">
        <f t="shared" si="53"/>
        <v>3751.7638772795217</v>
      </c>
      <c r="AP141" s="53">
        <f t="shared" si="53"/>
        <v>3736.7568217704033</v>
      </c>
      <c r="AQ141" s="53">
        <f t="shared" si="53"/>
        <v>3721.8693443928323</v>
      </c>
      <c r="AR141" s="53">
        <f t="shared" si="53"/>
        <v>3707.1000215976223</v>
      </c>
      <c r="AS141" s="53">
        <f t="shared" si="53"/>
        <v>45486.692851918378</v>
      </c>
    </row>
    <row r="142" spans="1:45" ht="13.5" thickTop="1">
      <c r="A142" s="63"/>
      <c r="B142" s="55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3"/>
      <c r="Q142" s="57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F142" s="57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</row>
    <row r="143" spans="1:45">
      <c r="A143" s="64" t="s">
        <v>425</v>
      </c>
      <c r="B143" s="55" t="str">
        <f>'O&amp;M Budget'!A93</f>
        <v>COMPANY VEHICLES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3"/>
      <c r="Q143" s="55" t="s">
        <v>656</v>
      </c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F143" s="55" t="s">
        <v>656</v>
      </c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</row>
    <row r="144" spans="1:45">
      <c r="A144" s="63" t="s">
        <v>426</v>
      </c>
      <c r="B144" s="57" t="str">
        <f>'O&amp;M Budget'!A94</f>
        <v>Fuel</v>
      </c>
      <c r="C144" s="21">
        <f>'P&amp;LPLN'!C143/Factors!C11</f>
        <v>1975.1749049910663</v>
      </c>
      <c r="D144" s="21">
        <f>'P&amp;LPLN'!D143/Factors!D11</f>
        <v>1972.4173811907197</v>
      </c>
      <c r="E144" s="21">
        <f>'P&amp;LPLN'!E143/Factors!E11</f>
        <v>1969.6675461641639</v>
      </c>
      <c r="F144" s="21">
        <f>'P&amp;LPLN'!F143/Factors!F11</f>
        <v>1966.9253677983825</v>
      </c>
      <c r="G144" s="21">
        <f>'P&amp;LPLN'!G143/Factors!G11</f>
        <v>1964.1908141589406</v>
      </c>
      <c r="H144" s="21">
        <f>'P&amp;LPLN'!H143/Factors!H11</f>
        <v>1961.4638534887476</v>
      </c>
      <c r="I144" s="21">
        <f>'P&amp;LPLN'!I143/Factors!I11</f>
        <v>1958.744454206826</v>
      </c>
      <c r="J144" s="21">
        <f>'P&amp;LPLN'!J143/Factors!J11</f>
        <v>1956.0325849070935</v>
      </c>
      <c r="K144" s="21">
        <f>'P&amp;LPLN'!K143/Factors!K11</f>
        <v>1953.3282143571525</v>
      </c>
      <c r="L144" s="21">
        <f>'P&amp;LPLN'!L143/Factors!L11</f>
        <v>1950.6313114970933</v>
      </c>
      <c r="M144" s="21">
        <f>'P&amp;LPLN'!M143/Factors!M11</f>
        <v>1947.9418454383026</v>
      </c>
      <c r="N144" s="21">
        <f>'P&amp;LPLN'!N143/Factors!N11</f>
        <v>1945.2597854622859</v>
      </c>
      <c r="O144" s="3">
        <f>SUM(C144:N144)</f>
        <v>23521.778063660775</v>
      </c>
      <c r="P144" s="3"/>
      <c r="Q144" s="57" t="s">
        <v>657</v>
      </c>
      <c r="R144" s="21">
        <f>'P&amp;LPLN'!R143/Factors!R11</f>
        <v>1937.1881680952226</v>
      </c>
      <c r="S144" s="21">
        <f>'P&amp;LPLN'!S143/Factors!S11</f>
        <v>1929.1832583097053</v>
      </c>
      <c r="T144" s="21">
        <f>'P&amp;LPLN'!T143/Factors!T11</f>
        <v>1921.2442325553443</v>
      </c>
      <c r="U144" s="21">
        <f>'P&amp;LPLN'!U143/Factors!U11</f>
        <v>1913.3702807825766</v>
      </c>
      <c r="V144" s="21">
        <f>'P&amp;LPLN'!V143/Factors!V11</f>
        <v>1905.5606061671376</v>
      </c>
      <c r="W144" s="21">
        <f>'P&amp;LPLN'!W143/Factors!W11</f>
        <v>1897.814424841255</v>
      </c>
      <c r="X144" s="21">
        <f>'P&amp;LPLN'!X143/Factors!X11</f>
        <v>1890.1309656313713</v>
      </c>
      <c r="Y144" s="21">
        <f>'P&amp;LPLN'!Y143/Factors!Y11</f>
        <v>1882.5094698022126</v>
      </c>
      <c r="Z144" s="21">
        <f>'P&amp;LPLN'!Z143/Factors!Z11</f>
        <v>1874.9491908070231</v>
      </c>
      <c r="AA144" s="21">
        <f>'P&amp;LPLN'!AA143/Factors!AA11</f>
        <v>1867.4493940437951</v>
      </c>
      <c r="AB144" s="21">
        <f>'P&amp;LPLN'!AB143/Factors!AB11</f>
        <v>1860.0093566173259</v>
      </c>
      <c r="AC144" s="21">
        <f>'P&amp;LPLN'!AC143/Factors!AC11</f>
        <v>1852.6283671069395</v>
      </c>
      <c r="AD144" s="21">
        <f>SUM(R144:AC144)</f>
        <v>22732.03771475991</v>
      </c>
      <c r="AF144" s="57" t="s">
        <v>657</v>
      </c>
      <c r="AG144" s="21">
        <f>'P&amp;LPLN'!AG143/Factors!AG11</f>
        <v>1844.9411124716412</v>
      </c>
      <c r="AH144" s="21">
        <f>'P&amp;LPLN'!AH143/Factors!AH11</f>
        <v>1837.3173888663864</v>
      </c>
      <c r="AI144" s="21">
        <f>'P&amp;LPLN'!AI143/Factors!AI11</f>
        <v>1829.7564119574713</v>
      </c>
      <c r="AJ144" s="21">
        <f>'P&amp;LPLN'!AJ143/Factors!AJ11</f>
        <v>1822.257410269121</v>
      </c>
      <c r="AK144" s="21">
        <f>'P&amp;LPLN'!AK143/Factors!AK11</f>
        <v>1814.8196249210837</v>
      </c>
      <c r="AL144" s="21">
        <f>'P&amp;LPLN'!AL143/Factors!AL11</f>
        <v>1807.4423093726239</v>
      </c>
      <c r="AM144" s="21">
        <f>'P&amp;LPLN'!AM143/Factors!AM11</f>
        <v>1800.1247291727348</v>
      </c>
      <c r="AN144" s="21">
        <f>'P&amp;LPLN'!AN143/Factors!AN11</f>
        <v>1792.866161716393</v>
      </c>
      <c r="AO144" s="21">
        <f>'P&amp;LPLN'!AO143/Factors!AO11</f>
        <v>1785.6658960066886</v>
      </c>
      <c r="AP144" s="21">
        <f>'P&amp;LPLN'!AP143/Factors!AP11</f>
        <v>1778.523232422662</v>
      </c>
      <c r="AQ144" s="21">
        <f>'P&amp;LPLN'!AQ143/Factors!AQ11</f>
        <v>1771.4374824926911</v>
      </c>
      <c r="AR144" s="21">
        <f>'P&amp;LPLN'!AR143/Factors!AR11</f>
        <v>1764.4079686732757</v>
      </c>
      <c r="AS144" s="21">
        <f>SUM(AG144:AR144)</f>
        <v>21649.559728342774</v>
      </c>
    </row>
    <row r="145" spans="1:45">
      <c r="A145" s="63" t="s">
        <v>428</v>
      </c>
      <c r="B145" s="57" t="str">
        <f>'O&amp;M Budget'!A95</f>
        <v>Repair/Maintenace</v>
      </c>
      <c r="C145" s="21">
        <f>'P&amp;LPLN'!C144/Factors!C11</f>
        <v>1208.3422948180641</v>
      </c>
      <c r="D145" s="21">
        <f>'P&amp;LPLN'!D144/Factors!D11</f>
        <v>1206.6553390813815</v>
      </c>
      <c r="E145" s="21">
        <f>'P&amp;LPLN'!E144/Factors!E11</f>
        <v>1204.9730870651356</v>
      </c>
      <c r="F145" s="21">
        <f>'P&amp;LPLN'!F144/Factors!F11</f>
        <v>1203.2955191237163</v>
      </c>
      <c r="G145" s="21">
        <f>'P&amp;LPLN'!G144/Factors!G11</f>
        <v>1201.6226157207636</v>
      </c>
      <c r="H145" s="21">
        <f>'P&amp;LPLN'!H144/Factors!H11</f>
        <v>1199.9543574284103</v>
      </c>
      <c r="I145" s="21">
        <f>'P&amp;LPLN'!I144/Factors!I11</f>
        <v>1198.2907249265288</v>
      </c>
      <c r="J145" s="21">
        <f>'P&amp;LPLN'!J144/Factors!J11</f>
        <v>1196.6316990019866</v>
      </c>
      <c r="K145" s="21">
        <f>'P&amp;LPLN'!K144/Factors!K11</f>
        <v>1194.9772605479052</v>
      </c>
      <c r="L145" s="21">
        <f>'P&amp;LPLN'!L144/Factors!L11</f>
        <v>1193.3273905629276</v>
      </c>
      <c r="M145" s="21">
        <f>'P&amp;LPLN'!M144/Factors!M11</f>
        <v>1191.682070150491</v>
      </c>
      <c r="N145" s="21">
        <f>'P&amp;LPLN'!N144/Factors!N11</f>
        <v>1190.0412805181043</v>
      </c>
      <c r="O145" s="3">
        <f>SUM(C145:N145)</f>
        <v>14389.793638945412</v>
      </c>
      <c r="P145" s="3"/>
      <c r="Q145" s="57" t="s">
        <v>658</v>
      </c>
      <c r="R145" s="21">
        <f>'P&amp;LPLN'!R144/Factors!R11</f>
        <v>1185.1033498935478</v>
      </c>
      <c r="S145" s="21">
        <f>'P&amp;LPLN'!S144/Factors!S11</f>
        <v>1180.206228612996</v>
      </c>
      <c r="T145" s="21">
        <f>'P&amp;LPLN'!T144/Factors!T11</f>
        <v>1175.3494128573871</v>
      </c>
      <c r="U145" s="21">
        <f>'P&amp;LPLN'!U144/Factors!U11</f>
        <v>1170.5324070669881</v>
      </c>
      <c r="V145" s="21">
        <f>'P&amp;LPLN'!V144/Factors!V11</f>
        <v>1165.754723772837</v>
      </c>
      <c r="W145" s="21">
        <f>'P&amp;LPLN'!W144/Factors!W11</f>
        <v>1161.0158834322972</v>
      </c>
      <c r="X145" s="21">
        <f>'P&amp;LPLN'!X144/Factors!X11</f>
        <v>1156.3154142686037</v>
      </c>
      <c r="Y145" s="21">
        <f>'P&amp;LPLN'!Y144/Factors!Y11</f>
        <v>1151.6528521142948</v>
      </c>
      <c r="Z145" s="21">
        <f>'P&amp;LPLN'!Z144/Factors!Z11</f>
        <v>1147.027740258414</v>
      </c>
      <c r="AA145" s="21">
        <f>'P&amp;LPLN'!AA144/Factors!AA11</f>
        <v>1142.4396292973804</v>
      </c>
      <c r="AB145" s="21">
        <f>'P&amp;LPLN'!AB144/Factors!AB11</f>
        <v>1137.8880769894229</v>
      </c>
      <c r="AC145" s="21">
        <f>'P&amp;LPLN'!AC144/Factors!AC11</f>
        <v>1133.3726481124806</v>
      </c>
      <c r="AD145" s="21">
        <f>SUM(R145:AC145)</f>
        <v>13906.658366676651</v>
      </c>
      <c r="AF145" s="57" t="s">
        <v>658</v>
      </c>
      <c r="AG145" s="21">
        <f>'P&amp;LPLN'!AG144/Factors!AG11</f>
        <v>1128.6698570414746</v>
      </c>
      <c r="AH145" s="21">
        <f>'P&amp;LPLN'!AH144/Factors!AH11</f>
        <v>1124.0059320123776</v>
      </c>
      <c r="AI145" s="21">
        <f>'P&amp;LPLN'!AI144/Factors!AI11</f>
        <v>1119.3803931975117</v>
      </c>
      <c r="AJ145" s="21">
        <f>'P&amp;LPLN'!AJ144/Factors!AJ11</f>
        <v>1114.7927686352268</v>
      </c>
      <c r="AK145" s="21">
        <f>'P&amp;LPLN'!AK144/Factors!AK11</f>
        <v>1110.2425940693688</v>
      </c>
      <c r="AL145" s="21">
        <f>'P&amp;LPLN'!AL144/Factors!AL11</f>
        <v>1105.7294127926641</v>
      </c>
      <c r="AM145" s="21">
        <f>'P&amp;LPLN'!AM144/Factors!AM11</f>
        <v>1101.2527754939083</v>
      </c>
      <c r="AN145" s="21">
        <f>'P&amp;LPLN'!AN144/Factors!AN11</f>
        <v>1096.8122401088522</v>
      </c>
      <c r="AO145" s="21">
        <f>'P&amp;LPLN'!AO144/Factors!AO11</f>
        <v>1092.4073716746802</v>
      </c>
      <c r="AP145" s="21">
        <f>'P&amp;LPLN'!AP144/Factors!AP11</f>
        <v>1088.0377421879814</v>
      </c>
      <c r="AQ145" s="21">
        <f>'P&amp;LPLN'!AQ144/Factors!AQ11</f>
        <v>1083.7029304661169</v>
      </c>
      <c r="AR145" s="21">
        <f>'P&amp;LPLN'!AR144/Factors!AR11</f>
        <v>1079.4025220118863</v>
      </c>
      <c r="AS145" s="21">
        <f>SUM(AG145:AR145)</f>
        <v>13244.436539692051</v>
      </c>
    </row>
    <row r="146" spans="1:45" ht="13.5" thickBot="1">
      <c r="A146" s="63"/>
      <c r="B146" s="136" t="s">
        <v>97</v>
      </c>
      <c r="C146" s="19">
        <f>SUM(C144:C145)</f>
        <v>3183.5171998091305</v>
      </c>
      <c r="D146" s="19">
        <f t="shared" ref="D146:O146" si="54">SUM(D144:D145)</f>
        <v>3179.0727202721009</v>
      </c>
      <c r="E146" s="19">
        <f t="shared" si="54"/>
        <v>3174.6406332292995</v>
      </c>
      <c r="F146" s="19">
        <f t="shared" si="54"/>
        <v>3170.2208869220985</v>
      </c>
      <c r="G146" s="19">
        <f t="shared" si="54"/>
        <v>3165.813429879704</v>
      </c>
      <c r="H146" s="19">
        <f t="shared" si="54"/>
        <v>3161.4182109171579</v>
      </c>
      <c r="I146" s="19">
        <f t="shared" si="54"/>
        <v>3157.0351791333551</v>
      </c>
      <c r="J146" s="19">
        <f t="shared" si="54"/>
        <v>3152.66428390908</v>
      </c>
      <c r="K146" s="19">
        <f t="shared" si="54"/>
        <v>3148.305474905058</v>
      </c>
      <c r="L146" s="19">
        <f t="shared" si="54"/>
        <v>3143.9587020600211</v>
      </c>
      <c r="M146" s="19">
        <f t="shared" si="54"/>
        <v>3139.6239155887934</v>
      </c>
      <c r="N146" s="19">
        <f t="shared" si="54"/>
        <v>3135.3010659803904</v>
      </c>
      <c r="O146" s="19">
        <f t="shared" si="54"/>
        <v>37911.57170260619</v>
      </c>
      <c r="P146" s="3"/>
      <c r="Q146" s="57"/>
      <c r="R146" s="19">
        <f t="shared" ref="R146:AD146" si="55">SUM(R144:R145)</f>
        <v>3122.2915179887705</v>
      </c>
      <c r="S146" s="53">
        <f t="shared" si="55"/>
        <v>3109.3894869227015</v>
      </c>
      <c r="T146" s="53">
        <f t="shared" si="55"/>
        <v>3096.5936454127313</v>
      </c>
      <c r="U146" s="53">
        <f t="shared" si="55"/>
        <v>3083.9026878495647</v>
      </c>
      <c r="V146" s="53">
        <f t="shared" si="55"/>
        <v>3071.3153299399746</v>
      </c>
      <c r="W146" s="53">
        <f t="shared" si="55"/>
        <v>3058.830308273552</v>
      </c>
      <c r="X146" s="53">
        <f t="shared" si="55"/>
        <v>3046.446379899975</v>
      </c>
      <c r="Y146" s="53">
        <f t="shared" si="55"/>
        <v>3034.1623219165076</v>
      </c>
      <c r="Z146" s="53">
        <f t="shared" si="55"/>
        <v>3021.9769310654374</v>
      </c>
      <c r="AA146" s="53">
        <f t="shared" si="55"/>
        <v>3009.8890233411757</v>
      </c>
      <c r="AB146" s="53">
        <f t="shared" si="55"/>
        <v>2997.8974336067486</v>
      </c>
      <c r="AC146" s="53">
        <f t="shared" si="55"/>
        <v>2986.00101521942</v>
      </c>
      <c r="AD146" s="53">
        <f t="shared" si="55"/>
        <v>36638.696081436559</v>
      </c>
      <c r="AF146" s="57"/>
      <c r="AG146" s="19">
        <f t="shared" ref="AG146:AS146" si="56">SUM(AG144:AG145)</f>
        <v>2973.6109695131158</v>
      </c>
      <c r="AH146" s="53">
        <f t="shared" si="56"/>
        <v>2961.3233208787642</v>
      </c>
      <c r="AI146" s="53">
        <f t="shared" si="56"/>
        <v>2949.136805154983</v>
      </c>
      <c r="AJ146" s="53">
        <f t="shared" si="56"/>
        <v>2937.0501789043478</v>
      </c>
      <c r="AK146" s="53">
        <f t="shared" si="56"/>
        <v>2925.0622189904525</v>
      </c>
      <c r="AL146" s="53">
        <f t="shared" si="56"/>
        <v>2913.171722165288</v>
      </c>
      <c r="AM146" s="53">
        <f t="shared" si="56"/>
        <v>2901.3775046666433</v>
      </c>
      <c r="AN146" s="53">
        <f t="shared" si="56"/>
        <v>2889.6784018252451</v>
      </c>
      <c r="AO146" s="53">
        <f t="shared" si="56"/>
        <v>2878.0732676813686</v>
      </c>
      <c r="AP146" s="53">
        <f t="shared" si="56"/>
        <v>2866.5609746106434</v>
      </c>
      <c r="AQ146" s="53">
        <f t="shared" si="56"/>
        <v>2855.1404129588082</v>
      </c>
      <c r="AR146" s="53">
        <f t="shared" si="56"/>
        <v>2843.8104906851622</v>
      </c>
      <c r="AS146" s="53">
        <f t="shared" si="56"/>
        <v>34893.996268034825</v>
      </c>
    </row>
    <row r="147" spans="1:45" ht="13.5" thickTop="1">
      <c r="A147" s="63"/>
      <c r="B147" s="55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3"/>
      <c r="Q147" s="57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F147" s="57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</row>
    <row r="148" spans="1:45">
      <c r="A148" s="64" t="s">
        <v>430</v>
      </c>
      <c r="B148" s="55" t="str">
        <f>'O&amp;M Budget'!A98</f>
        <v>BUSINESS TRAVELS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3"/>
      <c r="Q148" s="55" t="s">
        <v>561</v>
      </c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F148" s="55" t="s">
        <v>561</v>
      </c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</row>
    <row r="149" spans="1:45">
      <c r="A149" s="63" t="s">
        <v>432</v>
      </c>
      <c r="B149" s="57" t="str">
        <f>'O&amp;M Budget'!A99</f>
        <v>Domestic Travel</v>
      </c>
      <c r="C149" s="21">
        <f>'P&amp;LPLN'!C148/Factors!C11</f>
        <v>1347.7664057586098</v>
      </c>
      <c r="D149" s="21">
        <f>'P&amp;LPLN'!D148/Factors!D11</f>
        <v>1345.8848012830792</v>
      </c>
      <c r="E149" s="21">
        <f>'P&amp;LPLN'!E148/Factors!E11</f>
        <v>1344.0084432649589</v>
      </c>
      <c r="F149" s="21">
        <f>'P&amp;LPLN'!F148/Factors!F11</f>
        <v>1342.1373097918374</v>
      </c>
      <c r="G149" s="21">
        <f>'P&amp;LPLN'!G148/Factors!G11</f>
        <v>1340.2713790731596</v>
      </c>
      <c r="H149" s="21">
        <f>'P&amp;LPLN'!H148/Factors!H11</f>
        <v>1338.4106294393807</v>
      </c>
      <c r="I149" s="21">
        <f>'P&amp;LPLN'!I148/Factors!I11</f>
        <v>1336.5550393411283</v>
      </c>
      <c r="J149" s="21">
        <f>'P&amp;LPLN'!J148/Factors!J11</f>
        <v>1334.7045873483696</v>
      </c>
      <c r="K149" s="21">
        <f>'P&amp;LPLN'!K148/Factors!K11</f>
        <v>1332.8592521495864</v>
      </c>
      <c r="L149" s="21">
        <f>'P&amp;LPLN'!L148/Factors!L11</f>
        <v>1331.0190125509578</v>
      </c>
      <c r="M149" s="21">
        <f>'P&amp;LPLN'!M148/Factors!M11</f>
        <v>1329.1838474755477</v>
      </c>
      <c r="N149" s="21">
        <f>'P&amp;LPLN'!N148/Factors!N11</f>
        <v>1327.3537359625011</v>
      </c>
      <c r="O149" s="3">
        <f>SUM(C149:N149)</f>
        <v>16050.154443439116</v>
      </c>
      <c r="P149" s="3"/>
      <c r="Q149" s="57" t="s">
        <v>659</v>
      </c>
      <c r="R149" s="21">
        <f>'P&amp;LPLN'!R148/Factors!R11</f>
        <v>1321.8460441120342</v>
      </c>
      <c r="S149" s="21">
        <f>'P&amp;LPLN'!S148/Factors!S11</f>
        <v>1316.3838703760341</v>
      </c>
      <c r="T149" s="21">
        <f>'P&amp;LPLN'!T148/Factors!T11</f>
        <v>1310.9666528024702</v>
      </c>
      <c r="U149" s="21">
        <f>'P&amp;LPLN'!U148/Factors!U11</f>
        <v>1305.5938386516405</v>
      </c>
      <c r="V149" s="21">
        <f>'P&amp;LPLN'!V148/Factors!V11</f>
        <v>1300.2648842081644</v>
      </c>
      <c r="W149" s="21">
        <f>'P&amp;LPLN'!W148/Factors!W11</f>
        <v>1294.9792545975622</v>
      </c>
      <c r="X149" s="21">
        <f>'P&amp;LPLN'!X148/Factors!X11</f>
        <v>1289.7364236072888</v>
      </c>
      <c r="Y149" s="21">
        <f>'P&amp;LPLN'!Y148/Factors!Y11</f>
        <v>1284.5358735120981</v>
      </c>
      <c r="Z149" s="21">
        <f>'P&amp;LPLN'!Z148/Factors!Z11</f>
        <v>1279.3770949036157</v>
      </c>
      <c r="AA149" s="21">
        <f>'P&amp;LPLN'!AA148/Factors!AA11</f>
        <v>1274.2595865240014</v>
      </c>
      <c r="AB149" s="21">
        <f>'P&amp;LPLN'!AB148/Factors!AB11</f>
        <v>1269.1828551035869</v>
      </c>
      <c r="AC149" s="21">
        <f>'P&amp;LPLN'!AC148/Factors!AC11</f>
        <v>1264.1464152023823</v>
      </c>
      <c r="AD149" s="21">
        <f>SUM(R149:AC149)</f>
        <v>15511.272793600878</v>
      </c>
      <c r="AF149" s="57" t="s">
        <v>659</v>
      </c>
      <c r="AG149" s="21">
        <f>'P&amp;LPLN'!AG148/Factors!AG11</f>
        <v>1258.9009943924138</v>
      </c>
      <c r="AH149" s="21">
        <f>'P&amp;LPLN'!AH148/Factors!AH11</f>
        <v>1253.698924167652</v>
      </c>
      <c r="AI149" s="21">
        <f>'P&amp;LPLN'!AI148/Factors!AI11</f>
        <v>1248.5396693356863</v>
      </c>
      <c r="AJ149" s="21">
        <f>'P&amp;LPLN'!AJ148/Factors!AJ11</f>
        <v>1243.422703477753</v>
      </c>
      <c r="AK149" s="21">
        <f>'P&amp;LPLN'!AK148/Factors!AK11</f>
        <v>1238.3475087696806</v>
      </c>
      <c r="AL149" s="21">
        <f>'P&amp;LPLN'!AL148/Factors!AL11</f>
        <v>1233.3135758072021</v>
      </c>
      <c r="AM149" s="21">
        <f>'P&amp;LPLN'!AM148/Factors!AM11</f>
        <v>1228.3204034355131</v>
      </c>
      <c r="AN149" s="21">
        <f>'P&amp;LPLN'!AN148/Factors!AN11</f>
        <v>1223.3674985829505</v>
      </c>
      <c r="AO149" s="21">
        <f>'P&amp;LPLN'!AO148/Factors!AO11</f>
        <v>1218.4543760986817</v>
      </c>
      <c r="AP149" s="21">
        <f>'P&amp;LPLN'!AP148/Factors!AP11</f>
        <v>1213.5805585942869</v>
      </c>
      <c r="AQ149" s="21">
        <f>'P&amp;LPLN'!AQ148/Factors!AQ11</f>
        <v>1208.7455762891304</v>
      </c>
      <c r="AR149" s="21">
        <f>'P&amp;LPLN'!AR148/Factors!AR11</f>
        <v>1203.9489668594117</v>
      </c>
      <c r="AS149" s="21">
        <f>SUM(AG149:AR149)</f>
        <v>14772.640755810366</v>
      </c>
    </row>
    <row r="150" spans="1:45">
      <c r="A150" s="63" t="s">
        <v>434</v>
      </c>
      <c r="B150" s="57" t="str">
        <f>'O&amp;M Budget'!A100</f>
        <v>Foreign travel</v>
      </c>
      <c r="C150" s="21">
        <f>'P&amp;LPLN'!C149/Factors!C11</f>
        <v>487.98438829191048</v>
      </c>
      <c r="D150" s="21">
        <f>'P&amp;LPLN'!D149/Factors!D11</f>
        <v>487.3031177059425</v>
      </c>
      <c r="E150" s="21">
        <f>'P&amp;LPLN'!E149/Factors!E11</f>
        <v>486.62374669938168</v>
      </c>
      <c r="F150" s="21">
        <f>'P&amp;LPLN'!F149/Factors!F11</f>
        <v>485.94626733842387</v>
      </c>
      <c r="G150" s="21">
        <f>'P&amp;LPLN'!G149/Factors!G11</f>
        <v>485.27067173338531</v>
      </c>
      <c r="H150" s="21">
        <f>'P&amp;LPLN'!H149/Factors!H11</f>
        <v>484.59695203839647</v>
      </c>
      <c r="I150" s="21">
        <f>'P&amp;LPLN'!I149/Factors!I11</f>
        <v>483.92510045109822</v>
      </c>
      <c r="J150" s="21">
        <f>'P&amp;LPLN'!J149/Factors!J11</f>
        <v>483.2551092123407</v>
      </c>
      <c r="K150" s="21">
        <f>'P&amp;LPLN'!K149/Factors!K11</f>
        <v>482.58697060588474</v>
      </c>
      <c r="L150" s="21">
        <f>'P&amp;LPLN'!L149/Factors!L11</f>
        <v>481.92067695810539</v>
      </c>
      <c r="M150" s="21">
        <f>'P&amp;LPLN'!M149/Factors!M11</f>
        <v>481.25622063769828</v>
      </c>
      <c r="N150" s="21">
        <f>'P&amp;LPLN'!N149/Factors!N11</f>
        <v>480.59359405538828</v>
      </c>
      <c r="O150" s="3">
        <f>SUM(C150:N150)</f>
        <v>5811.2628157279551</v>
      </c>
      <c r="P150" s="3"/>
      <c r="Q150" s="57" t="s">
        <v>660</v>
      </c>
      <c r="R150" s="21">
        <f>'P&amp;LPLN'!R149/Factors!R11</f>
        <v>478.59942976470205</v>
      </c>
      <c r="S150" s="21">
        <f>'P&amp;LPLN'!S149/Factors!S11</f>
        <v>476.62174617063306</v>
      </c>
      <c r="T150" s="21">
        <f>'P&amp;LPLN'!T149/Factors!T11</f>
        <v>474.66033980779093</v>
      </c>
      <c r="U150" s="21">
        <f>'P&amp;LPLN'!U149/Factors!U11</f>
        <v>472.71501054628362</v>
      </c>
      <c r="V150" s="21">
        <f>'P&amp;LPLN'!V149/Factors!V11</f>
        <v>470.78556152364575</v>
      </c>
      <c r="W150" s="21">
        <f>'P&amp;LPLN'!W149/Factors!W11</f>
        <v>468.87179907842767</v>
      </c>
      <c r="X150" s="21">
        <f>'P&amp;LPLN'!X149/Factors!X11</f>
        <v>466.97353268539763</v>
      </c>
      <c r="Y150" s="21">
        <f>'P&amp;LPLN'!Y149/Factors!Y11</f>
        <v>465.09057489231134</v>
      </c>
      <c r="Z150" s="21">
        <f>'P&amp;LPLN'!Z149/Factors!Z11</f>
        <v>463.2227412582057</v>
      </c>
      <c r="AA150" s="21">
        <f>'P&amp;LPLN'!AA149/Factors!AA11</f>
        <v>461.36985029317287</v>
      </c>
      <c r="AB150" s="21">
        <f>'P&amp;LPLN'!AB149/Factors!AB11</f>
        <v>459.53172339957462</v>
      </c>
      <c r="AC150" s="21">
        <f>'P&amp;LPLN'!AC149/Factors!AC11</f>
        <v>457.70818481465568</v>
      </c>
      <c r="AD150" s="21">
        <f>SUM(R150:AC150)</f>
        <v>5616.150494234801</v>
      </c>
      <c r="AF150" s="57" t="s">
        <v>660</v>
      </c>
      <c r="AG150" s="21">
        <f>'P&amp;LPLN'!AG149/Factors!AG11</f>
        <v>455.80898072828779</v>
      </c>
      <c r="AH150" s="21">
        <f>'P&amp;LPLN'!AH149/Factors!AH11</f>
        <v>453.92547254346016</v>
      </c>
      <c r="AI150" s="21">
        <f>'P&amp;LPLN'!AI149/Factors!AI11</f>
        <v>452.05746648361054</v>
      </c>
      <c r="AJ150" s="21">
        <f>'P&amp;LPLN'!AJ149/Factors!AJ11</f>
        <v>450.20477194884165</v>
      </c>
      <c r="AK150" s="21">
        <f>'P&amp;LPLN'!AK149/Factors!AK11</f>
        <v>448.36720145109126</v>
      </c>
      <c r="AL150" s="21">
        <f>'P&amp;LPLN'!AL149/Factors!AL11</f>
        <v>446.54457055088358</v>
      </c>
      <c r="AM150" s="21">
        <f>'P&amp;LPLN'!AM149/Factors!AM11</f>
        <v>444.73669779561681</v>
      </c>
      <c r="AN150" s="21">
        <f>'P&amp;LPLN'!AN149/Factors!AN11</f>
        <v>442.9434046593442</v>
      </c>
      <c r="AO150" s="21">
        <f>'P&amp;LPLN'!AO149/Factors!AO11</f>
        <v>441.16451548400545</v>
      </c>
      <c r="AP150" s="21">
        <f>'P&amp;LPLN'!AP149/Factors!AP11</f>
        <v>439.39985742206943</v>
      </c>
      <c r="AQ150" s="21">
        <f>'P&amp;LPLN'!AQ149/Factors!AQ11</f>
        <v>437.64926038054722</v>
      </c>
      <c r="AR150" s="21">
        <f>'P&amp;LPLN'!AR149/Factors!AR11</f>
        <v>435.91255696633868</v>
      </c>
      <c r="AS150" s="21">
        <f>SUM(AG150:AR150)</f>
        <v>5348.714756414096</v>
      </c>
    </row>
    <row r="151" spans="1:45" hidden="1">
      <c r="A151" s="63" t="s">
        <v>436</v>
      </c>
      <c r="B151" s="55" t="s">
        <v>96</v>
      </c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3"/>
      <c r="Q151" s="57" t="s">
        <v>96</v>
      </c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F151" s="57" t="s">
        <v>96</v>
      </c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</row>
    <row r="152" spans="1:45" ht="13.5" thickBot="1">
      <c r="A152" s="63"/>
      <c r="B152" s="136" t="s">
        <v>97</v>
      </c>
      <c r="C152" s="19">
        <f>SUM(C149:C151)</f>
        <v>1835.7507940505202</v>
      </c>
      <c r="D152" s="19">
        <f t="shared" ref="D152:O152" si="57">SUM(D149:D151)</f>
        <v>1833.1879189890217</v>
      </c>
      <c r="E152" s="19">
        <f t="shared" si="57"/>
        <v>1830.6321899643406</v>
      </c>
      <c r="F152" s="19">
        <f t="shared" si="57"/>
        <v>1828.0835771302613</v>
      </c>
      <c r="G152" s="19">
        <f t="shared" si="57"/>
        <v>1825.5420508065449</v>
      </c>
      <c r="H152" s="19">
        <f t="shared" si="57"/>
        <v>1823.0075814777772</v>
      </c>
      <c r="I152" s="19">
        <f t="shared" si="57"/>
        <v>1820.4801397922265</v>
      </c>
      <c r="J152" s="19">
        <f t="shared" si="57"/>
        <v>1817.9596965607102</v>
      </c>
      <c r="K152" s="19">
        <f t="shared" si="57"/>
        <v>1815.4462227554711</v>
      </c>
      <c r="L152" s="19">
        <f t="shared" si="57"/>
        <v>1812.9396895090631</v>
      </c>
      <c r="M152" s="19">
        <f t="shared" si="57"/>
        <v>1810.4400681132461</v>
      </c>
      <c r="N152" s="19">
        <f t="shared" si="57"/>
        <v>1807.9473300178893</v>
      </c>
      <c r="O152" s="19">
        <f t="shared" si="57"/>
        <v>21861.417259167072</v>
      </c>
      <c r="P152" s="3"/>
      <c r="Q152" s="57"/>
      <c r="R152" s="19">
        <f t="shared" ref="R152:AD152" si="58">SUM(R149:R151)</f>
        <v>1800.4454738767363</v>
      </c>
      <c r="S152" s="19">
        <f t="shared" si="58"/>
        <v>1793.0056165466672</v>
      </c>
      <c r="T152" s="19">
        <f t="shared" si="58"/>
        <v>1785.6269926102611</v>
      </c>
      <c r="U152" s="19">
        <f t="shared" si="58"/>
        <v>1778.308849197924</v>
      </c>
      <c r="V152" s="19">
        <f t="shared" si="58"/>
        <v>1771.0504457318102</v>
      </c>
      <c r="W152" s="19">
        <f t="shared" si="58"/>
        <v>1763.85105367599</v>
      </c>
      <c r="X152" s="19">
        <f t="shared" si="58"/>
        <v>1756.7099562926865</v>
      </c>
      <c r="Y152" s="19">
        <f t="shared" si="58"/>
        <v>1749.6264484044095</v>
      </c>
      <c r="Z152" s="19">
        <f t="shared" si="58"/>
        <v>1742.5998361618213</v>
      </c>
      <c r="AA152" s="19">
        <f t="shared" si="58"/>
        <v>1735.6294368171743</v>
      </c>
      <c r="AB152" s="19">
        <f t="shared" si="58"/>
        <v>1728.7145785031616</v>
      </c>
      <c r="AC152" s="19">
        <f t="shared" si="58"/>
        <v>1721.8546000170379</v>
      </c>
      <c r="AD152" s="19">
        <f t="shared" si="58"/>
        <v>21127.423287835678</v>
      </c>
      <c r="AF152" s="57"/>
      <c r="AG152" s="19">
        <f t="shared" ref="AG152:AS152" si="59">SUM(AG149:AG151)</f>
        <v>1714.7099751207015</v>
      </c>
      <c r="AH152" s="19">
        <f t="shared" si="59"/>
        <v>1707.6243967111122</v>
      </c>
      <c r="AI152" s="19">
        <f t="shared" si="59"/>
        <v>1700.5971358192969</v>
      </c>
      <c r="AJ152" s="19">
        <f t="shared" si="59"/>
        <v>1693.6274754265946</v>
      </c>
      <c r="AK152" s="19">
        <f t="shared" si="59"/>
        <v>1686.7147102207718</v>
      </c>
      <c r="AL152" s="19">
        <f t="shared" si="59"/>
        <v>1679.8581463580858</v>
      </c>
      <c r="AM152" s="19">
        <f t="shared" si="59"/>
        <v>1673.0571012311298</v>
      </c>
      <c r="AN152" s="19">
        <f t="shared" si="59"/>
        <v>1666.3109032422947</v>
      </c>
      <c r="AO152" s="19">
        <f t="shared" si="59"/>
        <v>1659.6188915826872</v>
      </c>
      <c r="AP152" s="19">
        <f t="shared" si="59"/>
        <v>1652.9804160163562</v>
      </c>
      <c r="AQ152" s="19">
        <f t="shared" si="59"/>
        <v>1646.3948366696777</v>
      </c>
      <c r="AR152" s="19">
        <f t="shared" si="59"/>
        <v>1639.8615238257503</v>
      </c>
      <c r="AS152" s="19">
        <f t="shared" si="59"/>
        <v>20121.355512224462</v>
      </c>
    </row>
    <row r="153" spans="1:45" ht="13.5" thickTop="1">
      <c r="A153" s="63"/>
      <c r="B153" s="55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3"/>
      <c r="Q153" s="57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F153" s="57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64" t="s">
        <v>438</v>
      </c>
      <c r="B154" s="55" t="str">
        <f>'O&amp;M Budget'!A103</f>
        <v>REPRESENTATION AND ADVERTISING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3"/>
      <c r="Q154" s="55" t="s">
        <v>661</v>
      </c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F154" s="55" t="s">
        <v>661</v>
      </c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</row>
    <row r="155" spans="1:45">
      <c r="A155" s="63" t="s">
        <v>440</v>
      </c>
      <c r="B155" s="57" t="s">
        <v>661</v>
      </c>
      <c r="C155" s="3">
        <f>'P&amp;LPLN'!C154/Factors!C11</f>
        <v>2091.3616641081876</v>
      </c>
      <c r="D155" s="3">
        <f>'P&amp;LPLN'!D154/Factors!D11</f>
        <v>2088.4419330254677</v>
      </c>
      <c r="E155" s="3">
        <f>'P&amp;LPLN'!E154/Factors!E11</f>
        <v>2085.5303429973501</v>
      </c>
      <c r="F155" s="3">
        <f>'P&amp;LPLN'!F154/Factors!F11</f>
        <v>2082.6268600218168</v>
      </c>
      <c r="G155" s="3">
        <f>'P&amp;LPLN'!G154/Factors!G11</f>
        <v>2079.7314502859372</v>
      </c>
      <c r="H155" s="3">
        <f>'P&amp;LPLN'!H154/Factors!H11</f>
        <v>2076.8440801645561</v>
      </c>
      <c r="I155" s="3">
        <f>'P&amp;LPLN'!I154/Factors!I11</f>
        <v>2073.9647162189922</v>
      </c>
      <c r="J155" s="3">
        <f>'P&amp;LPLN'!J154/Factors!J11</f>
        <v>2071.0933251957458</v>
      </c>
      <c r="K155" s="3">
        <f>'P&amp;LPLN'!K154/Factors!K11</f>
        <v>2068.2298740252204</v>
      </c>
      <c r="L155" s="3">
        <f>'P&amp;LPLN'!L154/Factors!L11</f>
        <v>2065.3743298204517</v>
      </c>
      <c r="M155" s="3">
        <f>'P&amp;LPLN'!M154/Factors!M11</f>
        <v>2062.5266598758499</v>
      </c>
      <c r="N155" s="3">
        <f>'P&amp;LPLN'!N154/Factors!N11</f>
        <v>2059.6868316659497</v>
      </c>
      <c r="O155" s="3">
        <f>SUM(C155:N155)</f>
        <v>24905.412067405523</v>
      </c>
      <c r="P155" s="3"/>
      <c r="Q155" s="55" t="s">
        <v>661</v>
      </c>
      <c r="R155" s="3">
        <f>'P&amp;LPLN'!R154/Factors!R11</f>
        <v>2051.1404132772946</v>
      </c>
      <c r="S155" s="3">
        <f>'P&amp;LPLN'!S154/Factors!S11</f>
        <v>2042.6646264455703</v>
      </c>
      <c r="T155" s="3">
        <f>'P&amp;LPLN'!T154/Factors!T11</f>
        <v>2034.2585991762469</v>
      </c>
      <c r="U155" s="3">
        <f>'P&amp;LPLN'!U154/Factors!U11</f>
        <v>2025.9214737697869</v>
      </c>
      <c r="V155" s="3">
        <f>'P&amp;LPLN'!V154/Factors!V11</f>
        <v>2017.6524065299104</v>
      </c>
      <c r="W155" s="3">
        <f>'P&amp;LPLN'!W154/Factors!W11</f>
        <v>2009.4505674789757</v>
      </c>
      <c r="X155" s="3">
        <f>'P&amp;LPLN'!X154/Factors!X11</f>
        <v>2001.3151400802756</v>
      </c>
      <c r="Y155" s="3">
        <f>'P&amp;LPLN'!Y154/Factors!Y11</f>
        <v>1993.2453209670487</v>
      </c>
      <c r="Z155" s="3">
        <f>'P&amp;LPLN'!Z154/Factors!Z11</f>
        <v>1985.2403196780244</v>
      </c>
      <c r="AA155" s="3">
        <f>'P&amp;LPLN'!AA154/Factors!AA11</f>
        <v>1977.2993583993125</v>
      </c>
      <c r="AB155" s="3">
        <f>'P&amp;LPLN'!AB154/Factors!AB11</f>
        <v>1969.4216717124627</v>
      </c>
      <c r="AC155" s="3">
        <f>'P&amp;LPLN'!AC154/Factors!AC11</f>
        <v>1961.6065063485244</v>
      </c>
      <c r="AD155" s="21">
        <f>SUM(R155:AC155)</f>
        <v>24069.216403863433</v>
      </c>
      <c r="AF155" s="55" t="s">
        <v>661</v>
      </c>
      <c r="AG155" s="3">
        <f>'P&amp;LPLN'!AG154/Factors!AG11</f>
        <v>1953.4670602640906</v>
      </c>
      <c r="AH155" s="3">
        <f>'P&amp;LPLN'!AH154/Factors!AH11</f>
        <v>1945.394882329115</v>
      </c>
      <c r="AI155" s="3">
        <f>'P&amp;LPLN'!AI154/Factors!AI11</f>
        <v>1937.3891420726166</v>
      </c>
      <c r="AJ155" s="3">
        <f>'P&amp;LPLN'!AJ154/Factors!AJ11</f>
        <v>1929.4490226378928</v>
      </c>
      <c r="AK155" s="3">
        <f>'P&amp;LPLN'!AK154/Factors!AK11</f>
        <v>1921.5737205046769</v>
      </c>
      <c r="AL155" s="3">
        <f>'P&amp;LPLN'!AL154/Factors!AL11</f>
        <v>1913.7624452180723</v>
      </c>
      <c r="AM155" s="3">
        <f>'P&amp;LPLN'!AM154/Factors!AM11</f>
        <v>1906.014419124072</v>
      </c>
      <c r="AN155" s="3">
        <f>'P&amp;LPLN'!AN154/Factors!AN11</f>
        <v>1898.3288771114751</v>
      </c>
      <c r="AO155" s="3">
        <f>'P&amp;LPLN'!AO154/Factors!AO11</f>
        <v>1890.7050663600232</v>
      </c>
      <c r="AP155" s="3">
        <f>'P&amp;LPLN'!AP154/Factors!AP11</f>
        <v>1883.1422460945832</v>
      </c>
      <c r="AQ155" s="3">
        <f>'P&amp;LPLN'!AQ154/Factors!AQ11</f>
        <v>1875.6396873452024</v>
      </c>
      <c r="AR155" s="3">
        <f>'P&amp;LPLN'!AR154/Factors!AR11</f>
        <v>1868.1966727128802</v>
      </c>
      <c r="AS155" s="21">
        <f>SUM(AG155:AR155)</f>
        <v>22923.063241774704</v>
      </c>
    </row>
    <row r="156" spans="1:45" ht="13.5" thickBot="1">
      <c r="A156" s="20"/>
      <c r="B156" s="136" t="s">
        <v>97</v>
      </c>
      <c r="C156" s="19">
        <f>C155</f>
        <v>2091.3616641081876</v>
      </c>
      <c r="D156" s="19">
        <f t="shared" ref="D156:O156" si="60">D155</f>
        <v>2088.4419330254677</v>
      </c>
      <c r="E156" s="19">
        <f t="shared" si="60"/>
        <v>2085.5303429973501</v>
      </c>
      <c r="F156" s="19">
        <f t="shared" si="60"/>
        <v>2082.6268600218168</v>
      </c>
      <c r="G156" s="19">
        <f t="shared" si="60"/>
        <v>2079.7314502859372</v>
      </c>
      <c r="H156" s="19">
        <f t="shared" si="60"/>
        <v>2076.8440801645561</v>
      </c>
      <c r="I156" s="19">
        <f t="shared" si="60"/>
        <v>2073.9647162189922</v>
      </c>
      <c r="J156" s="19">
        <f t="shared" si="60"/>
        <v>2071.0933251957458</v>
      </c>
      <c r="K156" s="19">
        <f t="shared" si="60"/>
        <v>2068.2298740252204</v>
      </c>
      <c r="L156" s="19">
        <f t="shared" si="60"/>
        <v>2065.3743298204517</v>
      </c>
      <c r="M156" s="19">
        <f t="shared" si="60"/>
        <v>2062.5266598758499</v>
      </c>
      <c r="N156" s="19">
        <f t="shared" si="60"/>
        <v>2059.6868316659497</v>
      </c>
      <c r="O156" s="19">
        <f t="shared" si="60"/>
        <v>24905.412067405523</v>
      </c>
      <c r="P156" s="3"/>
      <c r="Q156" s="20"/>
      <c r="R156" s="19">
        <f t="shared" ref="R156:AD156" si="61">R155</f>
        <v>2051.1404132772946</v>
      </c>
      <c r="S156" s="19">
        <f t="shared" si="61"/>
        <v>2042.6646264455703</v>
      </c>
      <c r="T156" s="19">
        <f t="shared" si="61"/>
        <v>2034.2585991762469</v>
      </c>
      <c r="U156" s="19">
        <f t="shared" si="61"/>
        <v>2025.9214737697869</v>
      </c>
      <c r="V156" s="19">
        <f t="shared" si="61"/>
        <v>2017.6524065299104</v>
      </c>
      <c r="W156" s="19">
        <f t="shared" si="61"/>
        <v>2009.4505674789757</v>
      </c>
      <c r="X156" s="19">
        <f t="shared" si="61"/>
        <v>2001.3151400802756</v>
      </c>
      <c r="Y156" s="19">
        <f t="shared" si="61"/>
        <v>1993.2453209670487</v>
      </c>
      <c r="Z156" s="19">
        <f t="shared" si="61"/>
        <v>1985.2403196780244</v>
      </c>
      <c r="AA156" s="19">
        <f t="shared" si="61"/>
        <v>1977.2993583993125</v>
      </c>
      <c r="AB156" s="19">
        <f t="shared" si="61"/>
        <v>1969.4216717124627</v>
      </c>
      <c r="AC156" s="19">
        <f t="shared" si="61"/>
        <v>1961.6065063485244</v>
      </c>
      <c r="AD156" s="19">
        <f t="shared" si="61"/>
        <v>24069.216403863433</v>
      </c>
      <c r="AF156" s="20"/>
      <c r="AG156" s="19">
        <f t="shared" ref="AG156:AS156" si="62">AG155</f>
        <v>1953.4670602640906</v>
      </c>
      <c r="AH156" s="19">
        <f t="shared" si="62"/>
        <v>1945.394882329115</v>
      </c>
      <c r="AI156" s="19">
        <f t="shared" si="62"/>
        <v>1937.3891420726166</v>
      </c>
      <c r="AJ156" s="19">
        <f t="shared" si="62"/>
        <v>1929.4490226378928</v>
      </c>
      <c r="AK156" s="19">
        <f t="shared" si="62"/>
        <v>1921.5737205046769</v>
      </c>
      <c r="AL156" s="19">
        <f t="shared" si="62"/>
        <v>1913.7624452180723</v>
      </c>
      <c r="AM156" s="19">
        <f t="shared" si="62"/>
        <v>1906.014419124072</v>
      </c>
      <c r="AN156" s="19">
        <f t="shared" si="62"/>
        <v>1898.3288771114751</v>
      </c>
      <c r="AO156" s="19">
        <f t="shared" si="62"/>
        <v>1890.7050663600232</v>
      </c>
      <c r="AP156" s="19">
        <f t="shared" si="62"/>
        <v>1883.1422460945832</v>
      </c>
      <c r="AQ156" s="19">
        <f t="shared" si="62"/>
        <v>1875.6396873452024</v>
      </c>
      <c r="AR156" s="19">
        <f t="shared" si="62"/>
        <v>1868.1966727128802</v>
      </c>
      <c r="AS156" s="19">
        <f t="shared" si="62"/>
        <v>22923.063241774704</v>
      </c>
    </row>
    <row r="157" spans="1:45" ht="13.5" thickTop="1">
      <c r="A157" s="20"/>
      <c r="B157" s="19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3"/>
      <c r="Q157" s="20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F157" s="20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</row>
    <row r="158" spans="1:45">
      <c r="A158" s="20"/>
      <c r="B158" s="19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3"/>
      <c r="Q158" s="20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F158" s="20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 ht="13.5" thickBot="1">
      <c r="A159" s="20"/>
      <c r="B159" s="136" t="s">
        <v>28</v>
      </c>
      <c r="C159" s="10">
        <f t="shared" ref="C159:O159" si="63">C32+C37+C40+C50+C58+C64+C75+C95+C112+C128+C134+C141+C146+C152+C156+C120</f>
        <v>3655550.3849575538</v>
      </c>
      <c r="D159" s="10">
        <f t="shared" si="63"/>
        <v>3330525.2667921204</v>
      </c>
      <c r="E159" s="10">
        <f t="shared" si="63"/>
        <v>3527629.8983269203</v>
      </c>
      <c r="F159" s="10">
        <f t="shared" si="63"/>
        <v>3309278.4842085582</v>
      </c>
      <c r="G159" s="10">
        <f t="shared" si="63"/>
        <v>3372383.305891891</v>
      </c>
      <c r="H159" s="10">
        <f t="shared" si="63"/>
        <v>3281883.845591316</v>
      </c>
      <c r="I159" s="10">
        <f t="shared" si="63"/>
        <v>3507937.4403607133</v>
      </c>
      <c r="J159" s="10">
        <f t="shared" si="63"/>
        <v>3432640.3759182389</v>
      </c>
      <c r="K159" s="10">
        <f t="shared" si="63"/>
        <v>3405269.9984189346</v>
      </c>
      <c r="L159" s="10">
        <f t="shared" si="63"/>
        <v>3692770.9995088312</v>
      </c>
      <c r="M159" s="10">
        <f t="shared" si="63"/>
        <v>3456756.106882771</v>
      </c>
      <c r="N159" s="10">
        <f t="shared" si="63"/>
        <v>3508708.5177071062</v>
      </c>
      <c r="O159" s="10">
        <f t="shared" si="63"/>
        <v>41481334.624564953</v>
      </c>
      <c r="P159" s="3"/>
      <c r="Q159" s="20" t="s">
        <v>219</v>
      </c>
      <c r="R159" s="21">
        <f t="shared" ref="R159:AC159" si="64">R32+R37+R40+R50+R58+R64+R75+R95+R112+R120+R128+R134+R141+R146+R152+R156</f>
        <v>3117334.2094070101</v>
      </c>
      <c r="S159" s="21">
        <f t="shared" si="64"/>
        <v>2872500.5667071147</v>
      </c>
      <c r="T159" s="21">
        <f t="shared" si="64"/>
        <v>3068637.7485259371</v>
      </c>
      <c r="U159" s="21">
        <f t="shared" si="64"/>
        <v>2864020.1058478844</v>
      </c>
      <c r="V159" s="21">
        <f t="shared" si="64"/>
        <v>2877691.0319614895</v>
      </c>
      <c r="W159" s="21">
        <f t="shared" si="64"/>
        <v>2831026.4252394093</v>
      </c>
      <c r="X159" s="21">
        <f t="shared" si="64"/>
        <v>2996040.6767912493</v>
      </c>
      <c r="Y159" s="21">
        <f t="shared" si="64"/>
        <v>2919347.682269922</v>
      </c>
      <c r="Z159" s="21">
        <f t="shared" si="64"/>
        <v>2866381.0905800951</v>
      </c>
      <c r="AA159" s="21">
        <f t="shared" si="64"/>
        <v>3198951.7281544856</v>
      </c>
      <c r="AB159" s="21">
        <f t="shared" si="64"/>
        <v>3003830.3211080632</v>
      </c>
      <c r="AC159" s="21">
        <f t="shared" si="64"/>
        <v>3069268.9968248974</v>
      </c>
      <c r="AD159" s="21">
        <f>SUM(R159:AC159)</f>
        <v>35685030.583417557</v>
      </c>
      <c r="AF159" s="20" t="s">
        <v>219</v>
      </c>
      <c r="AG159" s="21">
        <f t="shared" ref="AG159:AR159" si="65">AG32+AG37+AG40+AG50+AG58+AG64+AG75+AG95+AG112+AG120+AG128+AG134+AG141+AG146+AG152+AG156</f>
        <v>3051004.0123555562</v>
      </c>
      <c r="AH159" s="21">
        <f t="shared" si="65"/>
        <v>2806498.414862588</v>
      </c>
      <c r="AI159" s="21">
        <f t="shared" si="65"/>
        <v>3002983.3305908721</v>
      </c>
      <c r="AJ159" s="21">
        <f t="shared" si="65"/>
        <v>2798997.1839415575</v>
      </c>
      <c r="AK159" s="21">
        <f t="shared" si="65"/>
        <v>2813009.1113559538</v>
      </c>
      <c r="AL159" s="21">
        <f t="shared" si="65"/>
        <v>2766704.8483391772</v>
      </c>
      <c r="AM159" s="21">
        <f t="shared" si="65"/>
        <v>2932052.7008348526</v>
      </c>
      <c r="AN159" s="21">
        <f t="shared" si="65"/>
        <v>2855692.409971972</v>
      </c>
      <c r="AO159" s="21">
        <f t="shared" si="65"/>
        <v>2803055.8497978183</v>
      </c>
      <c r="AP159" s="21">
        <f t="shared" si="65"/>
        <v>3135942.9984312928</v>
      </c>
      <c r="AQ159" s="21">
        <f t="shared" si="65"/>
        <v>2941146.4176429892</v>
      </c>
      <c r="AR159" s="21">
        <f t="shared" si="65"/>
        <v>2989941.2929582815</v>
      </c>
      <c r="AS159" s="21">
        <f>SUM(AG159:AR159)</f>
        <v>34897028.571082905</v>
      </c>
    </row>
    <row r="160" spans="1:45" ht="13.5" thickTop="1">
      <c r="A160" s="20"/>
      <c r="B160" s="19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3"/>
      <c r="Q160" s="20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F160" s="20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</row>
    <row r="161" spans="1:45" s="140" customFormat="1" ht="16.5" thickBot="1">
      <c r="A161" s="204"/>
      <c r="B161" s="313" t="s">
        <v>29</v>
      </c>
      <c r="C161" s="207">
        <f t="shared" ref="C161:N161" si="66">C12-C159</f>
        <v>44900.375916151796</v>
      </c>
      <c r="D161" s="207">
        <f t="shared" si="66"/>
        <v>152323.01735057356</v>
      </c>
      <c r="E161" s="207">
        <f t="shared" si="66"/>
        <v>66693.11736815935</v>
      </c>
      <c r="F161" s="207">
        <f t="shared" si="66"/>
        <v>64546.811459662393</v>
      </c>
      <c r="G161" s="207">
        <f t="shared" si="66"/>
        <v>-120192.66605721833</v>
      </c>
      <c r="H161" s="207">
        <f t="shared" si="66"/>
        <v>-75046.147539610509</v>
      </c>
      <c r="I161" s="207">
        <f t="shared" si="66"/>
        <v>496338.27687254315</v>
      </c>
      <c r="J161" s="207">
        <f t="shared" si="66"/>
        <v>497352.2672202508</v>
      </c>
      <c r="K161" s="207">
        <f t="shared" si="66"/>
        <v>513315.40314702922</v>
      </c>
      <c r="L161" s="207">
        <f t="shared" si="66"/>
        <v>574106.8209940535</v>
      </c>
      <c r="M161" s="207">
        <f t="shared" si="66"/>
        <v>640910.0967433257</v>
      </c>
      <c r="N161" s="207">
        <f t="shared" si="66"/>
        <v>669595.41745505016</v>
      </c>
      <c r="O161" s="207">
        <f>SUM(C161:N161)</f>
        <v>3524842.7909299708</v>
      </c>
      <c r="P161" s="206"/>
      <c r="Q161" s="204" t="s">
        <v>516</v>
      </c>
      <c r="R161" s="205">
        <f t="shared" ref="R161:AC161" si="67">R12-R159</f>
        <v>752986.98413664522</v>
      </c>
      <c r="S161" s="205">
        <f t="shared" si="67"/>
        <v>758172.25479297526</v>
      </c>
      <c r="T161" s="205">
        <f t="shared" si="67"/>
        <v>670916.65150478948</v>
      </c>
      <c r="U161" s="205">
        <f t="shared" si="67"/>
        <v>574336.58286900166</v>
      </c>
      <c r="V161" s="205">
        <f t="shared" si="67"/>
        <v>460110.26801783452</v>
      </c>
      <c r="W161" s="205">
        <f t="shared" si="67"/>
        <v>-16387.454769013915</v>
      </c>
      <c r="X161" s="205">
        <f t="shared" si="67"/>
        <v>1059935.6627032449</v>
      </c>
      <c r="Y161" s="205">
        <f t="shared" si="67"/>
        <v>1012795.4500153176</v>
      </c>
      <c r="Z161" s="205">
        <f t="shared" si="67"/>
        <v>767535.47547038877</v>
      </c>
      <c r="AA161" s="205">
        <f t="shared" si="67"/>
        <v>1192040.7874796675</v>
      </c>
      <c r="AB161" s="205">
        <f t="shared" si="67"/>
        <v>1185257.9787713056</v>
      </c>
      <c r="AC161" s="205">
        <f t="shared" si="67"/>
        <v>1281846.3893808997</v>
      </c>
      <c r="AD161" s="205">
        <f>SUM(R161:AC161)</f>
        <v>9699547.0303730574</v>
      </c>
      <c r="AF161" s="204" t="s">
        <v>516</v>
      </c>
      <c r="AG161" s="205">
        <f t="shared" ref="AG161:AR161" si="68">AG12-AG159</f>
        <v>724403.23231833195</v>
      </c>
      <c r="AH161" s="205">
        <f t="shared" si="68"/>
        <v>806708.0741171292</v>
      </c>
      <c r="AI161" s="205">
        <f t="shared" si="68"/>
        <v>755888.29943196289</v>
      </c>
      <c r="AJ161" s="205">
        <f t="shared" si="68"/>
        <v>639052.15128625836</v>
      </c>
      <c r="AK161" s="205">
        <f t="shared" si="68"/>
        <v>365578.82034180872</v>
      </c>
      <c r="AL161" s="205">
        <f t="shared" si="68"/>
        <v>454836.33825809509</v>
      </c>
      <c r="AM161" s="205">
        <f t="shared" si="68"/>
        <v>1088327.380560311</v>
      </c>
      <c r="AN161" s="205">
        <f t="shared" si="68"/>
        <v>1150099.834912518</v>
      </c>
      <c r="AO161" s="205">
        <f t="shared" si="68"/>
        <v>1192842.6670658272</v>
      </c>
      <c r="AP161" s="205">
        <f t="shared" si="68"/>
        <v>1100525.2711593551</v>
      </c>
      <c r="AQ161" s="205">
        <f t="shared" si="68"/>
        <v>1236813.2760328222</v>
      </c>
      <c r="AR161" s="205">
        <f t="shared" si="68"/>
        <v>1384196.6455706307</v>
      </c>
      <c r="AS161" s="205">
        <f>SUM(AG161:AR161)</f>
        <v>10899271.991055049</v>
      </c>
    </row>
    <row r="162" spans="1:45" ht="13.5" thickTop="1">
      <c r="A162" s="20"/>
      <c r="B162" s="314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3"/>
      <c r="Q162" s="20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F162" s="20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20"/>
      <c r="B163" s="314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3"/>
      <c r="Q163" s="2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F163" s="20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 ht="24.6" customHeight="1">
      <c r="A164" s="20"/>
      <c r="B164" s="314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3"/>
      <c r="Q164" s="2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F164" s="20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</row>
    <row r="165" spans="1:45">
      <c r="A165" s="54" t="s">
        <v>444</v>
      </c>
      <c r="B165" s="55" t="s">
        <v>25</v>
      </c>
      <c r="C165" s="39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3"/>
      <c r="Q165" s="55" t="s">
        <v>445</v>
      </c>
      <c r="R165" s="22" t="s">
        <v>511</v>
      </c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F165" s="55" t="s">
        <v>445</v>
      </c>
      <c r="AG165" s="22" t="s">
        <v>511</v>
      </c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</row>
    <row r="166" spans="1:45">
      <c r="A166" s="56" t="s">
        <v>446</v>
      </c>
      <c r="B166" s="57" t="s">
        <v>662</v>
      </c>
      <c r="C166" s="21">
        <f>C168*0.01</f>
        <v>3681.5177894097228</v>
      </c>
      <c r="D166" s="21">
        <f t="shared" ref="D166:N166" si="69">D168*0.01</f>
        <v>3325.2418743055559</v>
      </c>
      <c r="E166" s="21">
        <f t="shared" si="69"/>
        <v>3681.5177894097228</v>
      </c>
      <c r="F166" s="21">
        <f t="shared" si="69"/>
        <v>3562.7591510416673</v>
      </c>
      <c r="G166" s="21">
        <f t="shared" si="69"/>
        <v>3681.5177894097228</v>
      </c>
      <c r="H166" s="21">
        <f t="shared" si="69"/>
        <v>3485.8331651041676</v>
      </c>
      <c r="I166" s="21">
        <f t="shared" si="69"/>
        <v>3602.0276039409732</v>
      </c>
      <c r="J166" s="21">
        <f t="shared" si="69"/>
        <v>3602.0276039409732</v>
      </c>
      <c r="K166" s="21">
        <f t="shared" si="69"/>
        <v>3485.8331651041676</v>
      </c>
      <c r="L166" s="21">
        <f t="shared" si="69"/>
        <v>3602.0276039409732</v>
      </c>
      <c r="M166" s="21">
        <f t="shared" si="69"/>
        <v>3485.8331651041676</v>
      </c>
      <c r="N166" s="21">
        <f t="shared" si="69"/>
        <v>3519.3420256597228</v>
      </c>
      <c r="O166" s="21">
        <f>SUM(C166:N166)</f>
        <v>42715.478726371533</v>
      </c>
      <c r="P166" s="3"/>
      <c r="Q166" s="57" t="s">
        <v>662</v>
      </c>
      <c r="R166" s="21">
        <f>R168*0.01</f>
        <v>3519.3420256597228</v>
      </c>
      <c r="S166" s="21">
        <f t="shared" ref="S166:AC166" si="70">S168*0.01</f>
        <v>3178.7605393055564</v>
      </c>
      <c r="T166" s="21">
        <f t="shared" si="70"/>
        <v>3519.3420256597228</v>
      </c>
      <c r="U166" s="21">
        <f t="shared" si="70"/>
        <v>3405.8148635416678</v>
      </c>
      <c r="V166" s="21">
        <f t="shared" si="70"/>
        <v>3519.3420256597228</v>
      </c>
      <c r="W166" s="21">
        <f t="shared" si="70"/>
        <v>3322.5781807291678</v>
      </c>
      <c r="X166" s="21">
        <f t="shared" si="70"/>
        <v>3433.3307867534731</v>
      </c>
      <c r="Y166" s="21">
        <f t="shared" si="70"/>
        <v>3433.3307867534731</v>
      </c>
      <c r="Z166" s="21">
        <f t="shared" si="70"/>
        <v>3322.5781807291678</v>
      </c>
      <c r="AA166" s="21">
        <f t="shared" si="70"/>
        <v>3433.3307867534731</v>
      </c>
      <c r="AB166" s="21">
        <f t="shared" si="70"/>
        <v>3322.5781807291678</v>
      </c>
      <c r="AC166" s="21">
        <f t="shared" si="70"/>
        <v>3343.8335881597231</v>
      </c>
      <c r="AD166" s="21">
        <f>SUM(R166:AC166)</f>
        <v>40754.161970434034</v>
      </c>
      <c r="AF166" s="57" t="s">
        <v>662</v>
      </c>
      <c r="AG166" s="21">
        <f t="shared" ref="AG166:AR166" si="71">AG168*0.01</f>
        <v>3343.8335881597231</v>
      </c>
      <c r="AH166" s="21">
        <f t="shared" si="71"/>
        <v>3020.2367893055566</v>
      </c>
      <c r="AI166" s="21">
        <f t="shared" si="71"/>
        <v>3343.8335881597231</v>
      </c>
      <c r="AJ166" s="21">
        <f t="shared" si="71"/>
        <v>3235.9679885416676</v>
      </c>
      <c r="AK166" s="21">
        <f t="shared" si="71"/>
        <v>3343.8335881597231</v>
      </c>
      <c r="AL166" s="21">
        <f t="shared" si="71"/>
        <v>3145.9089307291679</v>
      </c>
      <c r="AM166" s="21">
        <f t="shared" si="71"/>
        <v>3250.7725617534734</v>
      </c>
      <c r="AN166" s="21">
        <f t="shared" si="71"/>
        <v>3250.7725617534734</v>
      </c>
      <c r="AO166" s="21">
        <f t="shared" si="71"/>
        <v>3145.9089307291679</v>
      </c>
      <c r="AP166" s="21">
        <f t="shared" si="71"/>
        <v>3250.7725617534734</v>
      </c>
      <c r="AQ166" s="21">
        <f t="shared" si="71"/>
        <v>3145.9089307291679</v>
      </c>
      <c r="AR166" s="21">
        <f t="shared" si="71"/>
        <v>3153.9682514409728</v>
      </c>
      <c r="AS166" s="21">
        <f>SUM(AG166:AR166)</f>
        <v>38631.718271215293</v>
      </c>
    </row>
    <row r="167" spans="1:45">
      <c r="A167" s="56" t="s">
        <v>447</v>
      </c>
      <c r="B167" s="57" t="s">
        <v>663</v>
      </c>
      <c r="C167" s="21">
        <f>Interest!$F$24/12</f>
        <v>2083.3333333333335</v>
      </c>
      <c r="D167" s="21">
        <f>Interest!$F$24/12</f>
        <v>2083.3333333333335</v>
      </c>
      <c r="E167" s="21">
        <f>Interest!$F$24/12</f>
        <v>2083.3333333333335</v>
      </c>
      <c r="F167" s="21">
        <f>Interest!$F$24/12</f>
        <v>2083.3333333333335</v>
      </c>
      <c r="G167" s="21">
        <f>Interest!$F$24/12</f>
        <v>2083.3333333333335</v>
      </c>
      <c r="H167" s="21">
        <f>Interest!$F$24/12</f>
        <v>2083.3333333333335</v>
      </c>
      <c r="I167" s="21">
        <f>Interest!$F$24/12</f>
        <v>2083.3333333333335</v>
      </c>
      <c r="J167" s="21">
        <f>Interest!$F$24/12</f>
        <v>2083.3333333333335</v>
      </c>
      <c r="K167" s="21">
        <f>Interest!$F$24/12</f>
        <v>2083.3333333333335</v>
      </c>
      <c r="L167" s="21">
        <f>Interest!$F$24/12</f>
        <v>2083.3333333333335</v>
      </c>
      <c r="M167" s="21">
        <f>Interest!$F$24/12</f>
        <v>2083.3333333333335</v>
      </c>
      <c r="N167" s="21">
        <f>Interest!$F$24/12</f>
        <v>2083.3333333333335</v>
      </c>
      <c r="O167" s="21">
        <f t="shared" ref="O167:O176" si="72">SUM(C167:N167)</f>
        <v>24999.999999999996</v>
      </c>
      <c r="P167" s="3"/>
      <c r="Q167" s="57" t="s">
        <v>663</v>
      </c>
      <c r="R167" s="21">
        <f>Interest!$F$24/12</f>
        <v>2083.3333333333335</v>
      </c>
      <c r="S167" s="21">
        <f>Interest!$F$24/12</f>
        <v>2083.3333333333335</v>
      </c>
      <c r="T167" s="21">
        <f>Interest!$F$24/12</f>
        <v>2083.3333333333335</v>
      </c>
      <c r="U167" s="21">
        <f>Interest!$F$24/12</f>
        <v>2083.3333333333335</v>
      </c>
      <c r="V167" s="21">
        <f>Interest!$F$24/12</f>
        <v>2083.3333333333335</v>
      </c>
      <c r="W167" s="21">
        <f>Interest!$F$24/12</f>
        <v>2083.3333333333335</v>
      </c>
      <c r="X167" s="21">
        <f>Interest!$F$24/12</f>
        <v>2083.3333333333335</v>
      </c>
      <c r="Y167" s="21">
        <f>Interest!$F$24/12</f>
        <v>2083.3333333333335</v>
      </c>
      <c r="Z167" s="21">
        <f>Interest!$F$24/12</f>
        <v>2083.3333333333335</v>
      </c>
      <c r="AA167" s="21">
        <f>Interest!$F$24/12</f>
        <v>2083.3333333333335</v>
      </c>
      <c r="AB167" s="21">
        <f>Interest!$F$24/12</f>
        <v>2083.3333333333335</v>
      </c>
      <c r="AC167" s="21">
        <f>Interest!$F$24/12</f>
        <v>2083.3333333333335</v>
      </c>
      <c r="AD167" s="21">
        <f t="shared" ref="AD167:AD176" si="73">SUM(R167:AC167)</f>
        <v>24999.999999999996</v>
      </c>
      <c r="AF167" s="57" t="s">
        <v>663</v>
      </c>
      <c r="AG167" s="21">
        <f>Interest!$F$24/12</f>
        <v>2083.3333333333335</v>
      </c>
      <c r="AH167" s="21">
        <f>Interest!$F$24/12</f>
        <v>2083.3333333333335</v>
      </c>
      <c r="AI167" s="21">
        <f>Interest!$F$24/12</f>
        <v>2083.3333333333335</v>
      </c>
      <c r="AJ167" s="21">
        <f>Interest!$F$24/12</f>
        <v>2083.3333333333335</v>
      </c>
      <c r="AK167" s="21">
        <f>Interest!$F$24/12</f>
        <v>2083.3333333333335</v>
      </c>
      <c r="AL167" s="21">
        <f>Interest!$F$24/12</f>
        <v>2083.3333333333335</v>
      </c>
      <c r="AM167" s="21">
        <f>Interest!$F$24/12</f>
        <v>2083.3333333333335</v>
      </c>
      <c r="AN167" s="21">
        <f>Interest!$F$24/12</f>
        <v>2083.3333333333335</v>
      </c>
      <c r="AO167" s="21">
        <f>Interest!$F$24/12</f>
        <v>2083.3333333333335</v>
      </c>
      <c r="AP167" s="21">
        <f>Interest!$F$24/12</f>
        <v>2083.3333333333335</v>
      </c>
      <c r="AQ167" s="21">
        <f>Interest!$F$24/12</f>
        <v>2083.3333333333335</v>
      </c>
      <c r="AR167" s="21">
        <f>Interest!$F$24/12</f>
        <v>2083.3333333333335</v>
      </c>
      <c r="AS167" s="21">
        <f t="shared" ref="AS167:AS176" si="74">SUM(AG167:AR167)</f>
        <v>24999.999999999996</v>
      </c>
    </row>
    <row r="168" spans="1:45">
      <c r="A168" s="56" t="s">
        <v>448</v>
      </c>
      <c r="B168" s="57" t="s">
        <v>664</v>
      </c>
      <c r="C168" s="21">
        <f>SUM(Interest!C21:C22)</f>
        <v>368151.77894097229</v>
      </c>
      <c r="D168" s="21">
        <f>SUM(Interest!D21:D22)</f>
        <v>332524.18743055558</v>
      </c>
      <c r="E168" s="21">
        <f>SUM(Interest!E21:E22)</f>
        <v>368151.77894097229</v>
      </c>
      <c r="F168" s="21">
        <f>SUM(Interest!F21:F22)</f>
        <v>356275.91510416672</v>
      </c>
      <c r="G168" s="21">
        <f>SUM(Interest!G21:G22)</f>
        <v>368151.77894097229</v>
      </c>
      <c r="H168" s="21">
        <f>SUM(Interest!H21:H22)</f>
        <v>348583.31651041674</v>
      </c>
      <c r="I168" s="21">
        <f>SUM(Interest!I21:I22)</f>
        <v>360202.76039409731</v>
      </c>
      <c r="J168" s="21">
        <f>SUM(Interest!J21:J22)</f>
        <v>360202.76039409731</v>
      </c>
      <c r="K168" s="21">
        <f>SUM(Interest!K21:K22)</f>
        <v>348583.31651041674</v>
      </c>
      <c r="L168" s="21">
        <f>SUM(Interest!L21:L22)</f>
        <v>360202.76039409731</v>
      </c>
      <c r="M168" s="21">
        <f>SUM(Interest!M21:M22)</f>
        <v>348583.31651041674</v>
      </c>
      <c r="N168" s="21">
        <f>SUM(Interest!N21:N22)</f>
        <v>351934.20256597229</v>
      </c>
      <c r="O168" s="21">
        <f t="shared" si="72"/>
        <v>4271547.8726371536</v>
      </c>
      <c r="P168" s="3"/>
      <c r="Q168" s="57" t="s">
        <v>664</v>
      </c>
      <c r="R168" s="21">
        <f>SUM(Interest!Q21:Q22)</f>
        <v>351934.20256597229</v>
      </c>
      <c r="S168" s="21">
        <f>SUM(Interest!R21:R22)</f>
        <v>317876.05393055564</v>
      </c>
      <c r="T168" s="21">
        <f>SUM(Interest!S21:S22)</f>
        <v>351934.20256597229</v>
      </c>
      <c r="U168" s="21">
        <f>SUM(Interest!T21:T22)</f>
        <v>340581.48635416676</v>
      </c>
      <c r="V168" s="21">
        <f>SUM(Interest!U21:U22)</f>
        <v>351934.20256597229</v>
      </c>
      <c r="W168" s="21">
        <f>SUM(Interest!V21:V22)</f>
        <v>332257.81807291677</v>
      </c>
      <c r="X168" s="21">
        <f>SUM(Interest!W21:W22)</f>
        <v>343333.07867534732</v>
      </c>
      <c r="Y168" s="21">
        <f>SUM(Interest!X21:X22)</f>
        <v>343333.07867534732</v>
      </c>
      <c r="Z168" s="21">
        <f>SUM(Interest!Y21:Y22)</f>
        <v>332257.81807291677</v>
      </c>
      <c r="AA168" s="21">
        <f>SUM(Interest!Z21:Z22)</f>
        <v>343333.07867534732</v>
      </c>
      <c r="AB168" s="21">
        <f>SUM(Interest!AA21:AA22)</f>
        <v>332257.81807291677</v>
      </c>
      <c r="AC168" s="21">
        <f>SUM(Interest!AB21:AB22)</f>
        <v>334383.35881597229</v>
      </c>
      <c r="AD168" s="21">
        <f t="shared" si="73"/>
        <v>4075416.197043404</v>
      </c>
      <c r="AF168" s="57" t="s">
        <v>664</v>
      </c>
      <c r="AG168" s="21">
        <f>SUM(Interest!AE21:AE22)</f>
        <v>334383.35881597229</v>
      </c>
      <c r="AH168" s="21">
        <f>SUM(Interest!AF21:AF22)</f>
        <v>302023.67893055564</v>
      </c>
      <c r="AI168" s="21">
        <f>SUM(Interest!AG21:AG22)</f>
        <v>334383.35881597229</v>
      </c>
      <c r="AJ168" s="21">
        <f>SUM(Interest!AH21:AH22)</f>
        <v>323596.79885416676</v>
      </c>
      <c r="AK168" s="21">
        <f>SUM(Interest!AI21:AI22)</f>
        <v>334383.35881597229</v>
      </c>
      <c r="AL168" s="21">
        <f>SUM(Interest!AJ21:AJ22)</f>
        <v>314590.89307291678</v>
      </c>
      <c r="AM168" s="21">
        <f>SUM(Interest!AK21:AK22)</f>
        <v>325077.25617534731</v>
      </c>
      <c r="AN168" s="21">
        <f>SUM(Interest!AL21:AL22)</f>
        <v>325077.25617534731</v>
      </c>
      <c r="AO168" s="21">
        <f>SUM(Interest!AM21:AM22)</f>
        <v>314590.89307291678</v>
      </c>
      <c r="AP168" s="21">
        <f>SUM(Interest!AN21:AN22)</f>
        <v>325077.25617534731</v>
      </c>
      <c r="AQ168" s="21">
        <f>SUM(Interest!AO21:AO22)</f>
        <v>314590.89307291678</v>
      </c>
      <c r="AR168" s="21">
        <f>SUM(Interest!AP21:AP22)</f>
        <v>315396.82514409727</v>
      </c>
      <c r="AS168" s="21">
        <f t="shared" si="74"/>
        <v>3863171.8271215279</v>
      </c>
    </row>
    <row r="169" spans="1:45">
      <c r="A169" s="56" t="s">
        <v>449</v>
      </c>
      <c r="B169" s="57" t="s">
        <v>665</v>
      </c>
      <c r="C169" s="21">
        <f>Interest!C23</f>
        <v>17598.680625000001</v>
      </c>
      <c r="D169" s="21">
        <f>Interest!D23</f>
        <v>15895.582500000002</v>
      </c>
      <c r="E169" s="21">
        <f>Interest!E23</f>
        <v>17598.680625000001</v>
      </c>
      <c r="F169" s="21">
        <f>Interest!F23</f>
        <v>17030.981250000004</v>
      </c>
      <c r="G169" s="21">
        <f>Interest!G23</f>
        <v>17598.680625000001</v>
      </c>
      <c r="H169" s="21">
        <f>Interest!H23</f>
        <v>17030.981250000004</v>
      </c>
      <c r="I169" s="21">
        <f>Interest!I23</f>
        <v>17598.680625000001</v>
      </c>
      <c r="J169" s="21">
        <f>Interest!J23</f>
        <v>17598.680625000001</v>
      </c>
      <c r="K169" s="21">
        <f>Interest!K23</f>
        <v>17030.981250000004</v>
      </c>
      <c r="L169" s="21">
        <f>Interest!L23</f>
        <v>17598.680625000001</v>
      </c>
      <c r="M169" s="21">
        <f>Interest!M23</f>
        <v>17030.981250000004</v>
      </c>
      <c r="N169" s="21">
        <f>Interest!N23</f>
        <v>17598.680625000001</v>
      </c>
      <c r="O169" s="21">
        <f t="shared" si="72"/>
        <v>207210.27187500009</v>
      </c>
      <c r="P169" s="3"/>
      <c r="Q169" s="57" t="s">
        <v>665</v>
      </c>
      <c r="R169" s="21">
        <f>Interest!Q23</f>
        <v>17598.680625000001</v>
      </c>
      <c r="S169" s="21">
        <f>Interest!R23</f>
        <v>15895.582500000002</v>
      </c>
      <c r="T169" s="21">
        <f>Interest!S23</f>
        <v>17598.680625000001</v>
      </c>
      <c r="U169" s="21">
        <f>Interest!T23</f>
        <v>17030.981250000004</v>
      </c>
      <c r="V169" s="21">
        <f>Interest!U23</f>
        <v>17598.680625000001</v>
      </c>
      <c r="W169" s="21">
        <f>Interest!V23</f>
        <v>17030.981250000004</v>
      </c>
      <c r="X169" s="21">
        <f>Interest!W23</f>
        <v>17598.680625000001</v>
      </c>
      <c r="Y169" s="21">
        <f>Interest!X23</f>
        <v>17598.680625000001</v>
      </c>
      <c r="Z169" s="21">
        <f>Interest!Y23</f>
        <v>17030.981250000004</v>
      </c>
      <c r="AA169" s="21">
        <f>Interest!Z23</f>
        <v>17598.680625000001</v>
      </c>
      <c r="AB169" s="21">
        <f>Interest!AA23</f>
        <v>17030.981250000004</v>
      </c>
      <c r="AC169" s="21">
        <f>Interest!AB23</f>
        <v>17598.680625000001</v>
      </c>
      <c r="AD169" s="21">
        <f t="shared" si="73"/>
        <v>207210.27187500009</v>
      </c>
      <c r="AF169" s="57" t="s">
        <v>665</v>
      </c>
      <c r="AG169" s="21">
        <f>Interest!AE23</f>
        <v>17598.680625000001</v>
      </c>
      <c r="AH169" s="21">
        <f>Interest!AF23</f>
        <v>15895.582500000002</v>
      </c>
      <c r="AI169" s="21">
        <f>Interest!AG23</f>
        <v>17598.680625000001</v>
      </c>
      <c r="AJ169" s="21">
        <f>Interest!AH23</f>
        <v>17030.981250000004</v>
      </c>
      <c r="AK169" s="21">
        <f>Interest!AI23</f>
        <v>17598.680625000001</v>
      </c>
      <c r="AL169" s="21">
        <f>Interest!AJ23</f>
        <v>17030.981250000004</v>
      </c>
      <c r="AM169" s="21">
        <f>Interest!AK23</f>
        <v>17598.680625000001</v>
      </c>
      <c r="AN169" s="21">
        <f>Interest!AL23</f>
        <v>17598.680625000001</v>
      </c>
      <c r="AO169" s="21">
        <f>Interest!AM23</f>
        <v>17030.981250000004</v>
      </c>
      <c r="AP169" s="21">
        <f>Interest!AN23</f>
        <v>17598.680625000001</v>
      </c>
      <c r="AQ169" s="21">
        <f>Interest!AO23</f>
        <v>17030.981250000004</v>
      </c>
      <c r="AR169" s="21">
        <f>Interest!AP23</f>
        <v>17598.680625000001</v>
      </c>
      <c r="AS169" s="21">
        <f t="shared" si="74"/>
        <v>207210.27187500009</v>
      </c>
    </row>
    <row r="170" spans="1:45" hidden="1">
      <c r="A170" s="56" t="s">
        <v>450</v>
      </c>
      <c r="B170" s="57" t="s">
        <v>666</v>
      </c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>
        <f t="shared" si="72"/>
        <v>0</v>
      </c>
      <c r="P170" s="3"/>
      <c r="Q170" s="57" t="s">
        <v>666</v>
      </c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>
        <f t="shared" si="73"/>
        <v>0</v>
      </c>
      <c r="AF170" s="57" t="s">
        <v>666</v>
      </c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>
        <f t="shared" si="74"/>
        <v>0</v>
      </c>
    </row>
    <row r="171" spans="1:45">
      <c r="A171" s="56" t="s">
        <v>451</v>
      </c>
      <c r="B171" s="57" t="s">
        <v>667</v>
      </c>
      <c r="C171" s="21">
        <f>Swap!C29</f>
        <v>329333.29163888888</v>
      </c>
      <c r="D171" s="21">
        <f>Swap!D29</f>
        <v>351605.60622222221</v>
      </c>
      <c r="E171" s="21">
        <f>Swap!E29</f>
        <v>329333.29163888888</v>
      </c>
      <c r="F171" s="21">
        <f>Swap!F29</f>
        <v>329027.03504999989</v>
      </c>
      <c r="G171" s="21">
        <f>Swap!G29</f>
        <v>321773.35261944437</v>
      </c>
      <c r="H171" s="21">
        <f>Swap!H29</f>
        <v>329027.03504999989</v>
      </c>
      <c r="I171" s="21">
        <f>Swap!I29</f>
        <v>321773.35261944437</v>
      </c>
      <c r="J171" s="21">
        <f>Swap!J29</f>
        <v>321773.35261944437</v>
      </c>
      <c r="K171" s="21">
        <f>Swap!K29</f>
        <v>329027.03504999989</v>
      </c>
      <c r="L171" s="21">
        <f>Swap!L29</f>
        <v>313909.34736388875</v>
      </c>
      <c r="M171" s="21">
        <f>Swap!M29</f>
        <v>320985.75284999993</v>
      </c>
      <c r="N171" s="21">
        <f>Swap!N29</f>
        <v>313909.34736388875</v>
      </c>
      <c r="O171" s="21">
        <f t="shared" si="72"/>
        <v>3911477.8000861104</v>
      </c>
      <c r="P171" s="3"/>
      <c r="Q171" s="57" t="s">
        <v>667</v>
      </c>
      <c r="R171" s="21">
        <f>Swap!Q29</f>
        <v>313909.34736388875</v>
      </c>
      <c r="S171" s="21">
        <f>Swap!R29</f>
        <v>335138.56382222212</v>
      </c>
      <c r="T171" s="21">
        <f>Swap!S29</f>
        <v>313909.34736388875</v>
      </c>
      <c r="U171" s="21">
        <f>Swap!T29</f>
        <v>312621.37199999997</v>
      </c>
      <c r="V171" s="21">
        <f>Swap!U29</f>
        <v>305729.3664444444</v>
      </c>
      <c r="W171" s="21">
        <f>Swap!V29</f>
        <v>312621.37199999997</v>
      </c>
      <c r="X171" s="21">
        <f>Swap!W29</f>
        <v>305729.3664444444</v>
      </c>
      <c r="Y171" s="21">
        <f>Swap!X29</f>
        <v>305729.3664444444</v>
      </c>
      <c r="Z171" s="21">
        <f>Swap!Y29</f>
        <v>312621.37199999997</v>
      </c>
      <c r="AA171" s="21">
        <f>Swap!Z29</f>
        <v>297220.79806666658</v>
      </c>
      <c r="AB171" s="21">
        <f>Swap!AA29</f>
        <v>303920.99639999989</v>
      </c>
      <c r="AC171" s="21">
        <f>Swap!AB29</f>
        <v>297220.79806666658</v>
      </c>
      <c r="AD171" s="21">
        <f t="shared" si="73"/>
        <v>3716372.0664166659</v>
      </c>
      <c r="AF171" s="57" t="s">
        <v>667</v>
      </c>
      <c r="AG171" s="21">
        <f>Swap!AE29</f>
        <v>297220.79806666658</v>
      </c>
      <c r="AH171" s="21">
        <f>Swap!AF29</f>
        <v>317321.39306666655</v>
      </c>
      <c r="AI171" s="21">
        <f>Swap!AG29</f>
        <v>297220.79806666658</v>
      </c>
      <c r="AJ171" s="21">
        <f>Swap!AH29</f>
        <v>294870.65894999995</v>
      </c>
      <c r="AK171" s="21">
        <f>Swap!AI29</f>
        <v>288369.98304722214</v>
      </c>
      <c r="AL171" s="21">
        <f>Swap!AJ29</f>
        <v>294870.65894999995</v>
      </c>
      <c r="AM171" s="21">
        <f>Swap!AK29</f>
        <v>288369.98304722214</v>
      </c>
      <c r="AN171" s="21">
        <f>Swap!AL29</f>
        <v>288369.98304722214</v>
      </c>
      <c r="AO171" s="21">
        <f>Swap!AM29</f>
        <v>294870.65894999995</v>
      </c>
      <c r="AP171" s="21">
        <f>Swap!AN29</f>
        <v>279163.60722499993</v>
      </c>
      <c r="AQ171" s="21">
        <f>Swap!AO29</f>
        <v>285456.74534999998</v>
      </c>
      <c r="AR171" s="21">
        <f>Swap!AP29</f>
        <v>279163.60722499993</v>
      </c>
      <c r="AS171" s="21">
        <f t="shared" si="74"/>
        <v>3505268.8749916665</v>
      </c>
    </row>
    <row r="172" spans="1:45" hidden="1">
      <c r="A172" s="56" t="s">
        <v>452</v>
      </c>
      <c r="B172" s="57" t="s">
        <v>453</v>
      </c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>
        <f t="shared" si="72"/>
        <v>0</v>
      </c>
      <c r="P172" s="3"/>
      <c r="Q172" s="57" t="s">
        <v>453</v>
      </c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>
        <f t="shared" si="73"/>
        <v>0</v>
      </c>
      <c r="AF172" s="57" t="s">
        <v>453</v>
      </c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>
        <f t="shared" si="74"/>
        <v>0</v>
      </c>
    </row>
    <row r="173" spans="1:45" hidden="1">
      <c r="A173" s="56" t="s">
        <v>454</v>
      </c>
      <c r="B173" s="57" t="s">
        <v>455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>
        <f t="shared" si="72"/>
        <v>0</v>
      </c>
      <c r="P173" s="3"/>
      <c r="Q173" s="57" t="s">
        <v>455</v>
      </c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>
        <f t="shared" si="73"/>
        <v>0</v>
      </c>
      <c r="AF173" s="57" t="s">
        <v>455</v>
      </c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>
        <f t="shared" si="74"/>
        <v>0</v>
      </c>
    </row>
    <row r="174" spans="1:45" hidden="1">
      <c r="A174" s="56" t="s">
        <v>456</v>
      </c>
      <c r="B174" s="57" t="s">
        <v>457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>
        <f t="shared" si="72"/>
        <v>0</v>
      </c>
      <c r="P174" s="3"/>
      <c r="Q174" s="57" t="s">
        <v>457</v>
      </c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>
        <f t="shared" si="73"/>
        <v>0</v>
      </c>
      <c r="AF174" s="57" t="s">
        <v>457</v>
      </c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>
        <f t="shared" si="74"/>
        <v>0</v>
      </c>
    </row>
    <row r="175" spans="1:45" hidden="1">
      <c r="A175" s="56" t="s">
        <v>458</v>
      </c>
      <c r="B175" s="57" t="s">
        <v>459</v>
      </c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>
        <f t="shared" si="72"/>
        <v>0</v>
      </c>
      <c r="P175" s="3"/>
      <c r="Q175" s="57" t="s">
        <v>459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>
        <f t="shared" si="73"/>
        <v>0</v>
      </c>
      <c r="AF175" s="57" t="s">
        <v>459</v>
      </c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>
        <f t="shared" si="74"/>
        <v>0</v>
      </c>
    </row>
    <row r="176" spans="1:45" hidden="1">
      <c r="A176" s="56" t="s">
        <v>460</v>
      </c>
      <c r="B176" s="57" t="s">
        <v>461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>
        <f t="shared" si="72"/>
        <v>0</v>
      </c>
      <c r="P176" s="3"/>
      <c r="Q176" s="57" t="s">
        <v>461</v>
      </c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>
        <f t="shared" si="73"/>
        <v>0</v>
      </c>
      <c r="AF176" s="57" t="s">
        <v>461</v>
      </c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>
        <f t="shared" si="74"/>
        <v>0</v>
      </c>
    </row>
    <row r="177" spans="1:45" ht="15.6" customHeight="1" thickBot="1">
      <c r="A177" s="56"/>
      <c r="B177" s="137" t="s">
        <v>97</v>
      </c>
      <c r="C177" s="19">
        <f>SUM(C166:C176)</f>
        <v>720848.6023276042</v>
      </c>
      <c r="D177" s="19">
        <f t="shared" ref="D177:O177" si="75">SUM(D166:D176)</f>
        <v>705433.95136041672</v>
      </c>
      <c r="E177" s="19">
        <f t="shared" si="75"/>
        <v>720848.6023276042</v>
      </c>
      <c r="F177" s="19">
        <f t="shared" si="75"/>
        <v>707980.02388854162</v>
      </c>
      <c r="G177" s="19">
        <f t="shared" si="75"/>
        <v>713288.66330815968</v>
      </c>
      <c r="H177" s="19">
        <f t="shared" si="75"/>
        <v>700210.49930885411</v>
      </c>
      <c r="I177" s="19">
        <f t="shared" si="75"/>
        <v>705260.15457581589</v>
      </c>
      <c r="J177" s="19">
        <f t="shared" si="75"/>
        <v>705260.15457581589</v>
      </c>
      <c r="K177" s="19">
        <f t="shared" si="75"/>
        <v>700210.49930885411</v>
      </c>
      <c r="L177" s="19">
        <f t="shared" si="75"/>
        <v>697396.14932026039</v>
      </c>
      <c r="M177" s="19">
        <f t="shared" si="75"/>
        <v>692169.21710885421</v>
      </c>
      <c r="N177" s="19">
        <f t="shared" si="75"/>
        <v>689044.90591385402</v>
      </c>
      <c r="O177" s="19">
        <f t="shared" si="75"/>
        <v>8457951.4233246353</v>
      </c>
      <c r="P177" s="3"/>
      <c r="Q177" s="57"/>
      <c r="R177" s="19">
        <f t="shared" ref="R177:AD177" si="76">SUM(R166:R176)</f>
        <v>689044.90591385402</v>
      </c>
      <c r="S177" s="19">
        <f t="shared" si="76"/>
        <v>674172.29412541667</v>
      </c>
      <c r="T177" s="19">
        <f t="shared" si="76"/>
        <v>689044.90591385402</v>
      </c>
      <c r="U177" s="19">
        <f t="shared" si="76"/>
        <v>675722.98780104169</v>
      </c>
      <c r="V177" s="19">
        <f t="shared" si="76"/>
        <v>680864.92499440978</v>
      </c>
      <c r="W177" s="19">
        <f t="shared" si="76"/>
        <v>667316.0828369793</v>
      </c>
      <c r="X177" s="19">
        <f t="shared" si="76"/>
        <v>672177.78986487852</v>
      </c>
      <c r="Y177" s="19">
        <f t="shared" si="76"/>
        <v>672177.78986487852</v>
      </c>
      <c r="Z177" s="19">
        <f t="shared" si="76"/>
        <v>667316.0828369793</v>
      </c>
      <c r="AA177" s="19">
        <f t="shared" si="76"/>
        <v>663669.2214871007</v>
      </c>
      <c r="AB177" s="19">
        <f t="shared" si="76"/>
        <v>658615.70723697916</v>
      </c>
      <c r="AC177" s="19">
        <f t="shared" si="76"/>
        <v>654630.00442913198</v>
      </c>
      <c r="AD177" s="19">
        <f t="shared" si="76"/>
        <v>8064752.6973055042</v>
      </c>
      <c r="AF177" s="57"/>
      <c r="AG177" s="19">
        <f t="shared" ref="AG177:AS177" si="77">SUM(AG166:AG176)</f>
        <v>654630.00442913198</v>
      </c>
      <c r="AH177" s="19">
        <f t="shared" si="77"/>
        <v>640344.22461986111</v>
      </c>
      <c r="AI177" s="19">
        <f t="shared" si="77"/>
        <v>654630.00442913198</v>
      </c>
      <c r="AJ177" s="19">
        <f t="shared" si="77"/>
        <v>640817.74037604174</v>
      </c>
      <c r="AK177" s="19">
        <f t="shared" si="77"/>
        <v>645779.18940968742</v>
      </c>
      <c r="AL177" s="19">
        <f t="shared" si="77"/>
        <v>631721.77553697932</v>
      </c>
      <c r="AM177" s="19">
        <f t="shared" si="77"/>
        <v>636380.02574265632</v>
      </c>
      <c r="AN177" s="19">
        <f t="shared" si="77"/>
        <v>636380.02574265632</v>
      </c>
      <c r="AO177" s="19">
        <f t="shared" si="77"/>
        <v>631721.77553697932</v>
      </c>
      <c r="AP177" s="19">
        <f t="shared" si="77"/>
        <v>627173.64992043399</v>
      </c>
      <c r="AQ177" s="19">
        <f t="shared" si="77"/>
        <v>622307.86193697923</v>
      </c>
      <c r="AR177" s="19">
        <f t="shared" si="77"/>
        <v>617396.41457887145</v>
      </c>
      <c r="AS177" s="19">
        <f t="shared" si="77"/>
        <v>7639282.6922594104</v>
      </c>
    </row>
    <row r="178" spans="1:45" ht="13.5" thickTop="1">
      <c r="A178" s="56"/>
      <c r="B178" s="57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3"/>
      <c r="Q178" s="57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F178" s="57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</row>
    <row r="179" spans="1:45">
      <c r="A179" s="54" t="s">
        <v>462</v>
      </c>
      <c r="B179" s="55" t="s">
        <v>26</v>
      </c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3"/>
      <c r="Q179" s="55" t="s">
        <v>463</v>
      </c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F179" s="55" t="s">
        <v>463</v>
      </c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</row>
    <row r="180" spans="1:45">
      <c r="A180" s="56" t="s">
        <v>464</v>
      </c>
      <c r="B180" s="57" t="s">
        <v>668</v>
      </c>
      <c r="C180" s="21">
        <f>'P&amp;LPLN'!C179/Factors!C11</f>
        <v>-7057.3580289126385</v>
      </c>
      <c r="D180" s="21">
        <f>'P&amp;LPLN'!D179/Factors!D11</f>
        <v>-7387.5547442761781</v>
      </c>
      <c r="E180" s="21">
        <f>'P&amp;LPLN'!E179/Factors!E11</f>
        <v>-8223.200418237464</v>
      </c>
      <c r="F180" s="21">
        <f>'P&amp;LPLN'!F179/Factors!F11</f>
        <v>-5143.3131437921193</v>
      </c>
      <c r="G180" s="21">
        <f>'P&amp;LPLN'!G179/Factors!G11</f>
        <v>-5741.0219162796739</v>
      </c>
      <c r="H180" s="21">
        <f>'P&amp;LPLN'!H179/Factors!H11</f>
        <v>-6217.2839604913479</v>
      </c>
      <c r="I180" s="21">
        <f>'P&amp;LPLN'!I179/Factors!I11</f>
        <v>-4164.5057079163907</v>
      </c>
      <c r="J180" s="21">
        <f>'P&amp;LPLN'!J179/Factors!J11</f>
        <v>-4232.1542992689347</v>
      </c>
      <c r="K180" s="21">
        <f>'P&amp;LPLN'!K179/Factors!K11</f>
        <v>-5203.6505312626114</v>
      </c>
      <c r="L180" s="21">
        <f>'P&amp;LPLN'!L179/Factors!L11</f>
        <v>-2618.868847646836</v>
      </c>
      <c r="M180" s="21">
        <f>'P&amp;LPLN'!M179/Factors!M11</f>
        <v>-3215.308149493887</v>
      </c>
      <c r="N180" s="21">
        <f>'P&amp;LPLN'!N179/Factors!N11</f>
        <v>-4396.2513089096165</v>
      </c>
      <c r="O180" s="21">
        <f>SUM(C180:N180)</f>
        <v>-63600.471056487695</v>
      </c>
      <c r="P180" s="3"/>
      <c r="Q180" s="57" t="s">
        <v>668</v>
      </c>
      <c r="R180" s="21">
        <f>'P&amp;LPLN'!R179/Factors!R11</f>
        <v>-19371.881680952225</v>
      </c>
      <c r="S180" s="21">
        <f>'P&amp;LPLN'!S179/Factors!S11</f>
        <v>-19291.832583097053</v>
      </c>
      <c r="T180" s="21">
        <f>'P&amp;LPLN'!T179/Factors!T11</f>
        <v>-19212.442325553442</v>
      </c>
      <c r="U180" s="21">
        <f>'P&amp;LPLN'!U179/Factors!U11</f>
        <v>-19133.702807825764</v>
      </c>
      <c r="V180" s="21">
        <f>'P&amp;LPLN'!V179/Factors!V11</f>
        <v>-19055.606061671377</v>
      </c>
      <c r="W180" s="21">
        <f>'P&amp;LPLN'!W179/Factors!W11</f>
        <v>-18978.144248412551</v>
      </c>
      <c r="X180" s="21">
        <f>'P&amp;LPLN'!X179/Factors!X11</f>
        <v>-18901.309656313715</v>
      </c>
      <c r="Y180" s="21">
        <f>'P&amp;LPLN'!Y179/Factors!Y11</f>
        <v>-18825.094698022127</v>
      </c>
      <c r="Z180" s="21">
        <f>'P&amp;LPLN'!Z179/Factors!Z11</f>
        <v>-18749.491908070231</v>
      </c>
      <c r="AA180" s="21">
        <f>'P&amp;LPLN'!AA179/Factors!AA11</f>
        <v>-18674.493940437951</v>
      </c>
      <c r="AB180" s="21">
        <f>'P&amp;LPLN'!AB179/Factors!AB11</f>
        <v>-18600.093566173258</v>
      </c>
      <c r="AC180" s="21">
        <f>'P&amp;LPLN'!AC179/Factors!AC11</f>
        <v>-18526.283671069395</v>
      </c>
      <c r="AD180" s="21">
        <f>SUM(R180:AC180)</f>
        <v>-227320.37714759907</v>
      </c>
      <c r="AF180" s="57" t="s">
        <v>668</v>
      </c>
      <c r="AG180" s="21">
        <f>'P&amp;LPLN'!AG179/Factors!AG11</f>
        <v>-18449.411124716411</v>
      </c>
      <c r="AH180" s="21">
        <f>'P&amp;LPLN'!AH179/Factors!AH11</f>
        <v>-18373.173888663863</v>
      </c>
      <c r="AI180" s="21">
        <f>'P&amp;LPLN'!AI179/Factors!AI11</f>
        <v>-18297.564119574712</v>
      </c>
      <c r="AJ180" s="21">
        <f>'P&amp;LPLN'!AJ179/Factors!AJ11</f>
        <v>-18222.574102691207</v>
      </c>
      <c r="AK180" s="21">
        <f>'P&amp;LPLN'!AK179/Factors!AK11</f>
        <v>-18148.196249210836</v>
      </c>
      <c r="AL180" s="21">
        <f>'P&amp;LPLN'!AL179/Factors!AL11</f>
        <v>-18074.42309372624</v>
      </c>
      <c r="AM180" s="21">
        <f>'P&amp;LPLN'!AM179/Factors!AM11</f>
        <v>-18001.247291727348</v>
      </c>
      <c r="AN180" s="21">
        <f>'P&amp;LPLN'!AN179/Factors!AN11</f>
        <v>-17928.661617163933</v>
      </c>
      <c r="AO180" s="21">
        <f>'P&amp;LPLN'!AO179/Factors!AO11</f>
        <v>-17856.658960066885</v>
      </c>
      <c r="AP180" s="21">
        <f>'P&amp;LPLN'!AP179/Factors!AP11</f>
        <v>-17785.232324226617</v>
      </c>
      <c r="AQ180" s="21">
        <f>'P&amp;LPLN'!AQ179/Factors!AQ11</f>
        <v>-17714.374824926912</v>
      </c>
      <c r="AR180" s="21">
        <f>'P&amp;LPLN'!AR179/Factors!AR11</f>
        <v>-17644.079686732755</v>
      </c>
      <c r="AS180" s="21">
        <f>SUM(AG180:AR180)</f>
        <v>-216495.59728342769</v>
      </c>
    </row>
    <row r="181" spans="1:45" hidden="1">
      <c r="A181" s="56" t="s">
        <v>466</v>
      </c>
      <c r="B181" s="57" t="s">
        <v>467</v>
      </c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>
        <f>SUM(C181:N181)</f>
        <v>0</v>
      </c>
      <c r="P181" s="3"/>
      <c r="Q181" s="57" t="s">
        <v>467</v>
      </c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>
        <f>SUM(R181:AC181)</f>
        <v>0</v>
      </c>
      <c r="AF181" s="57" t="s">
        <v>467</v>
      </c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>
        <f>SUM(AG181:AR181)</f>
        <v>0</v>
      </c>
    </row>
    <row r="182" spans="1:45" hidden="1">
      <c r="A182" s="56" t="s">
        <v>468</v>
      </c>
      <c r="B182" s="57" t="s">
        <v>469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>
        <f>SUM(C182:N182)</f>
        <v>0</v>
      </c>
      <c r="P182" s="3"/>
      <c r="Q182" s="57" t="s">
        <v>469</v>
      </c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>
        <f>SUM(R182:AC182)</f>
        <v>0</v>
      </c>
      <c r="AF182" s="57" t="s">
        <v>469</v>
      </c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>
        <f>SUM(AG182:AR182)</f>
        <v>0</v>
      </c>
    </row>
    <row r="183" spans="1:45" hidden="1">
      <c r="A183" s="56" t="s">
        <v>470</v>
      </c>
      <c r="B183" s="57" t="s">
        <v>471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>
        <f>SUM(C183:N183)</f>
        <v>0</v>
      </c>
      <c r="P183" s="3"/>
      <c r="Q183" s="57" t="s">
        <v>471</v>
      </c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>
        <f>SUM(R183:AC183)</f>
        <v>0</v>
      </c>
      <c r="AF183" s="57" t="s">
        <v>471</v>
      </c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>
        <f>SUM(AG183:AR183)</f>
        <v>0</v>
      </c>
    </row>
    <row r="184" spans="1:45" hidden="1">
      <c r="A184" s="56" t="s">
        <v>472</v>
      </c>
      <c r="B184" s="57" t="s">
        <v>461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>
        <f>SUM(C184:N184)</f>
        <v>0</v>
      </c>
      <c r="P184" s="3"/>
      <c r="Q184" s="57" t="s">
        <v>461</v>
      </c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>
        <f>SUM(R184:AC184)</f>
        <v>0</v>
      </c>
      <c r="AF184" s="57" t="s">
        <v>461</v>
      </c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>
        <f>SUM(AG184:AR184)</f>
        <v>0</v>
      </c>
    </row>
    <row r="185" spans="1:45" ht="13.5" thickBot="1">
      <c r="A185" s="56"/>
      <c r="B185" s="137" t="s">
        <v>97</v>
      </c>
      <c r="C185" s="19">
        <f>SUM(C180:C184)</f>
        <v>-7057.3580289126385</v>
      </c>
      <c r="D185" s="19">
        <f t="shared" ref="D185:O185" si="78">SUM(D180:D184)</f>
        <v>-7387.5547442761781</v>
      </c>
      <c r="E185" s="19">
        <f t="shared" si="78"/>
        <v>-8223.200418237464</v>
      </c>
      <c r="F185" s="19">
        <f t="shared" si="78"/>
        <v>-5143.3131437921193</v>
      </c>
      <c r="G185" s="19">
        <f t="shared" si="78"/>
        <v>-5741.0219162796739</v>
      </c>
      <c r="H185" s="19">
        <f t="shared" si="78"/>
        <v>-6217.2839604913479</v>
      </c>
      <c r="I185" s="19">
        <f t="shared" si="78"/>
        <v>-4164.5057079163907</v>
      </c>
      <c r="J185" s="19">
        <f t="shared" si="78"/>
        <v>-4232.1542992689347</v>
      </c>
      <c r="K185" s="19">
        <f t="shared" si="78"/>
        <v>-5203.6505312626114</v>
      </c>
      <c r="L185" s="19">
        <f t="shared" si="78"/>
        <v>-2618.868847646836</v>
      </c>
      <c r="M185" s="19">
        <f t="shared" si="78"/>
        <v>-3215.308149493887</v>
      </c>
      <c r="N185" s="19">
        <f t="shared" si="78"/>
        <v>-4396.2513089096165</v>
      </c>
      <c r="O185" s="19">
        <f t="shared" si="78"/>
        <v>-63600.471056487695</v>
      </c>
      <c r="P185" s="3"/>
      <c r="Q185" s="57"/>
      <c r="R185" s="19">
        <f t="shared" ref="R185:AD185" si="79">SUM(R180:R184)</f>
        <v>-19371.881680952225</v>
      </c>
      <c r="S185" s="19">
        <f t="shared" si="79"/>
        <v>-19291.832583097053</v>
      </c>
      <c r="T185" s="19">
        <f t="shared" si="79"/>
        <v>-19212.442325553442</v>
      </c>
      <c r="U185" s="19">
        <f t="shared" si="79"/>
        <v>-19133.702807825764</v>
      </c>
      <c r="V185" s="19">
        <f t="shared" si="79"/>
        <v>-19055.606061671377</v>
      </c>
      <c r="W185" s="19">
        <f t="shared" si="79"/>
        <v>-18978.144248412551</v>
      </c>
      <c r="X185" s="19">
        <f t="shared" si="79"/>
        <v>-18901.309656313715</v>
      </c>
      <c r="Y185" s="19">
        <f t="shared" si="79"/>
        <v>-18825.094698022127</v>
      </c>
      <c r="Z185" s="19">
        <f t="shared" si="79"/>
        <v>-18749.491908070231</v>
      </c>
      <c r="AA185" s="19">
        <f t="shared" si="79"/>
        <v>-18674.493940437951</v>
      </c>
      <c r="AB185" s="19">
        <f t="shared" si="79"/>
        <v>-18600.093566173258</v>
      </c>
      <c r="AC185" s="19">
        <f t="shared" si="79"/>
        <v>-18526.283671069395</v>
      </c>
      <c r="AD185" s="19">
        <f t="shared" si="79"/>
        <v>-227320.37714759907</v>
      </c>
      <c r="AF185" s="57"/>
      <c r="AG185" s="19">
        <f t="shared" ref="AG185:AS185" si="80">SUM(AG180:AG184)</f>
        <v>-18449.411124716411</v>
      </c>
      <c r="AH185" s="19">
        <f t="shared" si="80"/>
        <v>-18373.173888663863</v>
      </c>
      <c r="AI185" s="19">
        <f t="shared" si="80"/>
        <v>-18297.564119574712</v>
      </c>
      <c r="AJ185" s="19">
        <f t="shared" si="80"/>
        <v>-18222.574102691207</v>
      </c>
      <c r="AK185" s="19">
        <f t="shared" si="80"/>
        <v>-18148.196249210836</v>
      </c>
      <c r="AL185" s="19">
        <f t="shared" si="80"/>
        <v>-18074.42309372624</v>
      </c>
      <c r="AM185" s="19">
        <f t="shared" si="80"/>
        <v>-18001.247291727348</v>
      </c>
      <c r="AN185" s="19">
        <f t="shared" si="80"/>
        <v>-17928.661617163933</v>
      </c>
      <c r="AO185" s="19">
        <f t="shared" si="80"/>
        <v>-17856.658960066885</v>
      </c>
      <c r="AP185" s="19">
        <f t="shared" si="80"/>
        <v>-17785.232324226617</v>
      </c>
      <c r="AQ185" s="19">
        <f t="shared" si="80"/>
        <v>-17714.374824926912</v>
      </c>
      <c r="AR185" s="19">
        <f t="shared" si="80"/>
        <v>-17644.079686732755</v>
      </c>
      <c r="AS185" s="19">
        <f t="shared" si="80"/>
        <v>-216495.59728342769</v>
      </c>
    </row>
    <row r="186" spans="1:45" ht="13.5" thickTop="1">
      <c r="A186" s="56"/>
      <c r="B186" s="57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3"/>
      <c r="Q186" s="57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F186" s="57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</row>
    <row r="187" spans="1:45">
      <c r="A187" s="54" t="s">
        <v>473</v>
      </c>
      <c r="B187" s="55" t="s">
        <v>27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3"/>
      <c r="Q187" s="55" t="s">
        <v>675</v>
      </c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F187" s="55" t="s">
        <v>675</v>
      </c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</row>
    <row r="188" spans="1:45" hidden="1">
      <c r="A188" s="56" t="s">
        <v>475</v>
      </c>
      <c r="B188" s="57" t="s">
        <v>669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>
        <f t="shared" ref="O188:O193" si="81">SUM(C188:N188)</f>
        <v>0</v>
      </c>
      <c r="P188" s="3"/>
      <c r="Q188" s="57" t="s">
        <v>669</v>
      </c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>
        <f t="shared" ref="AD188:AD193" si="82">SUM(R188:AC188)</f>
        <v>0</v>
      </c>
      <c r="AF188" s="57" t="s">
        <v>669</v>
      </c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>
        <f t="shared" ref="AS188:AS193" si="83">SUM(AG188:AR188)</f>
        <v>0</v>
      </c>
    </row>
    <row r="189" spans="1:45">
      <c r="A189" s="56" t="s">
        <v>477</v>
      </c>
      <c r="B189" s="57" t="s">
        <v>670</v>
      </c>
      <c r="C189" s="21">
        <f>'P&amp;LPLN'!C188/Factors!C11</f>
        <v>604.17114740903207</v>
      </c>
      <c r="D189" s="21">
        <f>'P&amp;LPLN'!D188/Factors!D11</f>
        <v>603.32766954069075</v>
      </c>
      <c r="E189" s="21">
        <f>'P&amp;LPLN'!E188/Factors!E11</f>
        <v>602.48654353256779</v>
      </c>
      <c r="F189" s="21">
        <f>'P&amp;LPLN'!F188/Factors!F11</f>
        <v>601.64775956185815</v>
      </c>
      <c r="G189" s="21">
        <f>'P&amp;LPLN'!G188/Factors!G11</f>
        <v>600.81130786038182</v>
      </c>
      <c r="H189" s="21">
        <f>'P&amp;LPLN'!H188/Factors!H11</f>
        <v>599.97717871420514</v>
      </c>
      <c r="I189" s="21">
        <f>'P&amp;LPLN'!I188/Factors!I11</f>
        <v>599.14536246326441</v>
      </c>
      <c r="J189" s="21">
        <f>'P&amp;LPLN'!J188/Factors!J11</f>
        <v>598.31584950099329</v>
      </c>
      <c r="K189" s="21">
        <f>'P&amp;LPLN'!K188/Factors!K11</f>
        <v>597.48863027395259</v>
      </c>
      <c r="L189" s="21">
        <f>'P&amp;LPLN'!L188/Factors!L11</f>
        <v>596.66369528146379</v>
      </c>
      <c r="M189" s="21">
        <f>'P&amp;LPLN'!M188/Factors!M11</f>
        <v>595.84103507524549</v>
      </c>
      <c r="N189" s="21">
        <f>'P&amp;LPLN'!N188/Factors!N11</f>
        <v>595.02064025905213</v>
      </c>
      <c r="O189" s="21">
        <f t="shared" si="81"/>
        <v>7194.8968194727058</v>
      </c>
      <c r="P189" s="3"/>
      <c r="Q189" s="57" t="s">
        <v>670</v>
      </c>
      <c r="R189" s="21">
        <f>'P&amp;LPLN'!R188/Factors!R11</f>
        <v>592.55167494677391</v>
      </c>
      <c r="S189" s="21">
        <f>'P&amp;LPLN'!S188/Factors!S11</f>
        <v>590.10311430649801</v>
      </c>
      <c r="T189" s="21">
        <f>'P&amp;LPLN'!T188/Factors!T11</f>
        <v>587.67470642869353</v>
      </c>
      <c r="U189" s="21">
        <f>'P&amp;LPLN'!U188/Factors!U11</f>
        <v>585.26620353349404</v>
      </c>
      <c r="V189" s="21">
        <f>'P&amp;LPLN'!V188/Factors!V11</f>
        <v>582.8773618864185</v>
      </c>
      <c r="W189" s="21">
        <f>'P&amp;LPLN'!W188/Factors!W11</f>
        <v>580.50794171614859</v>
      </c>
      <c r="X189" s="21">
        <f>'P&amp;LPLN'!X188/Factors!X11</f>
        <v>578.15770713430186</v>
      </c>
      <c r="Y189" s="21">
        <f>'P&amp;LPLN'!Y188/Factors!Y11</f>
        <v>575.82642605714739</v>
      </c>
      <c r="Z189" s="21">
        <f>'P&amp;LPLN'!Z188/Factors!Z11</f>
        <v>573.51387012920702</v>
      </c>
      <c r="AA189" s="21">
        <f>'P&amp;LPLN'!AA188/Factors!AA11</f>
        <v>571.2198146486902</v>
      </c>
      <c r="AB189" s="21">
        <f>'P&amp;LPLN'!AB188/Factors!AB11</f>
        <v>568.94403849471144</v>
      </c>
      <c r="AC189" s="21">
        <f>'P&amp;LPLN'!AC188/Factors!AC11</f>
        <v>566.68632405624032</v>
      </c>
      <c r="AD189" s="21">
        <f t="shared" si="82"/>
        <v>6953.3291833383255</v>
      </c>
      <c r="AF189" s="57" t="s">
        <v>670</v>
      </c>
      <c r="AG189" s="21">
        <f>'P&amp;LPLN'!AG188/Factors!AG11</f>
        <v>564.33492852073732</v>
      </c>
      <c r="AH189" s="21">
        <f>'P&amp;LPLN'!AH188/Factors!AH11</f>
        <v>562.00296600618879</v>
      </c>
      <c r="AI189" s="21">
        <f>'P&amp;LPLN'!AI188/Factors!AI11</f>
        <v>559.69019659875585</v>
      </c>
      <c r="AJ189" s="21">
        <f>'P&amp;LPLN'!AJ188/Factors!AJ11</f>
        <v>557.39638431761341</v>
      </c>
      <c r="AK189" s="21">
        <f>'P&amp;LPLN'!AK188/Factors!AK11</f>
        <v>555.1212970346844</v>
      </c>
      <c r="AL189" s="21">
        <f>'P&amp;LPLN'!AL188/Factors!AL11</f>
        <v>552.86470639633205</v>
      </c>
      <c r="AM189" s="21">
        <f>'P&amp;LPLN'!AM188/Factors!AM11</f>
        <v>550.62638774695415</v>
      </c>
      <c r="AN189" s="21">
        <f>'P&amp;LPLN'!AN188/Factors!AN11</f>
        <v>548.40612005442608</v>
      </c>
      <c r="AO189" s="21">
        <f>'P&amp;LPLN'!AO188/Factors!AO11</f>
        <v>546.20368583734012</v>
      </c>
      <c r="AP189" s="21">
        <f>'P&amp;LPLN'!AP188/Factors!AP11</f>
        <v>544.0188710939907</v>
      </c>
      <c r="AQ189" s="21">
        <f>'P&amp;LPLN'!AQ188/Factors!AQ11</f>
        <v>541.85146523305843</v>
      </c>
      <c r="AR189" s="21">
        <f>'P&amp;LPLN'!AR188/Factors!AR11</f>
        <v>539.70126100594314</v>
      </c>
      <c r="AS189" s="21">
        <f t="shared" si="83"/>
        <v>6622.2182698460256</v>
      </c>
    </row>
    <row r="190" spans="1:45">
      <c r="A190" s="56" t="s">
        <v>479</v>
      </c>
      <c r="B190" s="57" t="s">
        <v>671</v>
      </c>
      <c r="C190" s="21">
        <f>'P&amp;LPLN'!C189/Factors!C11</f>
        <v>1045.6808320540938</v>
      </c>
      <c r="D190" s="21">
        <f>'P&amp;LPLN'!D189/Factors!D11</f>
        <v>1044.2209665127339</v>
      </c>
      <c r="E190" s="21">
        <f>'P&amp;LPLN'!E189/Factors!E11</f>
        <v>1042.765171498675</v>
      </c>
      <c r="F190" s="21">
        <f>'P&amp;LPLN'!F189/Factors!F11</f>
        <v>1041.3134300109084</v>
      </c>
      <c r="G190" s="21">
        <f>'P&amp;LPLN'!G189/Factors!G11</f>
        <v>1039.8657251429686</v>
      </c>
      <c r="H190" s="21">
        <f>'P&amp;LPLN'!H189/Factors!H11</f>
        <v>1038.422040082278</v>
      </c>
      <c r="I190" s="21">
        <f>'P&amp;LPLN'!I189/Factors!I11</f>
        <v>1036.9823581094961</v>
      </c>
      <c r="J190" s="21">
        <f>'P&amp;LPLN'!J189/Factors!J11</f>
        <v>1035.5466625978729</v>
      </c>
      <c r="K190" s="21">
        <f>'P&amp;LPLN'!K189/Factors!K11</f>
        <v>1034.1149370126102</v>
      </c>
      <c r="L190" s="21">
        <f>'P&amp;LPLN'!L189/Factors!L11</f>
        <v>1032.6871649102259</v>
      </c>
      <c r="M190" s="21">
        <f>'P&amp;LPLN'!M189/Factors!M11</f>
        <v>1031.2633299379249</v>
      </c>
      <c r="N190" s="21">
        <f>'P&amp;LPLN'!N189/Factors!N11</f>
        <v>1029.8434158329749</v>
      </c>
      <c r="O190" s="21">
        <f t="shared" si="81"/>
        <v>12452.706033702761</v>
      </c>
      <c r="P190" s="3"/>
      <c r="Q190" s="57" t="s">
        <v>671</v>
      </c>
      <c r="R190" s="21">
        <f>'P&amp;LPLN'!R189/Factors!R11</f>
        <v>1025.5702066386473</v>
      </c>
      <c r="S190" s="21">
        <f>'P&amp;LPLN'!S189/Factors!S11</f>
        <v>1021.3323132227852</v>
      </c>
      <c r="T190" s="21">
        <f>'P&amp;LPLN'!T189/Factors!T11</f>
        <v>1017.1292995881234</v>
      </c>
      <c r="U190" s="21">
        <f>'P&amp;LPLN'!U189/Factors!U11</f>
        <v>1012.9607368848934</v>
      </c>
      <c r="V190" s="21">
        <f>'P&amp;LPLN'!V189/Factors!V11</f>
        <v>1008.8262032649552</v>
      </c>
      <c r="W190" s="21">
        <f>'P&amp;LPLN'!W189/Factors!W11</f>
        <v>1004.7252837394878</v>
      </c>
      <c r="X190" s="21">
        <f>'P&amp;LPLN'!X189/Factors!X11</f>
        <v>1000.6575700401378</v>
      </c>
      <c r="Y190" s="21">
        <f>'P&amp;LPLN'!Y189/Factors!Y11</f>
        <v>996.62266048352433</v>
      </c>
      <c r="Z190" s="21">
        <f>'P&amp;LPLN'!Z189/Factors!Z11</f>
        <v>992.62015983901222</v>
      </c>
      <c r="AA190" s="21">
        <f>'P&amp;LPLN'!AA189/Factors!AA11</f>
        <v>988.64967919965625</v>
      </c>
      <c r="AB190" s="21">
        <f>'P&amp;LPLN'!AB189/Factors!AB11</f>
        <v>984.71083585623137</v>
      </c>
      <c r="AC190" s="21">
        <f>'P&amp;LPLN'!AC189/Factors!AC11</f>
        <v>980.80325317426218</v>
      </c>
      <c r="AD190" s="21">
        <f t="shared" si="82"/>
        <v>12034.608201931716</v>
      </c>
      <c r="AF190" s="57" t="s">
        <v>671</v>
      </c>
      <c r="AG190" s="21">
        <f>'P&amp;LPLN'!AG189/Factors!AG11</f>
        <v>976.7335301320453</v>
      </c>
      <c r="AH190" s="21">
        <f>'P&amp;LPLN'!AH189/Factors!AH11</f>
        <v>972.69744116455752</v>
      </c>
      <c r="AI190" s="21">
        <f>'P&amp;LPLN'!AI189/Factors!AI11</f>
        <v>968.69457103630828</v>
      </c>
      <c r="AJ190" s="21">
        <f>'P&amp;LPLN'!AJ189/Factors!AJ11</f>
        <v>964.72451131894638</v>
      </c>
      <c r="AK190" s="21">
        <f>'P&amp;LPLN'!AK189/Factors!AK11</f>
        <v>960.78686025233844</v>
      </c>
      <c r="AL190" s="21">
        <f>'P&amp;LPLN'!AL189/Factors!AL11</f>
        <v>956.88122260903617</v>
      </c>
      <c r="AM190" s="21">
        <f>'P&amp;LPLN'!AM189/Factors!AM11</f>
        <v>953.007209562036</v>
      </c>
      <c r="AN190" s="21">
        <f>'P&amp;LPLN'!AN189/Factors!AN11</f>
        <v>949.16443855573755</v>
      </c>
      <c r="AO190" s="21">
        <f>'P&amp;LPLN'!AO189/Factors!AO11</f>
        <v>945.35253318001162</v>
      </c>
      <c r="AP190" s="21">
        <f>'P&amp;LPLN'!AP189/Factors!AP11</f>
        <v>941.57112304729162</v>
      </c>
      <c r="AQ190" s="21">
        <f>'P&amp;LPLN'!AQ189/Factors!AQ11</f>
        <v>937.81984367260122</v>
      </c>
      <c r="AR190" s="21">
        <f>'P&amp;LPLN'!AR189/Factors!AR11</f>
        <v>934.09833635644009</v>
      </c>
      <c r="AS190" s="21">
        <f t="shared" si="83"/>
        <v>11461.531620887352</v>
      </c>
    </row>
    <row r="191" spans="1:45" hidden="1">
      <c r="A191" s="56" t="s">
        <v>481</v>
      </c>
      <c r="B191" s="57" t="s">
        <v>672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>
        <f t="shared" si="81"/>
        <v>0</v>
      </c>
      <c r="P191" s="3"/>
      <c r="Q191" s="57" t="s">
        <v>672</v>
      </c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>
        <f t="shared" si="82"/>
        <v>0</v>
      </c>
      <c r="AF191" s="57" t="s">
        <v>672</v>
      </c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>
        <f t="shared" si="83"/>
        <v>0</v>
      </c>
    </row>
    <row r="192" spans="1:45" hidden="1">
      <c r="A192" s="56" t="s">
        <v>483</v>
      </c>
      <c r="B192" s="57" t="s">
        <v>673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>
        <f t="shared" si="81"/>
        <v>0</v>
      </c>
      <c r="P192" s="3"/>
      <c r="Q192" s="57" t="s">
        <v>673</v>
      </c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>
        <f t="shared" si="82"/>
        <v>0</v>
      </c>
      <c r="AF192" s="57" t="s">
        <v>673</v>
      </c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>
        <f t="shared" si="83"/>
        <v>0</v>
      </c>
    </row>
    <row r="193" spans="1:45" hidden="1">
      <c r="A193" s="56" t="s">
        <v>485</v>
      </c>
      <c r="B193" s="57" t="s">
        <v>674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>
        <f t="shared" si="81"/>
        <v>0</v>
      </c>
      <c r="P193" s="3"/>
      <c r="Q193" s="57" t="s">
        <v>674</v>
      </c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>
        <f t="shared" si="82"/>
        <v>0</v>
      </c>
      <c r="AF193" s="57" t="s">
        <v>674</v>
      </c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>
        <f t="shared" si="83"/>
        <v>0</v>
      </c>
    </row>
    <row r="194" spans="1:45" ht="13.5" thickBot="1">
      <c r="A194" s="56"/>
      <c r="B194" s="137" t="s">
        <v>97</v>
      </c>
      <c r="C194" s="19">
        <f>SUM(C188:C193)</f>
        <v>1649.8519794631259</v>
      </c>
      <c r="D194" s="19">
        <f t="shared" ref="D194:O194" si="84">SUM(D188:D193)</f>
        <v>1647.5486360534246</v>
      </c>
      <c r="E194" s="19">
        <f t="shared" si="84"/>
        <v>1645.2517150312428</v>
      </c>
      <c r="F194" s="19">
        <f t="shared" si="84"/>
        <v>1642.9611895727667</v>
      </c>
      <c r="G194" s="19">
        <f t="shared" si="84"/>
        <v>1640.6770330033505</v>
      </c>
      <c r="H194" s="19">
        <f t="shared" si="84"/>
        <v>1638.3992187964832</v>
      </c>
      <c r="I194" s="19">
        <f t="shared" si="84"/>
        <v>1636.1277205727606</v>
      </c>
      <c r="J194" s="19">
        <f t="shared" si="84"/>
        <v>1633.8625120988663</v>
      </c>
      <c r="K194" s="19">
        <f t="shared" si="84"/>
        <v>1631.6035672865628</v>
      </c>
      <c r="L194" s="19">
        <f t="shared" si="84"/>
        <v>1629.3508601916897</v>
      </c>
      <c r="M194" s="19">
        <f t="shared" si="84"/>
        <v>1627.1043650131705</v>
      </c>
      <c r="N194" s="19">
        <f t="shared" si="84"/>
        <v>1624.8640560920271</v>
      </c>
      <c r="O194" s="19">
        <f t="shared" si="84"/>
        <v>19647.602853175467</v>
      </c>
      <c r="P194" s="3"/>
      <c r="Q194" s="57"/>
      <c r="R194" s="19">
        <f t="shared" ref="R194:AD194" si="85">SUM(R188:R193)</f>
        <v>1618.1218815854213</v>
      </c>
      <c r="S194" s="19">
        <f t="shared" si="85"/>
        <v>1611.4354275292831</v>
      </c>
      <c r="T194" s="19">
        <f t="shared" si="85"/>
        <v>1604.8040060168169</v>
      </c>
      <c r="U194" s="19">
        <f t="shared" si="85"/>
        <v>1598.2269404183876</v>
      </c>
      <c r="V194" s="19">
        <f t="shared" si="85"/>
        <v>1591.7035651513738</v>
      </c>
      <c r="W194" s="19">
        <f t="shared" si="85"/>
        <v>1585.2332254556363</v>
      </c>
      <c r="X194" s="19">
        <f t="shared" si="85"/>
        <v>1578.8152771744396</v>
      </c>
      <c r="Y194" s="19">
        <f t="shared" si="85"/>
        <v>1572.4490865406717</v>
      </c>
      <c r="Z194" s="19">
        <f t="shared" si="85"/>
        <v>1566.1340299682192</v>
      </c>
      <c r="AA194" s="19">
        <f t="shared" si="85"/>
        <v>1559.8694938483463</v>
      </c>
      <c r="AB194" s="19">
        <f t="shared" si="85"/>
        <v>1553.6548743509429</v>
      </c>
      <c r="AC194" s="19">
        <f t="shared" si="85"/>
        <v>1547.4895772305026</v>
      </c>
      <c r="AD194" s="19">
        <f t="shared" si="85"/>
        <v>18987.937385270041</v>
      </c>
      <c r="AF194" s="57"/>
      <c r="AG194" s="19">
        <f t="shared" ref="AG194:AS194" si="86">SUM(AG188:AG193)</f>
        <v>1541.0684586527827</v>
      </c>
      <c r="AH194" s="19">
        <f t="shared" si="86"/>
        <v>1534.7004071707463</v>
      </c>
      <c r="AI194" s="19">
        <f t="shared" si="86"/>
        <v>1528.3847676350642</v>
      </c>
      <c r="AJ194" s="19">
        <f t="shared" si="86"/>
        <v>1522.1208956365599</v>
      </c>
      <c r="AK194" s="19">
        <f t="shared" si="86"/>
        <v>1515.9081572870227</v>
      </c>
      <c r="AL194" s="19">
        <f t="shared" si="86"/>
        <v>1509.7459290053682</v>
      </c>
      <c r="AM194" s="19">
        <f t="shared" si="86"/>
        <v>1503.6335973089901</v>
      </c>
      <c r="AN194" s="19">
        <f t="shared" si="86"/>
        <v>1497.5705586101635</v>
      </c>
      <c r="AO194" s="19">
        <f t="shared" si="86"/>
        <v>1491.5562190173519</v>
      </c>
      <c r="AP194" s="19">
        <f t="shared" si="86"/>
        <v>1485.5899941412822</v>
      </c>
      <c r="AQ194" s="19">
        <f t="shared" si="86"/>
        <v>1479.6713089056598</v>
      </c>
      <c r="AR194" s="19">
        <f t="shared" si="86"/>
        <v>1473.7995973623833</v>
      </c>
      <c r="AS194" s="19">
        <f t="shared" si="86"/>
        <v>18083.749890733379</v>
      </c>
    </row>
    <row r="195" spans="1:45" ht="14.25" customHeight="1" thickTop="1">
      <c r="A195" s="56"/>
      <c r="B195" s="57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3"/>
      <c r="Q195" s="57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F195" s="57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</row>
    <row r="196" spans="1:45">
      <c r="A196" s="54"/>
      <c r="B196" s="55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3"/>
      <c r="Q196" s="55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F196" s="55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</row>
    <row r="197" spans="1:45">
      <c r="P197" s="3"/>
    </row>
    <row r="198" spans="1:45" ht="13.5" thickBot="1">
      <c r="B198" s="201" t="s">
        <v>30</v>
      </c>
      <c r="C198" s="10">
        <f>C177+C185+C194</f>
        <v>715441.09627815464</v>
      </c>
      <c r="D198" s="10">
        <f t="shared" ref="D198:O198" si="87">D177+D185+D194</f>
        <v>699693.94525219395</v>
      </c>
      <c r="E198" s="10">
        <f t="shared" si="87"/>
        <v>714270.65362439794</v>
      </c>
      <c r="F198" s="10">
        <f t="shared" si="87"/>
        <v>704479.67193432234</v>
      </c>
      <c r="G198" s="10">
        <f t="shared" si="87"/>
        <v>709188.3184248833</v>
      </c>
      <c r="H198" s="10">
        <f t="shared" si="87"/>
        <v>695631.61456715933</v>
      </c>
      <c r="I198" s="10">
        <f t="shared" si="87"/>
        <v>702731.7765884723</v>
      </c>
      <c r="J198" s="10">
        <f t="shared" si="87"/>
        <v>702661.86278864578</v>
      </c>
      <c r="K198" s="10">
        <f t="shared" si="87"/>
        <v>696638.45234487799</v>
      </c>
      <c r="L198" s="10">
        <f t="shared" si="87"/>
        <v>696406.63133280526</v>
      </c>
      <c r="M198" s="10">
        <f t="shared" si="87"/>
        <v>690581.01332437352</v>
      </c>
      <c r="N198" s="10">
        <f t="shared" si="87"/>
        <v>686273.51866103639</v>
      </c>
      <c r="O198" s="10">
        <f t="shared" si="87"/>
        <v>8413998.5551213231</v>
      </c>
      <c r="P198" s="3"/>
      <c r="Q198" s="40" t="s">
        <v>517</v>
      </c>
      <c r="R198" s="3" t="e">
        <f>R177+R185+R194+#REF!+#REF!</f>
        <v>#REF!</v>
      </c>
      <c r="S198" s="3" t="e">
        <f>S177+S185+S194+#REF!+#REF!</f>
        <v>#REF!</v>
      </c>
      <c r="T198" s="3" t="e">
        <f>T177+T185+T194+#REF!+#REF!</f>
        <v>#REF!</v>
      </c>
      <c r="U198" s="3" t="e">
        <f>U177+U185+U194+#REF!+#REF!</f>
        <v>#REF!</v>
      </c>
      <c r="V198" s="3" t="e">
        <f>V177+V185+V194+#REF!+#REF!</f>
        <v>#REF!</v>
      </c>
      <c r="W198" s="3" t="e">
        <f>W177+W185+W194+#REF!+#REF!</f>
        <v>#REF!</v>
      </c>
      <c r="X198" s="3" t="e">
        <f>X177+X185+X194+#REF!+#REF!</f>
        <v>#REF!</v>
      </c>
      <c r="Y198" s="3" t="e">
        <f>Y177+Y185+Y194+#REF!+#REF!</f>
        <v>#REF!</v>
      </c>
      <c r="Z198" s="3" t="e">
        <f>Z177+Z185+Z194+#REF!+#REF!</f>
        <v>#REF!</v>
      </c>
      <c r="AA198" s="3" t="e">
        <f>AA177+AA185+AA194+#REF!+#REF!</f>
        <v>#REF!</v>
      </c>
      <c r="AB198" s="3" t="e">
        <f>AB177+AB185+AB194+#REF!+#REF!</f>
        <v>#REF!</v>
      </c>
      <c r="AC198" s="3" t="e">
        <f>AC177+AC185+AC194+#REF!+#REF!</f>
        <v>#REF!</v>
      </c>
      <c r="AD198" s="3" t="e">
        <f>AD177+AD185+AD194+#REF!+#REF!</f>
        <v>#REF!</v>
      </c>
      <c r="AF198" s="40" t="s">
        <v>517</v>
      </c>
      <c r="AG198" s="3" t="e">
        <f>AG177+AG185+AG194+#REF!+#REF!</f>
        <v>#REF!</v>
      </c>
      <c r="AH198" s="3" t="e">
        <f>AH177+AH185+AH194+#REF!+#REF!</f>
        <v>#REF!</v>
      </c>
      <c r="AI198" s="3" t="e">
        <f>AI177+AI185+AI194+#REF!+#REF!</f>
        <v>#REF!</v>
      </c>
      <c r="AJ198" s="3" t="e">
        <f>AJ177+AJ185+AJ194+#REF!+#REF!</f>
        <v>#REF!</v>
      </c>
      <c r="AK198" s="3" t="e">
        <f>AK177+AK185+AK194+#REF!+#REF!</f>
        <v>#REF!</v>
      </c>
      <c r="AL198" s="3" t="e">
        <f>AL177+AL185+AL194+#REF!+#REF!</f>
        <v>#REF!</v>
      </c>
      <c r="AM198" s="3" t="e">
        <f>AM177+AM185+AM194+#REF!+#REF!</f>
        <v>#REF!</v>
      </c>
      <c r="AN198" s="3" t="e">
        <f>AN177+AN185+AN194+#REF!+#REF!</f>
        <v>#REF!</v>
      </c>
      <c r="AO198" s="3" t="e">
        <f>AO177+AO185+AO194+#REF!+#REF!</f>
        <v>#REF!</v>
      </c>
      <c r="AP198" s="3" t="e">
        <f>AP177+AP185+AP194+#REF!+#REF!</f>
        <v>#REF!</v>
      </c>
      <c r="AQ198" s="3" t="e">
        <f>AQ177+AQ185+AQ194+#REF!+#REF!</f>
        <v>#REF!</v>
      </c>
      <c r="AR198" s="3" t="e">
        <f>AR177+AR185+AR194+#REF!+#REF!</f>
        <v>#REF!</v>
      </c>
      <c r="AS198" s="3" t="e">
        <f>AS177+AS185+AS194+#REF!+#REF!</f>
        <v>#REF!</v>
      </c>
    </row>
    <row r="199" spans="1:45" ht="13.5" thickTop="1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45.6" customHeight="1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s="2" customFormat="1" ht="16.5" thickBot="1">
      <c r="B201" s="313" t="s">
        <v>31</v>
      </c>
      <c r="C201" s="207">
        <f t="shared" ref="C201:O201" si="88">C161-C198</f>
        <v>-670540.72036200284</v>
      </c>
      <c r="D201" s="207">
        <f t="shared" si="88"/>
        <v>-547370.92790162039</v>
      </c>
      <c r="E201" s="207">
        <f t="shared" si="88"/>
        <v>-647577.53625623859</v>
      </c>
      <c r="F201" s="207">
        <f t="shared" si="88"/>
        <v>-639932.86047465994</v>
      </c>
      <c r="G201" s="207">
        <f t="shared" si="88"/>
        <v>-829380.98448210163</v>
      </c>
      <c r="H201" s="207">
        <f t="shared" si="88"/>
        <v>-770677.76210676983</v>
      </c>
      <c r="I201" s="207">
        <f t="shared" si="88"/>
        <v>-206393.49971592915</v>
      </c>
      <c r="J201" s="207">
        <f t="shared" si="88"/>
        <v>-205309.59556839499</v>
      </c>
      <c r="K201" s="207">
        <f t="shared" si="88"/>
        <v>-183323.04919784877</v>
      </c>
      <c r="L201" s="207">
        <f t="shared" si="88"/>
        <v>-122299.81033875176</v>
      </c>
      <c r="M201" s="207">
        <f t="shared" si="88"/>
        <v>-49670.916581047815</v>
      </c>
      <c r="N201" s="207">
        <f t="shared" si="88"/>
        <v>-16678.101205986226</v>
      </c>
      <c r="O201" s="207">
        <f t="shared" si="88"/>
        <v>-4889155.7641913518</v>
      </c>
      <c r="Q201" s="2" t="s">
        <v>518</v>
      </c>
      <c r="R201" s="7" t="e">
        <f t="shared" ref="R201:AD201" si="89">R161-R198</f>
        <v>#REF!</v>
      </c>
      <c r="S201" s="7" t="e">
        <f t="shared" si="89"/>
        <v>#REF!</v>
      </c>
      <c r="T201" s="7" t="e">
        <f t="shared" si="89"/>
        <v>#REF!</v>
      </c>
      <c r="U201" s="7" t="e">
        <f t="shared" si="89"/>
        <v>#REF!</v>
      </c>
      <c r="V201" s="7" t="e">
        <f t="shared" si="89"/>
        <v>#REF!</v>
      </c>
      <c r="W201" s="7" t="e">
        <f t="shared" si="89"/>
        <v>#REF!</v>
      </c>
      <c r="X201" s="7" t="e">
        <f t="shared" si="89"/>
        <v>#REF!</v>
      </c>
      <c r="Y201" s="7" t="e">
        <f t="shared" si="89"/>
        <v>#REF!</v>
      </c>
      <c r="Z201" s="7" t="e">
        <f t="shared" si="89"/>
        <v>#REF!</v>
      </c>
      <c r="AA201" s="7" t="e">
        <f t="shared" si="89"/>
        <v>#REF!</v>
      </c>
      <c r="AB201" s="7" t="e">
        <f t="shared" si="89"/>
        <v>#REF!</v>
      </c>
      <c r="AC201" s="7" t="e">
        <f t="shared" si="89"/>
        <v>#REF!</v>
      </c>
      <c r="AD201" s="7" t="e">
        <f t="shared" si="89"/>
        <v>#REF!</v>
      </c>
      <c r="AF201" s="2" t="s">
        <v>518</v>
      </c>
      <c r="AG201" s="7" t="e">
        <f t="shared" ref="AG201:AS201" si="90">AG161-AG198</f>
        <v>#REF!</v>
      </c>
      <c r="AH201" s="7" t="e">
        <f t="shared" si="90"/>
        <v>#REF!</v>
      </c>
      <c r="AI201" s="7" t="e">
        <f t="shared" si="90"/>
        <v>#REF!</v>
      </c>
      <c r="AJ201" s="7" t="e">
        <f t="shared" si="90"/>
        <v>#REF!</v>
      </c>
      <c r="AK201" s="7" t="e">
        <f t="shared" si="90"/>
        <v>#REF!</v>
      </c>
      <c r="AL201" s="7" t="e">
        <f t="shared" si="90"/>
        <v>#REF!</v>
      </c>
      <c r="AM201" s="7" t="e">
        <f t="shared" si="90"/>
        <v>#REF!</v>
      </c>
      <c r="AN201" s="7" t="e">
        <f t="shared" si="90"/>
        <v>#REF!</v>
      </c>
      <c r="AO201" s="7" t="e">
        <f t="shared" si="90"/>
        <v>#REF!</v>
      </c>
      <c r="AP201" s="7" t="e">
        <f t="shared" si="90"/>
        <v>#REF!</v>
      </c>
      <c r="AQ201" s="7" t="e">
        <f t="shared" si="90"/>
        <v>#REF!</v>
      </c>
      <c r="AR201" s="7" t="e">
        <f t="shared" si="90"/>
        <v>#REF!</v>
      </c>
      <c r="AS201" s="7" t="e">
        <f t="shared" si="90"/>
        <v>#REF!</v>
      </c>
    </row>
    <row r="202" spans="1:45" hidden="1">
      <c r="B202" s="107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0"/>
    </row>
    <row r="203" spans="1:45" ht="13.5" thickTop="1">
      <c r="B203" s="43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0"/>
    </row>
    <row r="204" spans="1:45" hidden="1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0"/>
    </row>
    <row r="205" spans="1:45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45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45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45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2:16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2:16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2:16" hidden="1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0"/>
    </row>
    <row r="212" spans="2:16" hidden="1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0"/>
    </row>
    <row r="213" spans="2:16">
      <c r="B213" s="315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2:16" hidden="1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0"/>
    </row>
    <row r="215" spans="2:16" hidden="1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0"/>
    </row>
    <row r="216" spans="2:16">
      <c r="B216" s="315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2:16" hidden="1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0"/>
    </row>
    <row r="218" spans="2:16"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2:16" hidden="1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0"/>
    </row>
    <row r="220" spans="2:16" hidden="1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0"/>
    </row>
    <row r="221" spans="2:16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3"/>
    </row>
    <row r="222" spans="2:16" hidden="1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0"/>
    </row>
    <row r="223" spans="2:16" ht="12.75" customHeight="1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0"/>
    </row>
    <row r="224" spans="2:16" ht="12.75" customHeight="1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0"/>
    </row>
    <row r="225" spans="3:15" ht="12.75" customHeight="1"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3:15" ht="12.75" hidden="1" customHeight="1"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0"/>
    </row>
    <row r="227" spans="3:15" ht="12.75" customHeight="1"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0"/>
    </row>
    <row r="228" spans="3:15" ht="12.75" hidden="1" customHeight="1"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0"/>
    </row>
    <row r="229" spans="3:15" ht="12.75" customHeight="1"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0"/>
    </row>
    <row r="230" spans="3:1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3:1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3:1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3:1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3:1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3:1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3:1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3:1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3:1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3:1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3:1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3:1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3:1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3:1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3:1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3:1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3:1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3:1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3:1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3:1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3:1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3:1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3:1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3:1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3:1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3:1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3:1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3:1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3:1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3:1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3:1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3:1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3:1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3:1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3:1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3:1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3:1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3:1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3:1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3:1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3:1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3:1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3:1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3:1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3:1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3:1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3:1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3:1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3:1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3:1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3:1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3:1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3:1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</sheetData>
  <pageMargins left="0.39370078740157483" right="0.39370078740157483" top="0.39370078740157483" bottom="0.39370078740157483" header="0.51181102362204722" footer="0.51181102362204722"/>
  <pageSetup scale="70" fitToHeight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H118"/>
  <sheetViews>
    <sheetView view="pageBreakPreview" zoomScale="75" zoomScaleNormal="75" workbookViewId="0">
      <pane xSplit="2" ySplit="5" topLeftCell="D8" activePane="bottomRight" state="frozen"/>
      <selection activeCell="C66" sqref="C66"/>
      <selection pane="topRight" activeCell="C66" sqref="C66"/>
      <selection pane="bottomLeft" activeCell="C66" sqref="C66"/>
      <selection pane="bottomRight" activeCell="B24" sqref="B24"/>
    </sheetView>
  </sheetViews>
  <sheetFormatPr defaultColWidth="8.85546875" defaultRowHeight="12.75"/>
  <cols>
    <col min="1" max="1" width="38.5703125" style="20" customWidth="1"/>
    <col min="2" max="2" width="34.42578125" style="20" customWidth="1"/>
    <col min="3" max="3" width="10" style="20" hidden="1" customWidth="1"/>
    <col min="4" max="4" width="10.42578125" style="20" customWidth="1"/>
    <col min="5" max="15" width="8.7109375" style="20" customWidth="1"/>
    <col min="16" max="16" width="14.140625" style="20" customWidth="1"/>
    <col min="17" max="17" width="11.85546875" style="20" customWidth="1"/>
    <col min="18" max="18" width="10" style="20" bestFit="1" customWidth="1"/>
    <col min="19" max="16384" width="8.85546875" style="20"/>
  </cols>
  <sheetData>
    <row r="1" spans="1:112" ht="15">
      <c r="A1" s="133" t="s">
        <v>502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112" ht="20.25">
      <c r="A2" s="259" t="s">
        <v>13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</row>
    <row r="4" spans="1:112">
      <c r="D4" s="45" t="s">
        <v>50</v>
      </c>
      <c r="E4" s="45" t="s">
        <v>51</v>
      </c>
      <c r="F4" s="45" t="s">
        <v>52</v>
      </c>
      <c r="G4" s="45" t="s">
        <v>53</v>
      </c>
      <c r="H4" s="45" t="s">
        <v>54</v>
      </c>
      <c r="I4" s="45" t="s">
        <v>55</v>
      </c>
      <c r="J4" s="45" t="s">
        <v>56</v>
      </c>
      <c r="K4" s="45" t="s">
        <v>57</v>
      </c>
      <c r="L4" s="45" t="s">
        <v>58</v>
      </c>
      <c r="M4" s="45" t="s">
        <v>59</v>
      </c>
      <c r="N4" s="45" t="s">
        <v>60</v>
      </c>
      <c r="O4" s="45" t="s">
        <v>61</v>
      </c>
      <c r="P4" s="45" t="s">
        <v>97</v>
      </c>
    </row>
    <row r="5" spans="1:112">
      <c r="A5" s="302" t="s">
        <v>792</v>
      </c>
      <c r="B5" s="302" t="s">
        <v>793</v>
      </c>
      <c r="C5" s="302" t="s">
        <v>794</v>
      </c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</row>
    <row r="6" spans="1:112">
      <c r="A6" s="57" t="s">
        <v>567</v>
      </c>
      <c r="B6" s="57" t="s">
        <v>1183</v>
      </c>
      <c r="C6" s="57" t="s">
        <v>233</v>
      </c>
      <c r="D6" s="141">
        <f>'P&amp;L$'!C22</f>
        <v>8468.4926930937254</v>
      </c>
      <c r="E6" s="141">
        <f>'P&amp;L$'!D22</f>
        <v>8456.6699071241092</v>
      </c>
      <c r="F6" s="141">
        <f>'P&amp;L$'!E22</f>
        <v>8444.8800865007524</v>
      </c>
      <c r="G6" s="141">
        <f>'P&amp;L$'!F22</f>
        <v>8433.1230935402291</v>
      </c>
      <c r="H6" s="141">
        <f>'P&amp;L$'!G22</f>
        <v>8421.398791324782</v>
      </c>
      <c r="I6" s="141">
        <f>'P&amp;L$'!H22</f>
        <v>8409.7070436969989</v>
      </c>
      <c r="J6" s="141">
        <f>'P&amp;L$'!I22</f>
        <v>8398.0477152545591</v>
      </c>
      <c r="K6" s="141">
        <f>'P&amp;L$'!J22</f>
        <v>8386.4206713449894</v>
      </c>
      <c r="L6" s="141">
        <f>'P&amp;L$'!K22</f>
        <v>8374.8257780604908</v>
      </c>
      <c r="M6" s="141">
        <f>'P&amp;L$'!L22</f>
        <v>8363.2629022327928</v>
      </c>
      <c r="N6" s="141">
        <f>'P&amp;L$'!M22</f>
        <v>8351.7319114280599</v>
      </c>
      <c r="O6" s="141">
        <f>'P&amp;L$'!N22</f>
        <v>8340.2326739418277</v>
      </c>
      <c r="P6" s="21">
        <f>SUM(D6:O6)</f>
        <v>100848.79326754331</v>
      </c>
      <c r="Q6" s="21"/>
      <c r="R6" s="21"/>
    </row>
    <row r="7" spans="1:112">
      <c r="A7" s="57" t="s">
        <v>568</v>
      </c>
      <c r="B7" s="57" t="s">
        <v>235</v>
      </c>
      <c r="C7" s="57" t="s">
        <v>234</v>
      </c>
      <c r="D7" s="141">
        <f>'P&amp;L$'!C23</f>
        <v>29046.689779280387</v>
      </c>
      <c r="E7" s="141">
        <f>'P&amp;L$'!D23</f>
        <v>26685.646921992087</v>
      </c>
      <c r="F7" s="141">
        <f>'P&amp;L$'!E23</f>
        <v>26648.443271632808</v>
      </c>
      <c r="G7" s="141">
        <f>'P&amp;L$'!F23</f>
        <v>27768.35813362422</v>
      </c>
      <c r="H7" s="141">
        <f>'P&amp;L$'!G23</f>
        <v>27729.752670479163</v>
      </c>
      <c r="I7" s="141">
        <f>'P&amp;L$'!H23</f>
        <v>29998.858935710257</v>
      </c>
      <c r="J7" s="141">
        <f>'P&amp;L$'!I23</f>
        <v>29957.268123163223</v>
      </c>
      <c r="K7" s="141">
        <f>'P&amp;L$'!J23</f>
        <v>29915.792475049664</v>
      </c>
      <c r="L7" s="141">
        <f>'P&amp;L$'!K23</f>
        <v>29874.431513697629</v>
      </c>
      <c r="M7" s="141">
        <f>'P&amp;L$'!L23</f>
        <v>28685.754580839606</v>
      </c>
      <c r="N7" s="141">
        <f>'P&amp;L$'!M23</f>
        <v>28646.203609386805</v>
      </c>
      <c r="O7" s="141">
        <f>'P&amp;L$'!N23</f>
        <v>27462.491088879331</v>
      </c>
      <c r="P7" s="21">
        <f t="shared" ref="P7:P14" si="0">SUM(D7:O7)</f>
        <v>342419.69110373524</v>
      </c>
      <c r="Q7" s="21"/>
      <c r="R7" s="21"/>
    </row>
    <row r="8" spans="1:112">
      <c r="A8" s="57" t="s">
        <v>569</v>
      </c>
      <c r="B8" s="57" t="s">
        <v>1184</v>
      </c>
      <c r="C8" s="57" t="s">
        <v>236</v>
      </c>
      <c r="D8" s="141">
        <f>'P&amp;L$'!C24</f>
        <v>4647.470364684862</v>
      </c>
      <c r="E8" s="141">
        <f>'P&amp;L$'!D24</f>
        <v>4640.9820733899287</v>
      </c>
      <c r="F8" s="141">
        <f>'P&amp;L$'!E24</f>
        <v>4634.5118733274448</v>
      </c>
      <c r="G8" s="141">
        <f>'P&amp;L$'!F24</f>
        <v>4628.0596889373701</v>
      </c>
      <c r="H8" s="141">
        <f>'P&amp;L$'!G24</f>
        <v>4621.6254450798606</v>
      </c>
      <c r="I8" s="141">
        <f>'P&amp;L$'!H24</f>
        <v>4615.2090670323478</v>
      </c>
      <c r="J8" s="141">
        <f>'P&amp;L$'!I24</f>
        <v>4608.8104804866498</v>
      </c>
      <c r="K8" s="141">
        <f>'P&amp;L$'!J24</f>
        <v>4602.429611546102</v>
      </c>
      <c r="L8" s="141">
        <f>'P&amp;L$'!K24</f>
        <v>4596.0663867227122</v>
      </c>
      <c r="M8" s="141">
        <f>'P&amp;L$'!L24</f>
        <v>4589.7207329343373</v>
      </c>
      <c r="N8" s="141">
        <f>'P&amp;L$'!M24</f>
        <v>4583.3925775018888</v>
      </c>
      <c r="O8" s="141">
        <f>'P&amp;L$'!N24</f>
        <v>4577.0818481465549</v>
      </c>
      <c r="P8" s="21">
        <f t="shared" si="0"/>
        <v>55345.360149790053</v>
      </c>
      <c r="Q8" s="21"/>
      <c r="R8" s="21"/>
    </row>
    <row r="9" spans="1:112">
      <c r="A9" s="57" t="s">
        <v>570</v>
      </c>
      <c r="B9" s="57" t="s">
        <v>1185</v>
      </c>
      <c r="C9" s="56" t="s">
        <v>238</v>
      </c>
      <c r="D9" s="141">
        <f>'P&amp;L$'!C25</f>
        <v>2323.735182342431</v>
      </c>
      <c r="E9" s="141">
        <f>'P&amp;L$'!D25</f>
        <v>2320.4910366949644</v>
      </c>
      <c r="F9" s="141">
        <f>'P&amp;L$'!E25</f>
        <v>2317.2559366637224</v>
      </c>
      <c r="G9" s="141">
        <f>'P&amp;L$'!F25</f>
        <v>2314.029844468685</v>
      </c>
      <c r="H9" s="141">
        <f>'P&amp;L$'!G25</f>
        <v>2310.8127225399303</v>
      </c>
      <c r="I9" s="141">
        <f>'P&amp;L$'!H25</f>
        <v>2307.6045335161739</v>
      </c>
      <c r="J9" s="141">
        <f>'P&amp;L$'!I25</f>
        <v>2304.4052402433249</v>
      </c>
      <c r="K9" s="141">
        <f>'P&amp;L$'!J25</f>
        <v>2301.214805773051</v>
      </c>
      <c r="L9" s="141">
        <f>'P&amp;L$'!K25</f>
        <v>2298.0331933613561</v>
      </c>
      <c r="M9" s="141">
        <f>'P&amp;L$'!L25</f>
        <v>2294.8603664671687</v>
      </c>
      <c r="N9" s="141">
        <f>'P&amp;L$'!M25</f>
        <v>2291.6962887509444</v>
      </c>
      <c r="O9" s="141">
        <f>'P&amp;L$'!N25</f>
        <v>2288.5409240732774</v>
      </c>
      <c r="P9" s="21">
        <f t="shared" si="0"/>
        <v>27672.680074895026</v>
      </c>
      <c r="Q9" s="21"/>
      <c r="R9" s="21"/>
    </row>
    <row r="10" spans="1:112">
      <c r="A10" s="57" t="s">
        <v>571</v>
      </c>
      <c r="B10" s="57" t="s">
        <v>241</v>
      </c>
      <c r="C10" s="56" t="s">
        <v>240</v>
      </c>
      <c r="D10" s="141">
        <f>'P&amp;L$'!C26</f>
        <v>1045.6808320540938</v>
      </c>
      <c r="E10" s="141">
        <f>'P&amp;L$'!D26</f>
        <v>1044.2209665127339</v>
      </c>
      <c r="F10" s="141">
        <f>'P&amp;L$'!E26</f>
        <v>1042.765171498675</v>
      </c>
      <c r="G10" s="141">
        <f>'P&amp;L$'!F26</f>
        <v>1041.3134300109084</v>
      </c>
      <c r="H10" s="141">
        <f>'P&amp;L$'!G26</f>
        <v>1039.8657251429686</v>
      </c>
      <c r="I10" s="141">
        <f>'P&amp;L$'!H26</f>
        <v>1038.422040082278</v>
      </c>
      <c r="J10" s="141">
        <f>'P&amp;L$'!I26</f>
        <v>1036.9823581094961</v>
      </c>
      <c r="K10" s="141">
        <f>'P&amp;L$'!J26</f>
        <v>1035.5466625978729</v>
      </c>
      <c r="L10" s="141">
        <f>'P&amp;L$'!K26</f>
        <v>1034.1149370126102</v>
      </c>
      <c r="M10" s="141">
        <f>'P&amp;L$'!L26</f>
        <v>1032.6871649102259</v>
      </c>
      <c r="N10" s="141">
        <f>'P&amp;L$'!M26</f>
        <v>1031.2633299379249</v>
      </c>
      <c r="O10" s="141">
        <f>'P&amp;L$'!N26</f>
        <v>1029.8434158329749</v>
      </c>
      <c r="P10" s="21">
        <f t="shared" si="0"/>
        <v>12452.706033702761</v>
      </c>
      <c r="Q10" s="21"/>
      <c r="R10" s="21"/>
    </row>
    <row r="11" spans="1:112">
      <c r="A11" s="57" t="s">
        <v>572</v>
      </c>
      <c r="B11" s="57" t="s">
        <v>1186</v>
      </c>
      <c r="C11" s="56" t="s">
        <v>242</v>
      </c>
      <c r="D11" s="141">
        <f>'P&amp;L$'!C27</f>
        <v>16956</v>
      </c>
      <c r="E11" s="141">
        <f>'P&amp;L$'!D27</f>
        <v>16956</v>
      </c>
      <c r="F11" s="141">
        <f>'P&amp;L$'!E27</f>
        <v>17898</v>
      </c>
      <c r="G11" s="141">
        <f>'P&amp;L$'!F27</f>
        <v>18840</v>
      </c>
      <c r="H11" s="141">
        <f>'P&amp;L$'!G27</f>
        <v>18840</v>
      </c>
      <c r="I11" s="141">
        <f>'P&amp;L$'!H27</f>
        <v>20724</v>
      </c>
      <c r="J11" s="141">
        <f>'P&amp;L$'!I27</f>
        <v>21197</v>
      </c>
      <c r="K11" s="141">
        <f>'P&amp;L$'!J27</f>
        <v>22160.5</v>
      </c>
      <c r="L11" s="141">
        <f>'P&amp;L$'!K27</f>
        <v>21197</v>
      </c>
      <c r="M11" s="141">
        <f>'P&amp;L$'!L27</f>
        <v>21197</v>
      </c>
      <c r="N11" s="141">
        <f>'P&amp;L$'!M27</f>
        <v>19270</v>
      </c>
      <c r="O11" s="141">
        <f>'P&amp;L$'!N27</f>
        <v>17343</v>
      </c>
      <c r="P11" s="21">
        <f t="shared" si="0"/>
        <v>232578.5</v>
      </c>
      <c r="Q11" s="21"/>
      <c r="R11" s="21"/>
    </row>
    <row r="12" spans="1:112">
      <c r="A12" s="57" t="s">
        <v>573</v>
      </c>
      <c r="B12" s="57" t="s">
        <v>244</v>
      </c>
      <c r="C12" s="56" t="s">
        <v>243</v>
      </c>
      <c r="D12" s="141">
        <f>'P&amp;L$'!C28</f>
        <v>46.121014285714288</v>
      </c>
      <c r="E12" s="141">
        <f>'P&amp;L$'!D28</f>
        <v>46.121014285714288</v>
      </c>
      <c r="F12" s="141">
        <f>'P&amp;L$'!E28</f>
        <v>46.121014285714288</v>
      </c>
      <c r="G12" s="141">
        <f>'P&amp;L$'!F28</f>
        <v>46.121014285714288</v>
      </c>
      <c r="H12" s="141">
        <f>'P&amp;L$'!G28</f>
        <v>46.121014285714288</v>
      </c>
      <c r="I12" s="141">
        <f>'P&amp;L$'!H28</f>
        <v>46.121014285714288</v>
      </c>
      <c r="J12" s="141">
        <f>'P&amp;L$'!I28</f>
        <v>47.178835714285711</v>
      </c>
      <c r="K12" s="141">
        <f>'P&amp;L$'!J28</f>
        <v>47.178835714285711</v>
      </c>
      <c r="L12" s="141">
        <f>'P&amp;L$'!K28</f>
        <v>47.178835714285711</v>
      </c>
      <c r="M12" s="141">
        <f>'P&amp;L$'!L28</f>
        <v>47.178835714285711</v>
      </c>
      <c r="N12" s="141">
        <f>'P&amp;L$'!M28</f>
        <v>47.178835714285711</v>
      </c>
      <c r="O12" s="141">
        <f>'P&amp;L$'!N28</f>
        <v>47.178835714285711</v>
      </c>
      <c r="P12" s="21">
        <f t="shared" si="0"/>
        <v>559.79909999999995</v>
      </c>
      <c r="Q12" s="21"/>
      <c r="R12" s="21"/>
    </row>
    <row r="13" spans="1:112">
      <c r="A13" s="57" t="s">
        <v>574</v>
      </c>
      <c r="B13" s="57" t="s">
        <v>1187</v>
      </c>
      <c r="C13" s="56" t="s">
        <v>245</v>
      </c>
      <c r="D13" s="141">
        <f>'P&amp;L$'!C29</f>
        <v>1648</v>
      </c>
      <c r="E13" s="141">
        <f>'P&amp;L$'!D29</f>
        <v>1236</v>
      </c>
      <c r="F13" s="141">
        <f>'P&amp;L$'!E29</f>
        <v>1524.3999999999999</v>
      </c>
      <c r="G13" s="141">
        <f>'P&amp;L$'!F29</f>
        <v>1030</v>
      </c>
      <c r="H13" s="141">
        <f>'P&amp;L$'!G29</f>
        <v>206</v>
      </c>
      <c r="I13" s="141">
        <f>'P&amp;L$'!H29</f>
        <v>206</v>
      </c>
      <c r="J13" s="141">
        <f>'P&amp;L$'!I29</f>
        <v>210.5</v>
      </c>
      <c r="K13" s="141">
        <f>'P&amp;L$'!J29</f>
        <v>210.5</v>
      </c>
      <c r="L13" s="141">
        <f>'P&amp;L$'!K29</f>
        <v>421</v>
      </c>
      <c r="M13" s="141">
        <f>'P&amp;L$'!L29</f>
        <v>842</v>
      </c>
      <c r="N13" s="141">
        <f>'P&amp;L$'!M29</f>
        <v>1052.5</v>
      </c>
      <c r="O13" s="141">
        <f>'P&amp;L$'!N29</f>
        <v>1473.5</v>
      </c>
      <c r="P13" s="21">
        <f t="shared" si="0"/>
        <v>10060.4</v>
      </c>
      <c r="Q13" s="21"/>
      <c r="R13" s="21"/>
    </row>
    <row r="14" spans="1:112">
      <c r="A14" s="57" t="s">
        <v>575</v>
      </c>
      <c r="B14" s="57" t="s">
        <v>247</v>
      </c>
      <c r="C14" s="56" t="s">
        <v>246</v>
      </c>
      <c r="D14" s="141">
        <f>'P&amp;L$'!C30</f>
        <v>743.59525834957788</v>
      </c>
      <c r="E14" s="141">
        <f>'P&amp;L$'!D30</f>
        <v>742.55713174238861</v>
      </c>
      <c r="F14" s="141">
        <f>'P&amp;L$'!E30</f>
        <v>741.52189973239115</v>
      </c>
      <c r="G14" s="141">
        <f>'P&amp;L$'!F30</f>
        <v>740.48955022997927</v>
      </c>
      <c r="H14" s="141">
        <f>'P&amp;L$'!G30</f>
        <v>739.46007121277762</v>
      </c>
      <c r="I14" s="141">
        <f>'P&amp;L$'!H30</f>
        <v>738.43345072517559</v>
      </c>
      <c r="J14" s="141">
        <f>'P&amp;L$'!I30</f>
        <v>737.40967687786394</v>
      </c>
      <c r="K14" s="141">
        <f>'P&amp;L$'!J30</f>
        <v>736.38873784737632</v>
      </c>
      <c r="L14" s="141">
        <f>'P&amp;L$'!K30</f>
        <v>735.3706218756339</v>
      </c>
      <c r="M14" s="141">
        <f>'P&amp;L$'!L30</f>
        <v>734.35531726949398</v>
      </c>
      <c r="N14" s="141">
        <f>'P&amp;L$'!M30</f>
        <v>733.34281240030214</v>
      </c>
      <c r="O14" s="141">
        <f>'P&amp;L$'!N30</f>
        <v>732.33309570344886</v>
      </c>
      <c r="P14" s="21">
        <f t="shared" si="0"/>
        <v>8855.2576239664086</v>
      </c>
      <c r="Q14" s="21"/>
      <c r="R14" s="21"/>
    </row>
    <row r="15" spans="1:112" s="136" customFormat="1" ht="13.5" thickBot="1">
      <c r="A15" s="304" t="s">
        <v>785</v>
      </c>
      <c r="B15" s="304" t="s">
        <v>784</v>
      </c>
      <c r="D15" s="10">
        <f>SUM(D6:D14)</f>
        <v>64925.785124090798</v>
      </c>
      <c r="E15" s="10">
        <f t="shared" ref="E15:O15" si="1">SUM(E6:E14)</f>
        <v>62128.689051741923</v>
      </c>
      <c r="F15" s="10">
        <f t="shared" si="1"/>
        <v>63297.899253641503</v>
      </c>
      <c r="G15" s="10">
        <f t="shared" si="1"/>
        <v>64841.494755097105</v>
      </c>
      <c r="H15" s="10">
        <f t="shared" si="1"/>
        <v>63955.036440065196</v>
      </c>
      <c r="I15" s="10">
        <f t="shared" si="1"/>
        <v>68084.356085048945</v>
      </c>
      <c r="J15" s="10">
        <f t="shared" si="1"/>
        <v>68497.602429849401</v>
      </c>
      <c r="K15" s="10">
        <f t="shared" si="1"/>
        <v>69395.971799873339</v>
      </c>
      <c r="L15" s="10">
        <f t="shared" si="1"/>
        <v>68578.021266444703</v>
      </c>
      <c r="M15" s="10">
        <f t="shared" si="1"/>
        <v>67786.819900367904</v>
      </c>
      <c r="N15" s="10">
        <f t="shared" si="1"/>
        <v>66007.309365120207</v>
      </c>
      <c r="O15" s="10">
        <f t="shared" si="1"/>
        <v>63294.201882291702</v>
      </c>
      <c r="P15" s="10">
        <f>SUM(P6:P14)</f>
        <v>790793.18735363276</v>
      </c>
      <c r="Q15" s="6"/>
      <c r="R15" s="6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  <c r="CT15" s="133"/>
      <c r="CU15" s="133"/>
      <c r="CV15" s="133"/>
      <c r="CW15" s="133"/>
      <c r="CX15" s="133"/>
      <c r="CY15" s="133"/>
      <c r="CZ15" s="133"/>
      <c r="DA15" s="133"/>
      <c r="DB15" s="133"/>
      <c r="DC15" s="133"/>
      <c r="DD15" s="133"/>
      <c r="DE15" s="133"/>
      <c r="DF15" s="133"/>
      <c r="DG15" s="133"/>
      <c r="DH15" s="133"/>
    </row>
    <row r="16" spans="1:112" ht="27" customHeight="1" thickTop="1">
      <c r="P16" s="21"/>
      <c r="Q16" s="21"/>
      <c r="R16" s="21"/>
    </row>
    <row r="17" spans="1:112">
      <c r="A17" s="133" t="s">
        <v>786</v>
      </c>
      <c r="B17" s="133" t="s">
        <v>795</v>
      </c>
      <c r="C17" s="302" t="s">
        <v>794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21"/>
      <c r="R17" s="21"/>
    </row>
    <row r="18" spans="1:112" ht="13.15" customHeight="1">
      <c r="A18" s="139" t="s">
        <v>102</v>
      </c>
      <c r="B18" s="139" t="s">
        <v>1204</v>
      </c>
      <c r="D18" s="21">
        <f>'P&amp;L$'!C43</f>
        <v>0</v>
      </c>
      <c r="E18" s="21">
        <f>'P&amp;L$'!D43</f>
        <v>0</v>
      </c>
      <c r="F18" s="21">
        <f>'P&amp;L$'!E43</f>
        <v>4353.3</v>
      </c>
      <c r="G18" s="21">
        <f>'P&amp;L$'!F43</f>
        <v>0</v>
      </c>
      <c r="H18" s="21">
        <f>'P&amp;L$'!G43</f>
        <v>0</v>
      </c>
      <c r="I18" s="21">
        <f>'P&amp;L$'!H43</f>
        <v>4353.3</v>
      </c>
      <c r="J18" s="21">
        <f>'P&amp;L$'!I43</f>
        <v>0</v>
      </c>
      <c r="K18" s="21">
        <f>'P&amp;L$'!J43</f>
        <v>0</v>
      </c>
      <c r="L18" s="21">
        <f>'P&amp;L$'!K43</f>
        <v>23679.9</v>
      </c>
      <c r="M18" s="21">
        <f>'P&amp;L$'!L43</f>
        <v>0</v>
      </c>
      <c r="N18" s="21">
        <f>'P&amp;L$'!M43</f>
        <v>0</v>
      </c>
      <c r="O18" s="21">
        <f>'P&amp;L$'!N43</f>
        <v>4353.3</v>
      </c>
      <c r="P18" s="21">
        <f>SUM(D18:O18)</f>
        <v>36739.800000000003</v>
      </c>
      <c r="Q18" s="21"/>
      <c r="R18" s="21"/>
    </row>
    <row r="19" spans="1:112">
      <c r="A19" s="139" t="s">
        <v>1278</v>
      </c>
      <c r="B19" s="139" t="s">
        <v>1205</v>
      </c>
      <c r="D19" s="21">
        <f>'P&amp;L$'!C45</f>
        <v>1315</v>
      </c>
      <c r="E19" s="21">
        <f>'P&amp;L$'!D45</f>
        <v>1315</v>
      </c>
      <c r="F19" s="21">
        <f>'P&amp;L$'!E45</f>
        <v>1315</v>
      </c>
      <c r="G19" s="21">
        <f>'P&amp;L$'!F45</f>
        <v>1315</v>
      </c>
      <c r="H19" s="21">
        <f>'P&amp;L$'!G45</f>
        <v>51315</v>
      </c>
      <c r="I19" s="21">
        <f>'P&amp;L$'!H45</f>
        <v>1315</v>
      </c>
      <c r="J19" s="21">
        <f>'P&amp;L$'!I45</f>
        <v>1315</v>
      </c>
      <c r="K19" s="21">
        <f>'P&amp;L$'!J45</f>
        <v>1315</v>
      </c>
      <c r="L19" s="21">
        <f>'P&amp;L$'!K45</f>
        <v>1315</v>
      </c>
      <c r="M19" s="21">
        <f>'P&amp;L$'!L45</f>
        <v>1315</v>
      </c>
      <c r="N19" s="21">
        <f>'P&amp;L$'!M45</f>
        <v>1315</v>
      </c>
      <c r="O19" s="21">
        <f>'P&amp;L$'!N45</f>
        <v>1315</v>
      </c>
      <c r="P19" s="21">
        <f>SUM(D19:O19)</f>
        <v>65780</v>
      </c>
      <c r="Q19" s="21"/>
      <c r="R19" s="21"/>
    </row>
    <row r="20" spans="1:112">
      <c r="A20" s="139" t="s">
        <v>1206</v>
      </c>
      <c r="B20" s="59" t="s">
        <v>286</v>
      </c>
      <c r="D20" s="21">
        <f>'P&amp;L$'!C47</f>
        <v>19678</v>
      </c>
      <c r="E20" s="21">
        <f>'P&amp;L$'!D47</f>
        <v>19678</v>
      </c>
      <c r="F20" s="21">
        <f>'P&amp;L$'!E47</f>
        <v>19678</v>
      </c>
      <c r="G20" s="21">
        <f>'P&amp;L$'!F47</f>
        <v>19678</v>
      </c>
      <c r="H20" s="21">
        <f>'P&amp;L$'!G47</f>
        <v>19678</v>
      </c>
      <c r="I20" s="21">
        <f>'P&amp;L$'!H47</f>
        <v>19678</v>
      </c>
      <c r="J20" s="21">
        <f>'P&amp;L$'!I47</f>
        <v>19678</v>
      </c>
      <c r="K20" s="21">
        <f>'P&amp;L$'!J47</f>
        <v>19678</v>
      </c>
      <c r="L20" s="21">
        <f>'P&amp;L$'!K47</f>
        <v>19678</v>
      </c>
      <c r="M20" s="21">
        <f>'P&amp;L$'!L47</f>
        <v>19678</v>
      </c>
      <c r="N20" s="21">
        <f>'P&amp;L$'!M47</f>
        <v>19678</v>
      </c>
      <c r="O20" s="21">
        <f>'P&amp;L$'!N47</f>
        <v>19678</v>
      </c>
      <c r="P20" s="21">
        <f>SUM(D20:O20)</f>
        <v>236136</v>
      </c>
      <c r="Q20" s="21"/>
      <c r="R20" s="21"/>
    </row>
    <row r="21" spans="1:112">
      <c r="A21" s="192" t="s">
        <v>1177</v>
      </c>
      <c r="B21" s="59" t="s">
        <v>1208</v>
      </c>
      <c r="D21" s="21">
        <f>'P&amp;L$'!C49</f>
        <v>7045</v>
      </c>
      <c r="E21" s="21">
        <f>'P&amp;L$'!D49</f>
        <v>7045</v>
      </c>
      <c r="F21" s="21">
        <f>'P&amp;L$'!E49</f>
        <v>7045</v>
      </c>
      <c r="G21" s="21">
        <f>'P&amp;L$'!F49</f>
        <v>7045</v>
      </c>
      <c r="H21" s="21">
        <f>'P&amp;L$'!G49</f>
        <v>7045</v>
      </c>
      <c r="I21" s="21">
        <f>'P&amp;L$'!H49</f>
        <v>7045</v>
      </c>
      <c r="J21" s="21">
        <f>'P&amp;L$'!I49</f>
        <v>7045</v>
      </c>
      <c r="K21" s="21">
        <f>'P&amp;L$'!J49</f>
        <v>7045</v>
      </c>
      <c r="L21" s="21">
        <f>'P&amp;L$'!K49</f>
        <v>7045</v>
      </c>
      <c r="M21" s="21">
        <f>'P&amp;L$'!L49</f>
        <v>7045</v>
      </c>
      <c r="N21" s="21">
        <f>'P&amp;L$'!M49</f>
        <v>7045</v>
      </c>
      <c r="O21" s="21">
        <f>'P&amp;L$'!N49</f>
        <v>7045</v>
      </c>
      <c r="P21" s="21">
        <f>SUM(D21:O21)</f>
        <v>84540</v>
      </c>
      <c r="Q21" s="21"/>
      <c r="R21" s="21"/>
    </row>
    <row r="22" spans="1:112">
      <c r="A22" s="139" t="s">
        <v>783</v>
      </c>
      <c r="B22" s="59" t="s">
        <v>1207</v>
      </c>
      <c r="D22" s="21">
        <f>'P&amp;L$'!C48</f>
        <v>17072</v>
      </c>
      <c r="E22" s="21">
        <f>'P&amp;L$'!D48</f>
        <v>17072</v>
      </c>
      <c r="F22" s="21">
        <f>'P&amp;L$'!E48</f>
        <v>17072</v>
      </c>
      <c r="G22" s="21">
        <f>'P&amp;L$'!F48</f>
        <v>17072</v>
      </c>
      <c r="H22" s="21">
        <f>'P&amp;L$'!G48</f>
        <v>17072</v>
      </c>
      <c r="I22" s="21">
        <f>'P&amp;L$'!H48</f>
        <v>17072</v>
      </c>
      <c r="J22" s="21">
        <f>'P&amp;L$'!I48</f>
        <v>17072</v>
      </c>
      <c r="K22" s="21">
        <f>'P&amp;L$'!J48</f>
        <v>17072</v>
      </c>
      <c r="L22" s="21">
        <f>'P&amp;L$'!K48</f>
        <v>17072</v>
      </c>
      <c r="M22" s="21">
        <f>'P&amp;L$'!L48</f>
        <v>17072</v>
      </c>
      <c r="N22" s="21">
        <f>'P&amp;L$'!M48</f>
        <v>17072</v>
      </c>
      <c r="O22" s="21">
        <f>'P&amp;L$'!N48</f>
        <v>17072</v>
      </c>
      <c r="P22" s="21">
        <f>SUM(D22:O22)</f>
        <v>204864</v>
      </c>
      <c r="Q22" s="21"/>
      <c r="R22" s="21"/>
    </row>
    <row r="23" spans="1:112" s="136" customFormat="1" ht="13.5" thickBot="1">
      <c r="A23" s="304" t="s">
        <v>785</v>
      </c>
      <c r="B23" s="304" t="s">
        <v>784</v>
      </c>
      <c r="C23" s="304"/>
      <c r="D23" s="10">
        <f>SUM(D18:D22)</f>
        <v>45110</v>
      </c>
      <c r="E23" s="10">
        <f t="shared" ref="E23:O23" si="2">SUM(E18:E22)</f>
        <v>45110</v>
      </c>
      <c r="F23" s="10">
        <f t="shared" si="2"/>
        <v>49463.3</v>
      </c>
      <c r="G23" s="10">
        <f t="shared" si="2"/>
        <v>45110</v>
      </c>
      <c r="H23" s="10">
        <f t="shared" si="2"/>
        <v>95110</v>
      </c>
      <c r="I23" s="10">
        <f t="shared" si="2"/>
        <v>49463.3</v>
      </c>
      <c r="J23" s="10">
        <f t="shared" si="2"/>
        <v>45110</v>
      </c>
      <c r="K23" s="10">
        <f t="shared" si="2"/>
        <v>45110</v>
      </c>
      <c r="L23" s="10">
        <f t="shared" si="2"/>
        <v>68789.899999999994</v>
      </c>
      <c r="M23" s="10">
        <f t="shared" si="2"/>
        <v>45110</v>
      </c>
      <c r="N23" s="10">
        <f t="shared" si="2"/>
        <v>45110</v>
      </c>
      <c r="O23" s="10">
        <f t="shared" si="2"/>
        <v>49463.3</v>
      </c>
      <c r="P23" s="10">
        <f>SUM(P18:P22)</f>
        <v>628059.80000000005</v>
      </c>
      <c r="Q23" s="187"/>
      <c r="R23" s="187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</row>
    <row r="24" spans="1:112" ht="32.450000000000003" customHeight="1" thickTop="1">
      <c r="Q24" s="21"/>
      <c r="R24" s="21"/>
    </row>
    <row r="25" spans="1:112">
      <c r="A25" s="133" t="s">
        <v>796</v>
      </c>
      <c r="B25" s="133" t="s">
        <v>797</v>
      </c>
      <c r="C25" s="302" t="s">
        <v>794</v>
      </c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21"/>
      <c r="R25" s="21"/>
    </row>
    <row r="26" spans="1:112">
      <c r="A26" s="55" t="s">
        <v>595</v>
      </c>
      <c r="B26" s="55" t="s">
        <v>1188</v>
      </c>
      <c r="C26" s="56" t="s">
        <v>1190</v>
      </c>
      <c r="D26" s="141">
        <f>'P&amp;L$'!C31</f>
        <v>1580.139923992853</v>
      </c>
      <c r="E26" s="141">
        <f>'P&amp;L$'!D31</f>
        <v>1577.9339049525756</v>
      </c>
      <c r="F26" s="141">
        <f>'P&amp;L$'!E31</f>
        <v>1575.7340369313313</v>
      </c>
      <c r="G26" s="141">
        <f>'P&amp;L$'!F31</f>
        <v>1573.5402942387059</v>
      </c>
      <c r="H26" s="141">
        <f>'P&amp;L$'!G31</f>
        <v>1571.3526513271524</v>
      </c>
      <c r="I26" s="141">
        <f>'P&amp;L$'!H31</f>
        <v>1569.1710827909981</v>
      </c>
      <c r="J26" s="141">
        <f>'P&amp;L$'!I31</f>
        <v>1566.9955633654608</v>
      </c>
      <c r="K26" s="141">
        <f>'P&amp;L$'!J31</f>
        <v>1564.8260679256748</v>
      </c>
      <c r="L26" s="141">
        <f>'P&amp;L$'!K31</f>
        <v>1562.6625714857221</v>
      </c>
      <c r="M26" s="141">
        <f>'P&amp;L$'!L31</f>
        <v>1560.5050491976747</v>
      </c>
      <c r="N26" s="141">
        <f>'P&amp;L$'!M31</f>
        <v>1558.353476350642</v>
      </c>
      <c r="O26" s="141">
        <f>'P&amp;L$'!N31</f>
        <v>1556.2078283698288</v>
      </c>
      <c r="P26" s="21">
        <f>SUM(D26:O26)</f>
        <v>18817.422450928618</v>
      </c>
      <c r="Q26" s="21"/>
      <c r="R26" s="21"/>
    </row>
    <row r="27" spans="1:112">
      <c r="A27" s="60" t="s">
        <v>578</v>
      </c>
      <c r="B27" s="60" t="s">
        <v>791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21"/>
      <c r="Q27" s="21"/>
      <c r="R27" s="21"/>
    </row>
    <row r="28" spans="1:112">
      <c r="A28" s="20" t="s">
        <v>816</v>
      </c>
      <c r="B28" s="59" t="s">
        <v>1189</v>
      </c>
      <c r="C28" s="56" t="s">
        <v>300</v>
      </c>
      <c r="D28" s="142">
        <f>'P&amp;L$'!C53</f>
        <v>11007.25</v>
      </c>
      <c r="E28" s="142">
        <f>'P&amp;L$'!D53</f>
        <v>11007.25</v>
      </c>
      <c r="F28" s="142">
        <f>'P&amp;L$'!E53</f>
        <v>11007.25</v>
      </c>
      <c r="G28" s="142">
        <f>'P&amp;L$'!F53</f>
        <v>11007.25</v>
      </c>
      <c r="H28" s="142">
        <f>'P&amp;L$'!G53</f>
        <v>13208.699999999999</v>
      </c>
      <c r="I28" s="142">
        <f>'P&amp;L$'!H53</f>
        <v>13208.699999999999</v>
      </c>
      <c r="J28" s="142">
        <f>'P&amp;L$'!I53</f>
        <v>13060.15</v>
      </c>
      <c r="K28" s="142">
        <f>'P&amp;L$'!J53</f>
        <v>13060.15</v>
      </c>
      <c r="L28" s="142">
        <f>'P&amp;L$'!K53</f>
        <v>13060.15</v>
      </c>
      <c r="M28" s="142">
        <f>'P&amp;L$'!L53</f>
        <v>13060.15</v>
      </c>
      <c r="N28" s="142">
        <f>'P&amp;L$'!M53</f>
        <v>11258.75</v>
      </c>
      <c r="O28" s="142">
        <f>'P&amp;L$'!N53</f>
        <v>11258.75</v>
      </c>
      <c r="P28" s="21">
        <f>SUM(D28:O28)</f>
        <v>145204.49999999997</v>
      </c>
      <c r="Q28" s="21"/>
      <c r="R28" s="21"/>
    </row>
    <row r="29" spans="1:112">
      <c r="A29" s="59" t="s">
        <v>580</v>
      </c>
      <c r="B29" s="59" t="s">
        <v>1191</v>
      </c>
      <c r="C29" s="66" t="s">
        <v>301</v>
      </c>
      <c r="D29" s="142">
        <f>'P&amp;L$'!C54</f>
        <v>250</v>
      </c>
      <c r="E29" s="142">
        <f>'P&amp;L$'!D54</f>
        <v>250</v>
      </c>
      <c r="F29" s="142">
        <f>'P&amp;L$'!E54</f>
        <v>250</v>
      </c>
      <c r="G29" s="142">
        <f>'P&amp;L$'!F54</f>
        <v>250</v>
      </c>
      <c r="H29" s="142">
        <f>'P&amp;L$'!G54</f>
        <v>250</v>
      </c>
      <c r="I29" s="142">
        <f>'P&amp;L$'!H54</f>
        <v>250</v>
      </c>
      <c r="J29" s="142">
        <f>'P&amp;L$'!I54</f>
        <v>250</v>
      </c>
      <c r="K29" s="142">
        <f>'P&amp;L$'!J54</f>
        <v>250</v>
      </c>
      <c r="L29" s="142">
        <f>'P&amp;L$'!K54</f>
        <v>250</v>
      </c>
      <c r="M29" s="142">
        <f>'P&amp;L$'!L54</f>
        <v>250</v>
      </c>
      <c r="N29" s="142">
        <f>'P&amp;L$'!M54</f>
        <v>250</v>
      </c>
      <c r="O29" s="142">
        <f>'P&amp;L$'!N54</f>
        <v>250</v>
      </c>
      <c r="P29" s="21">
        <f t="shared" ref="P29:P53" si="3">SUM(D29:O29)</f>
        <v>3000</v>
      </c>
      <c r="Q29" s="21"/>
      <c r="R29" s="21"/>
    </row>
    <row r="30" spans="1:112">
      <c r="A30" s="59" t="s">
        <v>576</v>
      </c>
      <c r="B30" s="59" t="s">
        <v>1192</v>
      </c>
      <c r="C30" s="66" t="s">
        <v>250</v>
      </c>
      <c r="D30" s="142">
        <f>'P&amp;L$'!C39</f>
        <v>3253.2292552794033</v>
      </c>
      <c r="E30" s="142">
        <f>'P&amp;L$'!D39</f>
        <v>3248.6874513729499</v>
      </c>
      <c r="F30" s="142">
        <f>'P&amp;L$'!E39</f>
        <v>3244.1583113292113</v>
      </c>
      <c r="G30" s="142">
        <f>'P&amp;L$'!F39</f>
        <v>3239.6417822561593</v>
      </c>
      <c r="H30" s="142">
        <f>'P&amp;L$'!G39</f>
        <v>3235.1378115559023</v>
      </c>
      <c r="I30" s="142">
        <f>'P&amp;L$'!H39</f>
        <v>3230.6463469226433</v>
      </c>
      <c r="J30" s="142">
        <f>'P&amp;L$'!I39</f>
        <v>3226.1673363406549</v>
      </c>
      <c r="K30" s="142">
        <f>'P&amp;L$'!J39</f>
        <v>3221.7007280822713</v>
      </c>
      <c r="L30" s="142">
        <f>'P&amp;L$'!K39</f>
        <v>3217.2464707058984</v>
      </c>
      <c r="M30" s="142">
        <f>'P&amp;L$'!L39</f>
        <v>3212.8045130540359</v>
      </c>
      <c r="N30" s="142">
        <f>'P&amp;L$'!M39</f>
        <v>3208.3748042513221</v>
      </c>
      <c r="O30" s="142">
        <f>'P&amp;L$'!N39</f>
        <v>3203.9572937025887</v>
      </c>
      <c r="P30" s="21">
        <f t="shared" si="3"/>
        <v>38741.75210485304</v>
      </c>
      <c r="Q30" s="21"/>
      <c r="R30" s="21"/>
    </row>
    <row r="31" spans="1:112">
      <c r="A31" s="190" t="s">
        <v>787</v>
      </c>
      <c r="B31" s="60" t="s">
        <v>790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21"/>
      <c r="Q31" s="21"/>
      <c r="R31" s="21"/>
    </row>
    <row r="32" spans="1:112">
      <c r="A32" s="59" t="s">
        <v>584</v>
      </c>
      <c r="B32" s="59" t="s">
        <v>1193</v>
      </c>
      <c r="C32" s="66" t="s">
        <v>315</v>
      </c>
      <c r="D32" s="142">
        <f>'P&amp;L$'!C67</f>
        <v>15000</v>
      </c>
      <c r="E32" s="142">
        <f>'P&amp;L$'!D67</f>
        <v>15000</v>
      </c>
      <c r="F32" s="142">
        <f>'P&amp;L$'!E67</f>
        <v>15000</v>
      </c>
      <c r="G32" s="142">
        <f>'P&amp;L$'!F67</f>
        <v>15000</v>
      </c>
      <c r="H32" s="142">
        <f>'P&amp;L$'!G67</f>
        <v>15000</v>
      </c>
      <c r="I32" s="142">
        <f>'P&amp;L$'!H67</f>
        <v>15000</v>
      </c>
      <c r="J32" s="142">
        <f>'P&amp;L$'!I67</f>
        <v>15000</v>
      </c>
      <c r="K32" s="142">
        <f>'P&amp;L$'!J67</f>
        <v>15000</v>
      </c>
      <c r="L32" s="142">
        <f>'P&amp;L$'!K67</f>
        <v>15000</v>
      </c>
      <c r="M32" s="142">
        <f>'P&amp;L$'!L67</f>
        <v>15000</v>
      </c>
      <c r="N32" s="142">
        <f>'P&amp;L$'!M67</f>
        <v>15000</v>
      </c>
      <c r="O32" s="142">
        <f>'P&amp;L$'!N67</f>
        <v>15000</v>
      </c>
      <c r="P32" s="21">
        <f t="shared" si="3"/>
        <v>180000</v>
      </c>
      <c r="Q32" s="21"/>
      <c r="R32" s="21"/>
    </row>
    <row r="33" spans="1:18">
      <c r="A33" s="59" t="s">
        <v>585</v>
      </c>
      <c r="B33" s="59" t="s">
        <v>1194</v>
      </c>
      <c r="C33" s="66" t="s">
        <v>316</v>
      </c>
      <c r="D33" s="142">
        <f>'P&amp;L$'!C68</f>
        <v>5000</v>
      </c>
      <c r="E33" s="142">
        <f>'P&amp;L$'!D68</f>
        <v>5000</v>
      </c>
      <c r="F33" s="142">
        <f>'P&amp;L$'!E68</f>
        <v>5000</v>
      </c>
      <c r="G33" s="142">
        <f>'P&amp;L$'!F68</f>
        <v>5000</v>
      </c>
      <c r="H33" s="142">
        <f>'P&amp;L$'!G68</f>
        <v>5000</v>
      </c>
      <c r="I33" s="142">
        <f>'P&amp;L$'!H68</f>
        <v>5000</v>
      </c>
      <c r="J33" s="142">
        <f>'P&amp;L$'!I68</f>
        <v>5000</v>
      </c>
      <c r="K33" s="142">
        <f>'P&amp;L$'!J68</f>
        <v>5000</v>
      </c>
      <c r="L33" s="142">
        <f>'P&amp;L$'!K68</f>
        <v>5000</v>
      </c>
      <c r="M33" s="142">
        <f>'P&amp;L$'!L68</f>
        <v>5000</v>
      </c>
      <c r="N33" s="142">
        <f>'P&amp;L$'!M68</f>
        <v>5000</v>
      </c>
      <c r="O33" s="142">
        <f>'P&amp;L$'!N68</f>
        <v>5000</v>
      </c>
      <c r="P33" s="21">
        <f t="shared" si="3"/>
        <v>60000</v>
      </c>
      <c r="Q33" s="21"/>
      <c r="R33" s="21"/>
    </row>
    <row r="34" spans="1:18">
      <c r="A34" s="59" t="s">
        <v>587</v>
      </c>
      <c r="B34" s="59" t="s">
        <v>1195</v>
      </c>
      <c r="C34" s="66" t="s">
        <v>318</v>
      </c>
      <c r="D34" s="142">
        <f>'P&amp;L$'!C70</f>
        <v>1000</v>
      </c>
      <c r="E34" s="142">
        <f>'P&amp;L$'!D70</f>
        <v>1000</v>
      </c>
      <c r="F34" s="142">
        <f>'P&amp;L$'!E70</f>
        <v>1000</v>
      </c>
      <c r="G34" s="142">
        <f>'P&amp;L$'!F70</f>
        <v>1000</v>
      </c>
      <c r="H34" s="142">
        <f>'P&amp;L$'!G70</f>
        <v>1000</v>
      </c>
      <c r="I34" s="142">
        <f>'P&amp;L$'!H70</f>
        <v>1000</v>
      </c>
      <c r="J34" s="142">
        <f>'P&amp;L$'!I70</f>
        <v>1000</v>
      </c>
      <c r="K34" s="142">
        <f>'P&amp;L$'!J70</f>
        <v>1000</v>
      </c>
      <c r="L34" s="142">
        <f>'P&amp;L$'!K70</f>
        <v>1000</v>
      </c>
      <c r="M34" s="142">
        <f>'P&amp;L$'!L70</f>
        <v>1000</v>
      </c>
      <c r="N34" s="142">
        <f>'P&amp;L$'!M70</f>
        <v>1000</v>
      </c>
      <c r="O34" s="142">
        <f>'P&amp;L$'!N70</f>
        <v>1000</v>
      </c>
      <c r="P34" s="21">
        <f t="shared" si="3"/>
        <v>12000</v>
      </c>
      <c r="Q34" s="21"/>
      <c r="R34" s="21"/>
    </row>
    <row r="35" spans="1:18">
      <c r="A35" s="59" t="s">
        <v>130</v>
      </c>
      <c r="B35" s="59" t="s">
        <v>1196</v>
      </c>
      <c r="C35" s="66" t="s">
        <v>319</v>
      </c>
      <c r="D35" s="142">
        <f>'P&amp;L$'!C71</f>
        <v>4000</v>
      </c>
      <c r="E35" s="142">
        <f>'P&amp;L$'!D71</f>
        <v>4000</v>
      </c>
      <c r="F35" s="142">
        <f>'P&amp;L$'!E71</f>
        <v>4000</v>
      </c>
      <c r="G35" s="142">
        <f>'P&amp;L$'!F71</f>
        <v>4000</v>
      </c>
      <c r="H35" s="142">
        <f>'P&amp;L$'!G71</f>
        <v>4000</v>
      </c>
      <c r="I35" s="142">
        <f>'P&amp;L$'!H71</f>
        <v>4000</v>
      </c>
      <c r="J35" s="142">
        <f>'P&amp;L$'!I71</f>
        <v>4000</v>
      </c>
      <c r="K35" s="142">
        <f>'P&amp;L$'!J71</f>
        <v>4000</v>
      </c>
      <c r="L35" s="142">
        <f>'P&amp;L$'!K71</f>
        <v>4000</v>
      </c>
      <c r="M35" s="142">
        <f>'P&amp;L$'!L71</f>
        <v>4000</v>
      </c>
      <c r="N35" s="142">
        <f>'P&amp;L$'!M71</f>
        <v>4000</v>
      </c>
      <c r="O35" s="142">
        <f>'P&amp;L$'!N71</f>
        <v>4000</v>
      </c>
      <c r="P35" s="21">
        <f t="shared" si="3"/>
        <v>48000</v>
      </c>
      <c r="Q35" s="21"/>
      <c r="R35" s="21"/>
    </row>
    <row r="36" spans="1:18">
      <c r="A36" s="59" t="s">
        <v>589</v>
      </c>
      <c r="B36" s="59" t="s">
        <v>1197</v>
      </c>
      <c r="C36" s="66" t="s">
        <v>322</v>
      </c>
      <c r="D36" s="142">
        <f>'P&amp;L$'!C73</f>
        <v>662.26452696759281</v>
      </c>
      <c r="E36" s="142">
        <f>'P&amp;L$'!D73</f>
        <v>661.33994545806479</v>
      </c>
      <c r="F36" s="142">
        <f>'P&amp;L$'!E73</f>
        <v>660.41794194916088</v>
      </c>
      <c r="G36" s="142">
        <f>'P&amp;L$'!F73</f>
        <v>659.49850567357532</v>
      </c>
      <c r="H36" s="142">
        <f>'P&amp;L$'!G73</f>
        <v>658.5816259238801</v>
      </c>
      <c r="I36" s="142">
        <f>'P&amp;L$'!H73</f>
        <v>657.66729205210947</v>
      </c>
      <c r="J36" s="142">
        <f>'P&amp;L$'!I73</f>
        <v>656.75549346934758</v>
      </c>
      <c r="K36" s="142">
        <f>'P&amp;L$'!J73</f>
        <v>655.84621964531959</v>
      </c>
      <c r="L36" s="142">
        <f>'P&amp;L$'!K73</f>
        <v>654.93946010798641</v>
      </c>
      <c r="M36" s="142">
        <f>'P&amp;L$'!L73</f>
        <v>654.03520444314302</v>
      </c>
      <c r="N36" s="142">
        <f>'P&amp;L$'!M73</f>
        <v>653.13344229401912</v>
      </c>
      <c r="O36" s="142">
        <f>'P&amp;L$'!N73</f>
        <v>652.23416336088417</v>
      </c>
      <c r="P36" s="21">
        <f t="shared" si="3"/>
        <v>7886.7138213450826</v>
      </c>
      <c r="Q36" s="21"/>
      <c r="R36" s="21"/>
    </row>
    <row r="37" spans="1:18">
      <c r="A37" s="59" t="s">
        <v>590</v>
      </c>
      <c r="B37" s="59" t="s">
        <v>1198</v>
      </c>
      <c r="C37" s="66" t="s">
        <v>324</v>
      </c>
      <c r="D37" s="142">
        <f>'P&amp;L$'!C74</f>
        <v>650.6458510558806</v>
      </c>
      <c r="E37" s="142">
        <f>'P&amp;L$'!D74</f>
        <v>649.73749027458996</v>
      </c>
      <c r="F37" s="142">
        <f>'P&amp;L$'!E74</f>
        <v>648.83166226584228</v>
      </c>
      <c r="G37" s="142">
        <f>'P&amp;L$'!F74</f>
        <v>647.92835645123182</v>
      </c>
      <c r="H37" s="142">
        <f>'P&amp;L$'!G74</f>
        <v>647.02756231118042</v>
      </c>
      <c r="I37" s="142">
        <f>'P&amp;L$'!H74</f>
        <v>646.12926938452858</v>
      </c>
      <c r="J37" s="142">
        <f>'P&amp;L$'!I74</f>
        <v>645.23346726813099</v>
      </c>
      <c r="K37" s="142">
        <f>'P&amp;L$'!J74</f>
        <v>644.34014561645427</v>
      </c>
      <c r="L37" s="142">
        <f>'P&amp;L$'!K74</f>
        <v>643.44929414117973</v>
      </c>
      <c r="M37" s="142">
        <f>'P&amp;L$'!L74</f>
        <v>642.56090261080726</v>
      </c>
      <c r="N37" s="142">
        <f>'P&amp;L$'!M74</f>
        <v>641.67496085026437</v>
      </c>
      <c r="O37" s="142">
        <f>'P&amp;L$'!N74</f>
        <v>640.79145874051778</v>
      </c>
      <c r="P37" s="21">
        <f t="shared" si="3"/>
        <v>7748.3504209706089</v>
      </c>
      <c r="Q37" s="21"/>
      <c r="R37" s="21"/>
    </row>
    <row r="38" spans="1:18">
      <c r="A38" s="60" t="s">
        <v>788</v>
      </c>
      <c r="B38" s="60" t="s">
        <v>789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21"/>
      <c r="Q38" s="21"/>
      <c r="R38" s="21"/>
    </row>
    <row r="39" spans="1:18">
      <c r="A39" s="59" t="s">
        <v>592</v>
      </c>
      <c r="B39" s="59" t="s">
        <v>1199</v>
      </c>
      <c r="C39" s="66" t="s">
        <v>327</v>
      </c>
      <c r="D39" s="142">
        <f>'P&amp;L$'!C78</f>
        <v>640.42141625357397</v>
      </c>
      <c r="E39" s="142">
        <f>'P&amp;L$'!D78</f>
        <v>639.52732971313219</v>
      </c>
      <c r="F39" s="142">
        <f>'P&amp;L$'!E78</f>
        <v>638.63573614452184</v>
      </c>
      <c r="G39" s="142">
        <f>'P&amp;L$'!F78</f>
        <v>637.74662513556962</v>
      </c>
      <c r="H39" s="142">
        <f>'P&amp;L$'!G78</f>
        <v>636.85998633200472</v>
      </c>
      <c r="I39" s="142">
        <f>'P&amp;L$'!H78</f>
        <v>635.97580943705748</v>
      </c>
      <c r="J39" s="142">
        <f>'P&amp;L$'!I78</f>
        <v>635.09408421106036</v>
      </c>
      <c r="K39" s="142">
        <f>'P&amp;L$'!J78</f>
        <v>634.21480047105285</v>
      </c>
      <c r="L39" s="142">
        <f>'P&amp;L$'!K78</f>
        <v>633.33794809038977</v>
      </c>
      <c r="M39" s="142">
        <f>'P&amp;L$'!L78</f>
        <v>632.46351699835168</v>
      </c>
      <c r="N39" s="142">
        <f>'P&amp;L$'!M78</f>
        <v>631.59149717976027</v>
      </c>
      <c r="O39" s="142">
        <f>'P&amp;L$'!N78</f>
        <v>630.72187867459536</v>
      </c>
      <c r="P39" s="21">
        <f t="shared" si="3"/>
        <v>7626.59062864107</v>
      </c>
      <c r="Q39" s="21"/>
      <c r="R39" s="21"/>
    </row>
    <row r="40" spans="1:18">
      <c r="A40" s="59" t="s">
        <v>593</v>
      </c>
      <c r="B40" s="59" t="s">
        <v>1200</v>
      </c>
      <c r="C40" s="66" t="s">
        <v>329</v>
      </c>
      <c r="D40" s="142">
        <f>'P&amp;L$'!C79</f>
        <v>374.40021257901248</v>
      </c>
      <c r="E40" s="142">
        <f>'P&amp;L$'!D79</f>
        <v>373.87751583229266</v>
      </c>
      <c r="F40" s="142">
        <f>'P&amp;L$'!E79</f>
        <v>373.35627651525897</v>
      </c>
      <c r="G40" s="142">
        <f>'P&amp;L$'!F79</f>
        <v>372.83648854079456</v>
      </c>
      <c r="H40" s="142">
        <f>'P&amp;L$'!G79</f>
        <v>372.31814585563353</v>
      </c>
      <c r="I40" s="142">
        <f>'P&amp;L$'!H79</f>
        <v>371.80124244012592</v>
      </c>
      <c r="J40" s="142">
        <f>'P&amp;L$'!I79</f>
        <v>371.28577230800448</v>
      </c>
      <c r="K40" s="142">
        <f>'P&amp;L$'!J79</f>
        <v>370.77172950615397</v>
      </c>
      <c r="L40" s="142">
        <f>'P&amp;L$'!K79</f>
        <v>370.25910811438172</v>
      </c>
      <c r="M40" s="142">
        <f>'P&amp;L$'!L79</f>
        <v>369.74790224519023</v>
      </c>
      <c r="N40" s="142">
        <f>'P&amp;L$'!M79</f>
        <v>369.23810604355214</v>
      </c>
      <c r="O40" s="142">
        <f>'P&amp;L$'!N79</f>
        <v>368.72971368668652</v>
      </c>
      <c r="P40" s="21">
        <f t="shared" si="3"/>
        <v>4458.6222136670876</v>
      </c>
      <c r="Q40" s="21"/>
      <c r="R40" s="21"/>
    </row>
    <row r="41" spans="1:18">
      <c r="A41" s="59" t="s">
        <v>619</v>
      </c>
      <c r="B41" s="59" t="s">
        <v>1201</v>
      </c>
      <c r="C41" s="66" t="s">
        <v>331</v>
      </c>
      <c r="D41" s="142">
        <f>'P&amp;L$'!C80</f>
        <v>763.5793809177228</v>
      </c>
      <c r="E41" s="142">
        <f>'P&amp;L$'!D80</f>
        <v>762.51335465796524</v>
      </c>
      <c r="F41" s="142">
        <f>'P&amp;L$'!E80</f>
        <v>761.45030078769912</v>
      </c>
      <c r="G41" s="142">
        <f>'P&amp;L$'!F80</f>
        <v>760.39020689240999</v>
      </c>
      <c r="H41" s="142">
        <f>'P&amp;L$'!G80</f>
        <v>759.33306062662109</v>
      </c>
      <c r="I41" s="142">
        <f>'P&amp;L$'!H80</f>
        <v>758.27884971341462</v>
      </c>
      <c r="J41" s="142">
        <f>'P&amp;L$'!I80</f>
        <v>757.22756194395652</v>
      </c>
      <c r="K41" s="142">
        <f>'P&amp;L$'!J80</f>
        <v>756.17918517702458</v>
      </c>
      <c r="L41" s="142">
        <f>'P&amp;L$'!K80</f>
        <v>755.13370733854163</v>
      </c>
      <c r="M41" s="142">
        <f>'P&amp;L$'!L80</f>
        <v>754.09111642111156</v>
      </c>
      <c r="N41" s="142">
        <f>'P&amp;L$'!M80</f>
        <v>753.05140048356031</v>
      </c>
      <c r="O41" s="142">
        <f>'P&amp;L$'!N80</f>
        <v>752.01454765047902</v>
      </c>
      <c r="P41" s="21">
        <f t="shared" si="3"/>
        <v>9093.2426726105077</v>
      </c>
      <c r="Q41" s="21"/>
      <c r="R41" s="21"/>
    </row>
    <row r="42" spans="1:18">
      <c r="A42" s="59" t="s">
        <v>1292</v>
      </c>
      <c r="B42" s="59" t="s">
        <v>1202</v>
      </c>
      <c r="C42" s="66" t="s">
        <v>333</v>
      </c>
      <c r="D42" s="142">
        <f>'P&amp;L$'!C81</f>
        <v>232.37351823424308</v>
      </c>
      <c r="E42" s="142">
        <f>'P&amp;L$'!D81</f>
        <v>232.04910366949642</v>
      </c>
      <c r="F42" s="142">
        <f>'P&amp;L$'!E81</f>
        <v>231.72559366637225</v>
      </c>
      <c r="G42" s="142">
        <f>'P&amp;L$'!F81</f>
        <v>231.40298444686852</v>
      </c>
      <c r="H42" s="142">
        <f>'P&amp;L$'!G81</f>
        <v>231.08127225399301</v>
      </c>
      <c r="I42" s="142">
        <f>'P&amp;L$'!H81</f>
        <v>230.76045335161737</v>
      </c>
      <c r="J42" s="142">
        <f>'P&amp;L$'!I81</f>
        <v>230.44052402433249</v>
      </c>
      <c r="K42" s="142">
        <f>'P&amp;L$'!J81</f>
        <v>230.12148057730511</v>
      </c>
      <c r="L42" s="142">
        <f>'P&amp;L$'!K81</f>
        <v>229.80331933613559</v>
      </c>
      <c r="M42" s="142">
        <f>'P&amp;L$'!L81</f>
        <v>229.48603664671685</v>
      </c>
      <c r="N42" s="142">
        <f>'P&amp;L$'!M81</f>
        <v>229.16962887509442</v>
      </c>
      <c r="O42" s="142">
        <f>'P&amp;L$'!N81</f>
        <v>228.85409240732776</v>
      </c>
      <c r="P42" s="21">
        <f t="shared" si="3"/>
        <v>2767.2680074895029</v>
      </c>
      <c r="Q42" s="21"/>
      <c r="R42" s="21"/>
    </row>
    <row r="43" spans="1:18">
      <c r="A43" s="59" t="s">
        <v>560</v>
      </c>
      <c r="B43" s="59" t="s">
        <v>336</v>
      </c>
      <c r="C43" s="66" t="s">
        <v>335</v>
      </c>
      <c r="D43" s="142">
        <f>'P&amp;L$'!C82</f>
        <v>4248.9497809131344</v>
      </c>
      <c r="E43" s="142">
        <f>'P&amp;L$'!D82</f>
        <v>4243.0178605967421</v>
      </c>
      <c r="F43" s="142">
        <f>'P&amp;L$'!E82</f>
        <v>4237.1024801896165</v>
      </c>
      <c r="G43" s="142">
        <f>'P&amp;L$'!F82</f>
        <v>4231.2035706109909</v>
      </c>
      <c r="H43" s="142">
        <f>'P&amp;L$'!G82</f>
        <v>4225.3210631642623</v>
      </c>
      <c r="I43" s="142">
        <f>'P&amp;L$'!H82</f>
        <v>4219.4548895343232</v>
      </c>
      <c r="J43" s="142">
        <f>'P&amp;L$'!I82</f>
        <v>4213.6049817849198</v>
      </c>
      <c r="K43" s="142">
        <f>'P&amp;L$'!J82</f>
        <v>4207.7712723560235</v>
      </c>
      <c r="L43" s="142">
        <f>'P&amp;L$'!K82</f>
        <v>4201.9536940612397</v>
      </c>
      <c r="M43" s="142">
        <f>'P&amp;L$'!L82</f>
        <v>4196.1521800852179</v>
      </c>
      <c r="N43" s="142">
        <f>'P&amp;L$'!M82</f>
        <v>4190.3666639811017</v>
      </c>
      <c r="O43" s="142">
        <f>'P&amp;L$'!N82</f>
        <v>4184.5970796679885</v>
      </c>
      <c r="P43" s="21">
        <f t="shared" si="3"/>
        <v>50599.495516945564</v>
      </c>
      <c r="Q43" s="21"/>
      <c r="R43" s="21"/>
    </row>
    <row r="44" spans="1:18">
      <c r="A44" s="59" t="s">
        <v>620</v>
      </c>
      <c r="B44" s="59" t="s">
        <v>338</v>
      </c>
      <c r="C44" s="66" t="s">
        <v>337</v>
      </c>
      <c r="D44" s="142">
        <f>'P&amp;L$'!C83</f>
        <v>573.9625900385804</v>
      </c>
      <c r="E44" s="142">
        <f>'P&amp;L$'!D83</f>
        <v>573.16128606365612</v>
      </c>
      <c r="F44" s="142">
        <f>'P&amp;L$'!E83</f>
        <v>572.36221635593938</v>
      </c>
      <c r="G44" s="142">
        <f>'P&amp;L$'!F83</f>
        <v>571.56537158376523</v>
      </c>
      <c r="H44" s="142">
        <f>'P&amp;L$'!G83</f>
        <v>570.77074246736277</v>
      </c>
      <c r="I44" s="142">
        <f>'P&amp;L$'!H83</f>
        <v>569.97831977849489</v>
      </c>
      <c r="J44" s="142">
        <f>'P&amp;L$'!I83</f>
        <v>569.1880943401012</v>
      </c>
      <c r="K44" s="142">
        <f>'P&amp;L$'!J83</f>
        <v>568.40005702594362</v>
      </c>
      <c r="L44" s="142">
        <f>'P&amp;L$'!K83</f>
        <v>567.61419876025491</v>
      </c>
      <c r="M44" s="142">
        <f>'P&amp;L$'!L83</f>
        <v>566.83051051739062</v>
      </c>
      <c r="N44" s="142">
        <f>'P&amp;L$'!M83</f>
        <v>566.04898332148321</v>
      </c>
      <c r="O44" s="142">
        <f>'P&amp;L$'!N83</f>
        <v>565.26960824609955</v>
      </c>
      <c r="P44" s="21">
        <f t="shared" si="3"/>
        <v>6835.1519784990724</v>
      </c>
      <c r="Q44" s="21"/>
      <c r="R44" s="21"/>
    </row>
    <row r="45" spans="1:18">
      <c r="A45" s="59" t="s">
        <v>621</v>
      </c>
      <c r="B45" s="59" t="s">
        <v>340</v>
      </c>
      <c r="C45" s="66" t="s">
        <v>339</v>
      </c>
      <c r="D45" s="142">
        <f>'P&amp;L$'!C84</f>
        <v>69.712055470272929</v>
      </c>
      <c r="E45" s="142">
        <f>'P&amp;L$'!D84</f>
        <v>69.614731100848928</v>
      </c>
      <c r="F45" s="142">
        <f>'P&amp;L$'!E84</f>
        <v>69.517678099911677</v>
      </c>
      <c r="G45" s="142">
        <f>'P&amp;L$'!F84</f>
        <v>69.42089533406056</v>
      </c>
      <c r="H45" s="142">
        <f>'P&amp;L$'!G84</f>
        <v>69.324381676197902</v>
      </c>
      <c r="I45" s="142">
        <f>'P&amp;L$'!H84</f>
        <v>69.228136005485212</v>
      </c>
      <c r="J45" s="142">
        <f>'P&amp;L$'!I84</f>
        <v>69.132157207299741</v>
      </c>
      <c r="K45" s="142">
        <f>'P&amp;L$'!J84</f>
        <v>69.036444173191526</v>
      </c>
      <c r="L45" s="142">
        <f>'P&amp;L$'!K84</f>
        <v>68.940995800840682</v>
      </c>
      <c r="M45" s="142">
        <f>'P&amp;L$'!L84</f>
        <v>68.845810994015054</v>
      </c>
      <c r="N45" s="142">
        <f>'P&amp;L$'!M84</f>
        <v>68.750888662528325</v>
      </c>
      <c r="O45" s="142">
        <f>'P&amp;L$'!N84</f>
        <v>68.656227722198324</v>
      </c>
      <c r="P45" s="21">
        <f t="shared" si="3"/>
        <v>830.18040224685092</v>
      </c>
      <c r="Q45" s="21"/>
      <c r="R45" s="21"/>
    </row>
    <row r="46" spans="1:18">
      <c r="A46" s="59" t="s">
        <v>624</v>
      </c>
      <c r="B46" s="59" t="s">
        <v>346</v>
      </c>
      <c r="C46" s="66" t="s">
        <v>345</v>
      </c>
      <c r="D46" s="142">
        <f>'P&amp;L$'!C87</f>
        <v>487.70554007002943</v>
      </c>
      <c r="E46" s="142">
        <f>'P&amp;L$'!D87</f>
        <v>487.02465878153913</v>
      </c>
      <c r="F46" s="142">
        <f>'P&amp;L$'!E87</f>
        <v>486.34567598698209</v>
      </c>
      <c r="G46" s="142">
        <f>'P&amp;L$'!F87</f>
        <v>485.66858375708767</v>
      </c>
      <c r="H46" s="142">
        <f>'P&amp;L$'!G87</f>
        <v>484.99337420668058</v>
      </c>
      <c r="I46" s="142">
        <f>'P&amp;L$'!H87</f>
        <v>484.32003949437456</v>
      </c>
      <c r="J46" s="142">
        <f>'P&amp;L$'!I87</f>
        <v>483.64857182226905</v>
      </c>
      <c r="K46" s="142">
        <f>'P&amp;L$'!J87</f>
        <v>482.97896343564798</v>
      </c>
      <c r="L46" s="142">
        <f>'P&amp;L$'!K87</f>
        <v>482.31120662268142</v>
      </c>
      <c r="M46" s="142">
        <f>'P&amp;L$'!L87</f>
        <v>481.64529371412937</v>
      </c>
      <c r="N46" s="142">
        <f>'P&amp;L$'!M87</f>
        <v>480.98121708304825</v>
      </c>
      <c r="O46" s="142">
        <f>'P&amp;L$'!N87</f>
        <v>480.31896914449953</v>
      </c>
      <c r="P46" s="21">
        <f t="shared" si="3"/>
        <v>5807.9420941189692</v>
      </c>
      <c r="Q46" s="21"/>
      <c r="R46" s="21"/>
    </row>
    <row r="47" spans="1:18">
      <c r="A47" s="59" t="s">
        <v>625</v>
      </c>
      <c r="B47" s="59" t="s">
        <v>348</v>
      </c>
      <c r="C47" s="66" t="s">
        <v>347</v>
      </c>
      <c r="D47" s="142">
        <f>'P&amp;L$'!C88</f>
        <v>2290.7381427531682</v>
      </c>
      <c r="E47" s="142">
        <f>'P&amp;L$'!D88</f>
        <v>2287.5400639738959</v>
      </c>
      <c r="F47" s="142">
        <f>'P&amp;L$'!E88</f>
        <v>2284.3509023630977</v>
      </c>
      <c r="G47" s="142">
        <f>'P&amp;L$'!F88</f>
        <v>2281.1706206772296</v>
      </c>
      <c r="H47" s="142">
        <f>'P&amp;L$'!G88</f>
        <v>2277.999181879863</v>
      </c>
      <c r="I47" s="142">
        <f>'P&amp;L$'!H88</f>
        <v>2274.8365491402442</v>
      </c>
      <c r="J47" s="142">
        <f>'P&amp;L$'!I88</f>
        <v>2271.6826858318695</v>
      </c>
      <c r="K47" s="142">
        <f>'P&amp;L$'!J88</f>
        <v>2268.5375555310738</v>
      </c>
      <c r="L47" s="142">
        <f>'P&amp;L$'!K88</f>
        <v>2265.4011220156249</v>
      </c>
      <c r="M47" s="142">
        <f>'P&amp;L$'!L88</f>
        <v>2262.2733492633347</v>
      </c>
      <c r="N47" s="142">
        <f>'P&amp;L$'!M88</f>
        <v>2259.1542014506808</v>
      </c>
      <c r="O47" s="142">
        <f>'P&amp;L$'!N88</f>
        <v>2256.0436429514371</v>
      </c>
      <c r="P47" s="21">
        <f t="shared" si="3"/>
        <v>27279.728017831516</v>
      </c>
      <c r="Q47" s="21"/>
      <c r="R47" s="21"/>
    </row>
    <row r="48" spans="1:18">
      <c r="A48" s="59" t="s">
        <v>626</v>
      </c>
      <c r="B48" s="59" t="s">
        <v>350</v>
      </c>
      <c r="C48" s="66" t="s">
        <v>349</v>
      </c>
      <c r="D48" s="142">
        <f>'P&amp;L$'!C89</f>
        <v>1133.0532749101692</v>
      </c>
      <c r="E48" s="142">
        <f>'P&amp;L$'!D89</f>
        <v>1131.4714294924645</v>
      </c>
      <c r="F48" s="142">
        <f>'P&amp;L$'!E89</f>
        <v>1129.893994717231</v>
      </c>
      <c r="G48" s="142">
        <f>'P&amp;L$'!F89</f>
        <v>1128.320952162931</v>
      </c>
      <c r="H48" s="142">
        <f>'P&amp;L$'!G89</f>
        <v>1126.7522835104699</v>
      </c>
      <c r="I48" s="142">
        <f>'P&amp;L$'!H89</f>
        <v>1125.1879705424863</v>
      </c>
      <c r="J48" s="142">
        <f>'P&amp;L$'!I89</f>
        <v>1123.6279951426452</v>
      </c>
      <c r="K48" s="142">
        <f>'P&amp;L$'!J89</f>
        <v>1122.0723392949396</v>
      </c>
      <c r="L48" s="142">
        <f>'P&amp;L$'!K89</f>
        <v>1120.5209850829972</v>
      </c>
      <c r="M48" s="142">
        <f>'P&amp;L$'!L89</f>
        <v>1118.9739146893914</v>
      </c>
      <c r="N48" s="142">
        <f>'P&amp;L$'!M89</f>
        <v>1117.4311103949603</v>
      </c>
      <c r="O48" s="142">
        <f>'P&amp;L$'!N89</f>
        <v>1115.8925545781301</v>
      </c>
      <c r="P48" s="21">
        <f t="shared" si="3"/>
        <v>13493.198804518817</v>
      </c>
      <c r="Q48" s="21"/>
      <c r="R48" s="21"/>
    </row>
    <row r="49" spans="1:112">
      <c r="A49" s="59" t="str">
        <f>Oheads!B38</f>
        <v>Enron &amp; Polpac</v>
      </c>
      <c r="B49" s="59" t="s">
        <v>1238</v>
      </c>
      <c r="C49" s="66" t="s">
        <v>351</v>
      </c>
      <c r="D49" s="142">
        <f>'P&amp;L$'!C90</f>
        <v>1170.0006643094139</v>
      </c>
      <c r="E49" s="142">
        <f>'P&amp;L$'!D90</f>
        <v>1168.3672369759145</v>
      </c>
      <c r="F49" s="142">
        <f>'P&amp;L$'!E90</f>
        <v>1166.7383641101842</v>
      </c>
      <c r="G49" s="142">
        <f>'P&amp;L$'!F90</f>
        <v>1165.1140266899829</v>
      </c>
      <c r="H49" s="142">
        <f>'P&amp;L$'!G90</f>
        <v>1163.4942057988549</v>
      </c>
      <c r="I49" s="142">
        <f>'P&amp;L$'!H90</f>
        <v>1161.8788826253935</v>
      </c>
      <c r="J49" s="142">
        <f>'P&amp;L$'!I90</f>
        <v>1160.2680384625141</v>
      </c>
      <c r="K49" s="142">
        <f>'P&amp;L$'!J90</f>
        <v>1158.6616547067313</v>
      </c>
      <c r="L49" s="142">
        <f>'P&amp;L$'!K90</f>
        <v>1157.0597128574427</v>
      </c>
      <c r="M49" s="142">
        <f>'P&amp;L$'!L90</f>
        <v>1155.4621945162194</v>
      </c>
      <c r="N49" s="142">
        <f>'P&amp;L$'!M90</f>
        <v>1153.8690813861003</v>
      </c>
      <c r="O49" s="142">
        <f>'P&amp;L$'!N90</f>
        <v>1152.2803552708954</v>
      </c>
      <c r="P49" s="21">
        <f t="shared" si="3"/>
        <v>13933.194417709647</v>
      </c>
      <c r="Q49" s="21"/>
      <c r="R49" s="21"/>
    </row>
    <row r="50" spans="1:112">
      <c r="A50" s="59" t="s">
        <v>628</v>
      </c>
      <c r="B50" s="59" t="s">
        <v>354</v>
      </c>
      <c r="C50" s="66" t="s">
        <v>353</v>
      </c>
      <c r="D50" s="142">
        <f>'P&amp;L$'!C91</f>
        <v>3941.0548692527627</v>
      </c>
      <c r="E50" s="142">
        <f>'P&amp;L$'!D91</f>
        <v>3935.5527982346593</v>
      </c>
      <c r="F50" s="142">
        <f>'P&amp;L$'!E91</f>
        <v>3930.0660685816729</v>
      </c>
      <c r="G50" s="142">
        <f>'P&amp;L$'!F91</f>
        <v>3924.5946162188902</v>
      </c>
      <c r="H50" s="142">
        <f>'P&amp;L$'!G91</f>
        <v>3919.1383774277215</v>
      </c>
      <c r="I50" s="142">
        <f>'P&amp;L$'!H91</f>
        <v>3913.6972888434307</v>
      </c>
      <c r="J50" s="142">
        <f>'P&amp;L$'!I91</f>
        <v>3908.2712874526787</v>
      </c>
      <c r="K50" s="142">
        <f>'P&amp;L$'!J91</f>
        <v>3902.8603105910947</v>
      </c>
      <c r="L50" s="142">
        <f>'P&amp;L$'!K91</f>
        <v>3897.4642959408598</v>
      </c>
      <c r="M50" s="142">
        <f>'P&amp;L$'!L91</f>
        <v>3892.0831815283177</v>
      </c>
      <c r="N50" s="142">
        <f>'P&amp;L$'!M91</f>
        <v>3886.7169057216015</v>
      </c>
      <c r="O50" s="142">
        <f>'P&amp;L$'!N91</f>
        <v>3881.3654072282789</v>
      </c>
      <c r="P50" s="21">
        <f t="shared" si="3"/>
        <v>46932.865407021971</v>
      </c>
      <c r="Q50" s="21"/>
      <c r="R50" s="21"/>
    </row>
    <row r="51" spans="1:112">
      <c r="A51" s="59" t="s">
        <v>817</v>
      </c>
      <c r="B51" s="59" t="s">
        <v>356</v>
      </c>
      <c r="C51" s="66" t="s">
        <v>355</v>
      </c>
      <c r="D51" s="142">
        <f>'P&amp;L$'!C92</f>
        <v>2463.1592932829767</v>
      </c>
      <c r="E51" s="142">
        <f>'P&amp;L$'!D92</f>
        <v>2459.7204988966619</v>
      </c>
      <c r="F51" s="142">
        <f>'P&amp;L$'!E92</f>
        <v>2456.2912928635456</v>
      </c>
      <c r="G51" s="142">
        <f>'P&amp;L$'!F92</f>
        <v>2452.8716351368062</v>
      </c>
      <c r="H51" s="142">
        <f>'P&amp;L$'!G92</f>
        <v>2449.461485892326</v>
      </c>
      <c r="I51" s="142">
        <f>'P&amp;L$'!H92</f>
        <v>2446.0608055271441</v>
      </c>
      <c r="J51" s="142">
        <f>'P&amp;L$'!I92</f>
        <v>2442.6695546579244</v>
      </c>
      <c r="K51" s="142">
        <f>'P&amp;L$'!J92</f>
        <v>2439.287694119434</v>
      </c>
      <c r="L51" s="142">
        <f>'P&amp;L$'!K92</f>
        <v>2435.9151849630375</v>
      </c>
      <c r="M51" s="142">
        <f>'P&amp;L$'!L92</f>
        <v>2432.5519884551986</v>
      </c>
      <c r="N51" s="142">
        <f>'P&amp;L$'!M92</f>
        <v>2429.1980660760009</v>
      </c>
      <c r="O51" s="142">
        <f>'P&amp;L$'!N92</f>
        <v>2425.8533795176741</v>
      </c>
      <c r="P51" s="21">
        <f t="shared" si="3"/>
        <v>29333.040879388729</v>
      </c>
      <c r="Q51" s="21"/>
      <c r="R51" s="21"/>
    </row>
    <row r="52" spans="1:112">
      <c r="A52" s="59" t="s">
        <v>630</v>
      </c>
      <c r="B52" s="59" t="s">
        <v>509</v>
      </c>
      <c r="C52" s="56" t="s">
        <v>508</v>
      </c>
      <c r="D52" s="142">
        <f>'P&amp;L$'!C93</f>
        <v>394.1054869252763</v>
      </c>
      <c r="E52" s="142">
        <f>'P&amp;L$'!D93</f>
        <v>393.55527982346592</v>
      </c>
      <c r="F52" s="142">
        <f>'P&amp;L$'!E93</f>
        <v>393.00660685816729</v>
      </c>
      <c r="G52" s="142">
        <f>'P&amp;L$'!F93</f>
        <v>392.45946162188903</v>
      </c>
      <c r="H52" s="142">
        <f>'P&amp;L$'!G93</f>
        <v>391.91383774277216</v>
      </c>
      <c r="I52" s="142">
        <f>'P&amp;L$'!H93</f>
        <v>391.36972888434303</v>
      </c>
      <c r="J52" s="142">
        <f>'P&amp;L$'!I93</f>
        <v>390.82712874526788</v>
      </c>
      <c r="K52" s="142">
        <f>'P&amp;L$'!J93</f>
        <v>390.28603105910946</v>
      </c>
      <c r="L52" s="142">
        <f>'P&amp;L$'!K93</f>
        <v>389.74642959408595</v>
      </c>
      <c r="M52" s="142">
        <f>'P&amp;L$'!L93</f>
        <v>389.20831815283179</v>
      </c>
      <c r="N52" s="142">
        <f>'P&amp;L$'!M93</f>
        <v>388.67169057216017</v>
      </c>
      <c r="O52" s="142">
        <f>'P&amp;L$'!N93</f>
        <v>388.13654072282787</v>
      </c>
      <c r="P52" s="21">
        <f t="shared" si="3"/>
        <v>4693.2865407021973</v>
      </c>
      <c r="Q52" s="21"/>
      <c r="R52" s="21"/>
    </row>
    <row r="53" spans="1:112">
      <c r="A53" s="59" t="s">
        <v>631</v>
      </c>
      <c r="B53" s="59" t="s">
        <v>358</v>
      </c>
      <c r="C53" s="66" t="s">
        <v>357</v>
      </c>
      <c r="D53" s="142">
        <f>'P&amp;L$'!C94</f>
        <v>464.74703646848616</v>
      </c>
      <c r="E53" s="142">
        <f>'P&amp;L$'!D94</f>
        <v>464.09820733899284</v>
      </c>
      <c r="F53" s="142">
        <f>'P&amp;L$'!E94</f>
        <v>463.4511873327445</v>
      </c>
      <c r="G53" s="142">
        <f>'P&amp;L$'!F94</f>
        <v>462.80596889373703</v>
      </c>
      <c r="H53" s="142">
        <f>'P&amp;L$'!G94</f>
        <v>462.16254450798601</v>
      </c>
      <c r="I53" s="142">
        <f>'P&amp;L$'!H94</f>
        <v>461.52090670323474</v>
      </c>
      <c r="J53" s="142">
        <f>'P&amp;L$'!I94</f>
        <v>460.88104804866498</v>
      </c>
      <c r="K53" s="142">
        <f>'P&amp;L$'!J94</f>
        <v>460.24296115461021</v>
      </c>
      <c r="L53" s="142">
        <f>'P&amp;L$'!K94</f>
        <v>459.60663867227117</v>
      </c>
      <c r="M53" s="142">
        <f>'P&amp;L$'!L94</f>
        <v>458.97207329343371</v>
      </c>
      <c r="N53" s="142">
        <f>'P&amp;L$'!M94</f>
        <v>458.33925775018884</v>
      </c>
      <c r="O53" s="142">
        <f>'P&amp;L$'!N94</f>
        <v>457.70818481465551</v>
      </c>
      <c r="P53" s="21">
        <f t="shared" si="3"/>
        <v>5534.5360149790058</v>
      </c>
      <c r="Q53" s="21"/>
      <c r="R53" s="21"/>
    </row>
    <row r="54" spans="1:112" s="136" customFormat="1" ht="13.5" thickBot="1">
      <c r="A54" s="304" t="s">
        <v>785</v>
      </c>
      <c r="B54" s="304" t="s">
        <v>784</v>
      </c>
      <c r="D54" s="10">
        <f>SUM(D26:D53)</f>
        <v>61651.492819674531</v>
      </c>
      <c r="E54" s="10">
        <f t="shared" ref="E54:O54" si="4">SUM(E26:E53)</f>
        <v>61616.040147209911</v>
      </c>
      <c r="F54" s="10">
        <f t="shared" si="4"/>
        <v>61580.686327048505</v>
      </c>
      <c r="G54" s="10">
        <f t="shared" si="4"/>
        <v>61545.430946322689</v>
      </c>
      <c r="H54" s="10">
        <f t="shared" si="4"/>
        <v>63711.723594460862</v>
      </c>
      <c r="I54" s="10">
        <f t="shared" si="4"/>
        <v>63676.663863171452</v>
      </c>
      <c r="J54" s="10">
        <f t="shared" si="4"/>
        <v>63493.15134642709</v>
      </c>
      <c r="K54" s="10">
        <f t="shared" si="4"/>
        <v>63458.285640449059</v>
      </c>
      <c r="L54" s="10">
        <f t="shared" si="4"/>
        <v>63423.516343691575</v>
      </c>
      <c r="M54" s="10">
        <f t="shared" si="4"/>
        <v>63388.843056826518</v>
      </c>
      <c r="N54" s="10">
        <f t="shared" si="4"/>
        <v>61552.865382728072</v>
      </c>
      <c r="O54" s="10">
        <f t="shared" si="4"/>
        <v>61518.382926457591</v>
      </c>
      <c r="P54" s="10">
        <f>SUM(P26:P53)</f>
        <v>750617.08239446778</v>
      </c>
      <c r="Q54" s="6"/>
      <c r="R54" s="6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</row>
    <row r="55" spans="1:112" ht="27" customHeight="1" thickTop="1">
      <c r="P55" s="21"/>
      <c r="Q55" s="21"/>
      <c r="R55" s="21"/>
    </row>
    <row r="56" spans="1:112">
      <c r="A56" s="133" t="s">
        <v>798</v>
      </c>
      <c r="B56" s="60" t="s">
        <v>799</v>
      </c>
      <c r="C56" s="302" t="s">
        <v>794</v>
      </c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21"/>
      <c r="R56" s="21"/>
    </row>
    <row r="57" spans="1:112">
      <c r="A57" s="59" t="s">
        <v>632</v>
      </c>
      <c r="B57" s="59" t="s">
        <v>362</v>
      </c>
      <c r="C57" s="66" t="s">
        <v>1203</v>
      </c>
      <c r="D57" s="142">
        <f>'P&amp;L$'!C98</f>
        <v>2025.1352114114286</v>
      </c>
      <c r="E57" s="142">
        <f>'P&amp;L$'!D98</f>
        <v>2022.3079384796613</v>
      </c>
      <c r="F57" s="142">
        <f>'P&amp;L$'!E98</f>
        <v>2019.488548802434</v>
      </c>
      <c r="G57" s="142">
        <f>'P&amp;L$'!F98</f>
        <v>2016.677009454459</v>
      </c>
      <c r="H57" s="142">
        <f>'P&amp;L$'!G98</f>
        <v>2013.8732876935492</v>
      </c>
      <c r="I57" s="142">
        <f>'P&amp;L$'!H98</f>
        <v>2011.0773509593453</v>
      </c>
      <c r="J57" s="142">
        <f>'P&amp;L$'!I98</f>
        <v>2008.2891668720576</v>
      </c>
      <c r="K57" s="142">
        <f>'P&amp;L$'!J98</f>
        <v>2005.508703231214</v>
      </c>
      <c r="L57" s="142">
        <f>'P&amp;L$'!K98</f>
        <v>2002.7359280144217</v>
      </c>
      <c r="M57" s="142">
        <f>'P&amp;L$'!L98</f>
        <v>1999.9708093761374</v>
      </c>
      <c r="N57" s="142">
        <f>'P&amp;L$'!M98</f>
        <v>1997.2133156464479</v>
      </c>
      <c r="O57" s="142">
        <f>'P&amp;L$'!N98</f>
        <v>1994.4634153298614</v>
      </c>
      <c r="P57" s="21">
        <f>SUM(D57:O57)</f>
        <v>24116.740685271019</v>
      </c>
      <c r="Q57" s="21"/>
      <c r="R57" s="21"/>
    </row>
    <row r="58" spans="1:112">
      <c r="A58" s="57" t="s">
        <v>562</v>
      </c>
      <c r="B58" s="57" t="s">
        <v>364</v>
      </c>
      <c r="C58" s="66" t="s">
        <v>363</v>
      </c>
      <c r="D58" s="142">
        <f>'P&amp;L$'!C99</f>
        <v>19854.922892006667</v>
      </c>
      <c r="E58" s="142">
        <f>'P&amp;L$'!D99</f>
        <v>19827.203613936454</v>
      </c>
      <c r="F58" s="142">
        <f>'P&amp;L$'!E99</f>
        <v>19799.561625229508</v>
      </c>
      <c r="G58" s="142">
        <f>'P&amp;L$'!F99</f>
        <v>19771.996603078234</v>
      </c>
      <c r="H58" s="142">
        <f>'P&amp;L$'!G99</f>
        <v>19744.508226470178</v>
      </c>
      <c r="I58" s="142">
        <f>'P&amp;L$'!H99</f>
        <v>19717.096176175593</v>
      </c>
      <c r="J58" s="142">
        <f>'P&amp;L$'!I99</f>
        <v>19689.760134735065</v>
      </c>
      <c r="K58" s="142">
        <f>'P&amp;L$'!J99</f>
        <v>19662.499786447257</v>
      </c>
      <c r="L58" s="142">
        <f>'P&amp;L$'!K99</f>
        <v>19635.314817356772</v>
      </c>
      <c r="M58" s="142">
        <f>'P&amp;L$'!L99</f>
        <v>19608.204915242077</v>
      </c>
      <c r="N58" s="142">
        <f>'P&amp;L$'!M99</f>
        <v>19581.16976960357</v>
      </c>
      <c r="O58" s="142">
        <f>'P&amp;L$'!N99</f>
        <v>19554.209071651712</v>
      </c>
      <c r="P58" s="21">
        <f t="shared" ref="P58:P68" si="5">SUM(D58:O58)</f>
        <v>236446.44763193306</v>
      </c>
      <c r="Q58" s="21"/>
      <c r="R58" s="21"/>
    </row>
    <row r="59" spans="1:112">
      <c r="A59" s="57" t="s">
        <v>158</v>
      </c>
      <c r="B59" s="57" t="s">
        <v>158</v>
      </c>
      <c r="C59" s="66" t="s">
        <v>365</v>
      </c>
      <c r="D59" s="142">
        <f>'P&amp;L$'!C100</f>
        <v>580.93379558560775</v>
      </c>
      <c r="E59" s="142">
        <f>'P&amp;L$'!D100</f>
        <v>580.12275917374109</v>
      </c>
      <c r="F59" s="142">
        <f>'P&amp;L$'!E100</f>
        <v>579.31398416593061</v>
      </c>
      <c r="G59" s="142">
        <f>'P&amp;L$'!F100</f>
        <v>578.50746111717126</v>
      </c>
      <c r="H59" s="142">
        <f>'P&amp;L$'!G100</f>
        <v>577.70318063498257</v>
      </c>
      <c r="I59" s="142">
        <f>'P&amp;L$'!H100</f>
        <v>576.90113337904347</v>
      </c>
      <c r="J59" s="142">
        <f>'P&amp;L$'!I100</f>
        <v>576.10131006083122</v>
      </c>
      <c r="K59" s="142">
        <f>'P&amp;L$'!J100</f>
        <v>575.30370144326275</v>
      </c>
      <c r="L59" s="142">
        <f>'P&amp;L$'!K100</f>
        <v>574.50829834033902</v>
      </c>
      <c r="M59" s="142">
        <f>'P&amp;L$'!L100</f>
        <v>573.71509161679217</v>
      </c>
      <c r="N59" s="142">
        <f>'P&amp;L$'!M100</f>
        <v>572.9240721877361</v>
      </c>
      <c r="O59" s="142">
        <f>'P&amp;L$'!N100</f>
        <v>572.13523101831936</v>
      </c>
      <c r="P59" s="21">
        <f t="shared" si="5"/>
        <v>6918.1700187237566</v>
      </c>
      <c r="Q59" s="21"/>
      <c r="R59" s="21"/>
    </row>
    <row r="60" spans="1:112">
      <c r="A60" s="57" t="s">
        <v>634</v>
      </c>
      <c r="B60" s="57" t="s">
        <v>369</v>
      </c>
      <c r="C60" s="66" t="s">
        <v>368</v>
      </c>
      <c r="D60" s="142">
        <f>'P&amp;L$'!C102</f>
        <v>2521.2526728415373</v>
      </c>
      <c r="E60" s="142">
        <f>'P&amp;L$'!D102</f>
        <v>2517.732774814036</v>
      </c>
      <c r="F60" s="142">
        <f>'P&amp;L$'!E102</f>
        <v>2514.2226912801389</v>
      </c>
      <c r="G60" s="142">
        <f>'P&amp;L$'!F102</f>
        <v>2510.7223812485236</v>
      </c>
      <c r="H60" s="142">
        <f>'P&amp;L$'!G102</f>
        <v>2507.231803955824</v>
      </c>
      <c r="I60" s="142">
        <f>'P&amp;L$'!H102</f>
        <v>2503.7509188650483</v>
      </c>
      <c r="J60" s="142">
        <f>'P&amp;L$'!I102</f>
        <v>2500.2796856640075</v>
      </c>
      <c r="K60" s="142">
        <f>'P&amp;L$'!J102</f>
        <v>2496.8180642637603</v>
      </c>
      <c r="L60" s="142">
        <f>'P&amp;L$'!K102</f>
        <v>2493.3660147970713</v>
      </c>
      <c r="M60" s="142">
        <f>'P&amp;L$'!L102</f>
        <v>2489.9234976168777</v>
      </c>
      <c r="N60" s="142">
        <f>'P&amp;L$'!M102</f>
        <v>2486.4904732947743</v>
      </c>
      <c r="O60" s="142">
        <f>'P&amp;L$'!N102</f>
        <v>2483.066902619506</v>
      </c>
      <c r="P60" s="21">
        <f t="shared" si="5"/>
        <v>30024.857881261105</v>
      </c>
      <c r="Q60" s="21"/>
      <c r="R60" s="21"/>
    </row>
    <row r="61" spans="1:112">
      <c r="A61" s="57" t="s">
        <v>635</v>
      </c>
      <c r="B61" s="57" t="s">
        <v>371</v>
      </c>
      <c r="C61" s="66" t="s">
        <v>370</v>
      </c>
      <c r="D61" s="142">
        <f>'P&amp;L$'!C103</f>
        <v>220.75484232253092</v>
      </c>
      <c r="E61" s="142">
        <f>'P&amp;L$'!D103</f>
        <v>220.44664848602162</v>
      </c>
      <c r="F61" s="142">
        <f>'P&amp;L$'!E103</f>
        <v>220.13931398305363</v>
      </c>
      <c r="G61" s="142">
        <f>'P&amp;L$'!F103</f>
        <v>219.8328352245251</v>
      </c>
      <c r="H61" s="142">
        <f>'P&amp;L$'!G103</f>
        <v>219.52720864129336</v>
      </c>
      <c r="I61" s="142">
        <f>'P&amp;L$'!H103</f>
        <v>219.22243068403651</v>
      </c>
      <c r="J61" s="142">
        <f>'P&amp;L$'!I103</f>
        <v>218.91849782311584</v>
      </c>
      <c r="K61" s="142">
        <f>'P&amp;L$'!J103</f>
        <v>218.61540654843986</v>
      </c>
      <c r="L61" s="142">
        <f>'P&amp;L$'!K103</f>
        <v>218.31315336932883</v>
      </c>
      <c r="M61" s="142">
        <f>'P&amp;L$'!L103</f>
        <v>218.01173481438101</v>
      </c>
      <c r="N61" s="142">
        <f>'P&amp;L$'!M103</f>
        <v>217.7111474313397</v>
      </c>
      <c r="O61" s="142">
        <f>'P&amp;L$'!N103</f>
        <v>217.41138778696137</v>
      </c>
      <c r="P61" s="21">
        <f t="shared" si="5"/>
        <v>2628.9046071150274</v>
      </c>
      <c r="Q61" s="21"/>
      <c r="R61" s="21"/>
    </row>
    <row r="62" spans="1:112">
      <c r="A62" s="57" t="s">
        <v>636</v>
      </c>
      <c r="B62" s="57" t="s">
        <v>373</v>
      </c>
      <c r="C62" s="66" t="s">
        <v>372</v>
      </c>
      <c r="D62" s="142">
        <f>'P&amp;L$'!C104</f>
        <v>372.26237621125745</v>
      </c>
      <c r="E62" s="142">
        <f>'P&amp;L$'!D104</f>
        <v>371.74266407853327</v>
      </c>
      <c r="F62" s="142">
        <f>'P&amp;L$'!E104</f>
        <v>371.22440105352831</v>
      </c>
      <c r="G62" s="142">
        <f>'P&amp;L$'!F104</f>
        <v>370.70758108388338</v>
      </c>
      <c r="H62" s="142">
        <f>'P&amp;L$'!G104</f>
        <v>370.19219815089679</v>
      </c>
      <c r="I62" s="142">
        <f>'P&amp;L$'!H104</f>
        <v>369.67824626929104</v>
      </c>
      <c r="J62" s="142">
        <f>'P&amp;L$'!I104</f>
        <v>369.16571948698061</v>
      </c>
      <c r="K62" s="142">
        <f>'P&amp;L$'!J104</f>
        <v>368.65461188484278</v>
      </c>
      <c r="L62" s="142">
        <f>'P&amp;L$'!K104</f>
        <v>368.14491757648921</v>
      </c>
      <c r="M62" s="142">
        <f>'P&amp;L$'!L104</f>
        <v>367.6366307080404</v>
      </c>
      <c r="N62" s="142">
        <f>'P&amp;L$'!M104</f>
        <v>367.12974545790127</v>
      </c>
      <c r="O62" s="142">
        <f>'P&amp;L$'!N104</f>
        <v>366.62425603653907</v>
      </c>
      <c r="P62" s="21">
        <f t="shared" si="5"/>
        <v>4433.1633479981829</v>
      </c>
      <c r="Q62" s="21"/>
      <c r="R62" s="21"/>
    </row>
    <row r="63" spans="1:112">
      <c r="A63" s="57" t="s">
        <v>637</v>
      </c>
      <c r="B63" s="57" t="s">
        <v>375</v>
      </c>
      <c r="C63" s="66" t="s">
        <v>374</v>
      </c>
      <c r="D63" s="142">
        <f>'P&amp;L$'!C105</f>
        <v>255.6108700576674</v>
      </c>
      <c r="E63" s="142">
        <f>'P&amp;L$'!D105</f>
        <v>255.25401403644605</v>
      </c>
      <c r="F63" s="142">
        <f>'P&amp;L$'!E105</f>
        <v>254.89815303300946</v>
      </c>
      <c r="G63" s="142">
        <f>'P&amp;L$'!F105</f>
        <v>254.54328289155538</v>
      </c>
      <c r="H63" s="142">
        <f>'P&amp;L$'!G105</f>
        <v>254.18939947939231</v>
      </c>
      <c r="I63" s="142">
        <f>'P&amp;L$'!H105</f>
        <v>253.83649868677909</v>
      </c>
      <c r="J63" s="142">
        <f>'P&amp;L$'!I105</f>
        <v>253.48457642676573</v>
      </c>
      <c r="K63" s="142">
        <f>'P&amp;L$'!J105</f>
        <v>253.13362863503562</v>
      </c>
      <c r="L63" s="142">
        <f>'P&amp;L$'!K105</f>
        <v>252.78365126974916</v>
      </c>
      <c r="M63" s="142">
        <f>'P&amp;L$'!L105</f>
        <v>252.43464031138853</v>
      </c>
      <c r="N63" s="142">
        <f>'P&amp;L$'!M105</f>
        <v>252.08659176260386</v>
      </c>
      <c r="O63" s="142">
        <f>'P&amp;L$'!N105</f>
        <v>251.73950164806052</v>
      </c>
      <c r="P63" s="21">
        <f t="shared" si="5"/>
        <v>3043.9948082384531</v>
      </c>
      <c r="Q63" s="21"/>
      <c r="R63" s="21"/>
    </row>
    <row r="64" spans="1:112">
      <c r="A64" s="57" t="s">
        <v>638</v>
      </c>
      <c r="B64" s="57" t="s">
        <v>377</v>
      </c>
      <c r="C64" s="66" t="s">
        <v>376</v>
      </c>
      <c r="D64" s="142">
        <f>'P&amp;L$'!C106</f>
        <v>4.6474703646848621</v>
      </c>
      <c r="E64" s="142">
        <f>'P&amp;L$'!D106</f>
        <v>4.6409820733899281</v>
      </c>
      <c r="F64" s="142">
        <f>'P&amp;L$'!E106</f>
        <v>4.6345118733274449</v>
      </c>
      <c r="G64" s="142">
        <f>'P&amp;L$'!F106</f>
        <v>4.6280596889373706</v>
      </c>
      <c r="H64" s="142">
        <f>'P&amp;L$'!G106</f>
        <v>4.62162544507986</v>
      </c>
      <c r="I64" s="142">
        <f>'P&amp;L$'!H106</f>
        <v>4.6152090670323478</v>
      </c>
      <c r="J64" s="142">
        <f>'P&amp;L$'!I106</f>
        <v>4.6088104804866497</v>
      </c>
      <c r="K64" s="142">
        <f>'P&amp;L$'!J106</f>
        <v>4.6024296115461025</v>
      </c>
      <c r="L64" s="142">
        <f>'P&amp;L$'!K106</f>
        <v>4.5960663867227121</v>
      </c>
      <c r="M64" s="142">
        <f>'P&amp;L$'!L106</f>
        <v>4.589720732934337</v>
      </c>
      <c r="N64" s="142">
        <f>'P&amp;L$'!M106</f>
        <v>4.5833925775018889</v>
      </c>
      <c r="O64" s="142">
        <f>'P&amp;L$'!N106</f>
        <v>4.5770818481465554</v>
      </c>
      <c r="P64" s="21">
        <f t="shared" si="5"/>
        <v>55.345360149790054</v>
      </c>
      <c r="Q64" s="21"/>
      <c r="R64" s="21"/>
    </row>
    <row r="65" spans="1:112">
      <c r="A65" s="57" t="s">
        <v>641</v>
      </c>
      <c r="B65" s="57" t="s">
        <v>379</v>
      </c>
      <c r="C65" s="66" t="s">
        <v>378</v>
      </c>
      <c r="D65" s="142">
        <f>'P&amp;L$'!C107</f>
        <v>23.237351823424309</v>
      </c>
      <c r="E65" s="142">
        <f>'P&amp;L$'!D107</f>
        <v>23.204910366949644</v>
      </c>
      <c r="F65" s="142">
        <f>'P&amp;L$'!E107</f>
        <v>23.172559366637223</v>
      </c>
      <c r="G65" s="142">
        <f>'P&amp;L$'!F107</f>
        <v>23.140298444686852</v>
      </c>
      <c r="H65" s="142">
        <f>'P&amp;L$'!G107</f>
        <v>23.108127225399301</v>
      </c>
      <c r="I65" s="142">
        <f>'P&amp;L$'!H107</f>
        <v>23.076045335161737</v>
      </c>
      <c r="J65" s="142">
        <f>'P&amp;L$'!I107</f>
        <v>23.044052402433248</v>
      </c>
      <c r="K65" s="142">
        <f>'P&amp;L$'!J107</f>
        <v>23.01214805773051</v>
      </c>
      <c r="L65" s="142">
        <f>'P&amp;L$'!K107</f>
        <v>22.980331933613559</v>
      </c>
      <c r="M65" s="142">
        <f>'P&amp;L$'!L107</f>
        <v>22.948603664671687</v>
      </c>
      <c r="N65" s="142">
        <f>'P&amp;L$'!M107</f>
        <v>22.916962887509442</v>
      </c>
      <c r="O65" s="142">
        <f>'P&amp;L$'!N107</f>
        <v>22.885409240732777</v>
      </c>
      <c r="P65" s="21">
        <f t="shared" si="5"/>
        <v>276.72680074895027</v>
      </c>
      <c r="Q65" s="21"/>
      <c r="R65" s="21"/>
    </row>
    <row r="66" spans="1:112">
      <c r="A66" s="57" t="s">
        <v>640</v>
      </c>
      <c r="B66" s="57" t="s">
        <v>381</v>
      </c>
      <c r="C66" s="66" t="s">
        <v>380</v>
      </c>
      <c r="D66" s="142">
        <f>'P&amp;L$'!C108</f>
        <v>174.28013867568231</v>
      </c>
      <c r="E66" s="142">
        <f>'P&amp;L$'!D108</f>
        <v>174.03682775212232</v>
      </c>
      <c r="F66" s="142">
        <f>'P&amp;L$'!E108</f>
        <v>173.79419524977916</v>
      </c>
      <c r="G66" s="142">
        <f>'P&amp;L$'!F108</f>
        <v>173.5522383351514</v>
      </c>
      <c r="H66" s="142">
        <f>'P&amp;L$'!G108</f>
        <v>173.31095419049475</v>
      </c>
      <c r="I66" s="142">
        <f>'P&amp;L$'!H108</f>
        <v>173.07034001371304</v>
      </c>
      <c r="J66" s="142">
        <f>'P&amp;L$'!I108</f>
        <v>172.83039301824937</v>
      </c>
      <c r="K66" s="142">
        <f>'P&amp;L$'!J108</f>
        <v>172.59111043297884</v>
      </c>
      <c r="L66" s="142">
        <f>'P&amp;L$'!K108</f>
        <v>172.35248950210169</v>
      </c>
      <c r="M66" s="142">
        <f>'P&amp;L$'!L108</f>
        <v>172.11452748503766</v>
      </c>
      <c r="N66" s="142">
        <f>'P&amp;L$'!M108</f>
        <v>171.87722165632081</v>
      </c>
      <c r="O66" s="142">
        <f>'P&amp;L$'!N108</f>
        <v>171.64056930549583</v>
      </c>
      <c r="P66" s="21">
        <f t="shared" si="5"/>
        <v>2075.4510056171275</v>
      </c>
      <c r="Q66" s="21"/>
      <c r="R66" s="21"/>
    </row>
    <row r="67" spans="1:112">
      <c r="A67" s="57" t="s">
        <v>639</v>
      </c>
      <c r="B67" s="57" t="s">
        <v>383</v>
      </c>
      <c r="C67" s="66" t="s">
        <v>382</v>
      </c>
      <c r="D67" s="142">
        <f>'P&amp;L$'!C109</f>
        <v>209.13616641081879</v>
      </c>
      <c r="E67" s="142">
        <f>'P&amp;L$'!D109</f>
        <v>208.84419330254678</v>
      </c>
      <c r="F67" s="142">
        <f>'P&amp;L$'!E109</f>
        <v>208.553034299735</v>
      </c>
      <c r="G67" s="142">
        <f>'P&amp;L$'!F109</f>
        <v>208.26268600218168</v>
      </c>
      <c r="H67" s="142">
        <f>'P&amp;L$'!G109</f>
        <v>207.97314502859371</v>
      </c>
      <c r="I67" s="142">
        <f>'P&amp;L$'!H109</f>
        <v>207.68440801645562</v>
      </c>
      <c r="J67" s="142">
        <f>'P&amp;L$'!I109</f>
        <v>207.39647162189922</v>
      </c>
      <c r="K67" s="142">
        <f>'P&amp;L$'!J109</f>
        <v>207.10933251957459</v>
      </c>
      <c r="L67" s="142">
        <f>'P&amp;L$'!K109</f>
        <v>206.82298740252205</v>
      </c>
      <c r="M67" s="142">
        <f>'P&amp;L$'!L109</f>
        <v>206.53743298204517</v>
      </c>
      <c r="N67" s="142">
        <f>'P&amp;L$'!M109</f>
        <v>206.25266598758498</v>
      </c>
      <c r="O67" s="142">
        <f>'P&amp;L$'!N109</f>
        <v>205.96868316659499</v>
      </c>
      <c r="P67" s="21">
        <f t="shared" si="5"/>
        <v>2490.5412067405523</v>
      </c>
      <c r="Q67" s="21"/>
      <c r="R67" s="21"/>
    </row>
    <row r="68" spans="1:112">
      <c r="A68" s="57" t="s">
        <v>563</v>
      </c>
      <c r="B68" s="57" t="s">
        <v>387</v>
      </c>
      <c r="C68" s="66" t="s">
        <v>386</v>
      </c>
      <c r="D68" s="142">
        <f>'P&amp;L$'!C111</f>
        <v>290.46689779280388</v>
      </c>
      <c r="E68" s="142">
        <f>'P&amp;L$'!D111</f>
        <v>290.06137958687054</v>
      </c>
      <c r="F68" s="142">
        <f>'P&amp;L$'!E111</f>
        <v>289.6569920829653</v>
      </c>
      <c r="G68" s="142">
        <f>'P&amp;L$'!F111</f>
        <v>289.25373055858563</v>
      </c>
      <c r="H68" s="142">
        <f>'P&amp;L$'!G111</f>
        <v>288.85159031749129</v>
      </c>
      <c r="I68" s="142">
        <f>'P&amp;L$'!H111</f>
        <v>288.45056668952174</v>
      </c>
      <c r="J68" s="142">
        <f>'P&amp;L$'!I111</f>
        <v>288.05065503041561</v>
      </c>
      <c r="K68" s="142">
        <f>'P&amp;L$'!J111</f>
        <v>287.65185072163138</v>
      </c>
      <c r="L68" s="142">
        <f>'P&amp;L$'!K111</f>
        <v>287.25414917016951</v>
      </c>
      <c r="M68" s="142">
        <f>'P&amp;L$'!L111</f>
        <v>286.85754580839608</v>
      </c>
      <c r="N68" s="142">
        <f>'P&amp;L$'!M111</f>
        <v>286.46203609386805</v>
      </c>
      <c r="O68" s="142">
        <f>'P&amp;L$'!N111</f>
        <v>286.06761550915968</v>
      </c>
      <c r="P68" s="21">
        <f t="shared" si="5"/>
        <v>3459.0850093618783</v>
      </c>
      <c r="Q68" s="21"/>
      <c r="R68" s="21"/>
    </row>
    <row r="69" spans="1:112" s="138" customFormat="1" ht="13.5" thickBot="1">
      <c r="A69" s="304" t="s">
        <v>785</v>
      </c>
      <c r="B69" s="304" t="s">
        <v>784</v>
      </c>
      <c r="D69" s="305">
        <f t="shared" ref="D69:P69" si="6">SUM(D57:D68)</f>
        <v>26532.640685504106</v>
      </c>
      <c r="E69" s="305">
        <f t="shared" si="6"/>
        <v>26495.598706086774</v>
      </c>
      <c r="F69" s="305">
        <f t="shared" si="6"/>
        <v>26458.660010420044</v>
      </c>
      <c r="G69" s="305">
        <f t="shared" si="6"/>
        <v>26421.824167127899</v>
      </c>
      <c r="H69" s="305">
        <f t="shared" si="6"/>
        <v>26385.090747233182</v>
      </c>
      <c r="I69" s="305">
        <f t="shared" si="6"/>
        <v>26348.459324141018</v>
      </c>
      <c r="J69" s="305">
        <f t="shared" si="6"/>
        <v>26311.929473622313</v>
      </c>
      <c r="K69" s="305">
        <f t="shared" si="6"/>
        <v>26275.500773797274</v>
      </c>
      <c r="L69" s="305">
        <f t="shared" si="6"/>
        <v>26239.172805119306</v>
      </c>
      <c r="M69" s="305">
        <f t="shared" si="6"/>
        <v>26202.945150358773</v>
      </c>
      <c r="N69" s="305">
        <f t="shared" si="6"/>
        <v>26166.817394587153</v>
      </c>
      <c r="O69" s="305">
        <f t="shared" si="6"/>
        <v>26130.789125161096</v>
      </c>
      <c r="P69" s="10">
        <f t="shared" si="6"/>
        <v>315969.42836315883</v>
      </c>
      <c r="Q69" s="303"/>
      <c r="R69" s="303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  <c r="CT69" s="190"/>
      <c r="CU69" s="190"/>
      <c r="CV69" s="190"/>
      <c r="CW69" s="190"/>
      <c r="CX69" s="190"/>
      <c r="CY69" s="190"/>
      <c r="CZ69" s="190"/>
      <c r="DA69" s="190"/>
      <c r="DB69" s="190"/>
      <c r="DC69" s="190"/>
      <c r="DD69" s="190"/>
      <c r="DE69" s="190"/>
      <c r="DF69" s="190"/>
      <c r="DG69" s="190"/>
      <c r="DH69" s="190"/>
    </row>
    <row r="70" spans="1:112" ht="31.9" customHeight="1" thickTop="1">
      <c r="P70" s="21"/>
      <c r="Q70" s="21"/>
      <c r="R70" s="21"/>
    </row>
    <row r="71" spans="1:112">
      <c r="A71" s="55" t="s">
        <v>804</v>
      </c>
      <c r="B71" s="190" t="s">
        <v>806</v>
      </c>
      <c r="C71" s="302" t="s">
        <v>794</v>
      </c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21"/>
      <c r="R71" s="21"/>
    </row>
    <row r="72" spans="1:112">
      <c r="A72" s="55" t="s">
        <v>100</v>
      </c>
      <c r="B72" s="55" t="s">
        <v>389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21"/>
      <c r="R72" s="21"/>
    </row>
    <row r="73" spans="1:112">
      <c r="A73" s="57" t="s">
        <v>100</v>
      </c>
      <c r="B73" s="57" t="s">
        <v>391</v>
      </c>
      <c r="C73" s="56" t="s">
        <v>390</v>
      </c>
      <c r="D73" s="141">
        <f>'P&amp;L$'!C115</f>
        <v>127854.34797767433</v>
      </c>
      <c r="E73" s="141">
        <f>'P&amp;L$'!D115</f>
        <v>56490.477707237544</v>
      </c>
      <c r="F73" s="141">
        <f>'P&amp;L$'!E115</f>
        <v>56411.721813202355</v>
      </c>
      <c r="G73" s="141">
        <f>'P&amp;L$'!F115</f>
        <v>56333.185207654933</v>
      </c>
      <c r="H73" s="141">
        <f>'P&amp;L$'!G115</f>
        <v>56254.866975985897</v>
      </c>
      <c r="I73" s="141">
        <f>'P&amp;L$'!H115</f>
        <v>56176.766208665009</v>
      </c>
      <c r="J73" s="141">
        <f>'P&amp;L$'!I115</f>
        <v>56098.882001205973</v>
      </c>
      <c r="K73" s="141">
        <f>'P&amp;L$'!J115</f>
        <v>56021.21345413151</v>
      </c>
      <c r="L73" s="141">
        <f>'P&amp;L$'!K115</f>
        <v>55943.759672938751</v>
      </c>
      <c r="M73" s="141">
        <f>'P&amp;L$'!L115</f>
        <v>55866.519768064871</v>
      </c>
      <c r="N73" s="141">
        <f>'P&amp;L$'!M115</f>
        <v>55789.492854853037</v>
      </c>
      <c r="O73" s="141">
        <f>'P&amp;L$'!N115</f>
        <v>55712.678053518655</v>
      </c>
      <c r="P73" s="21">
        <f>SUM(D73:O73)</f>
        <v>744953.91169513285</v>
      </c>
      <c r="Q73" s="21"/>
      <c r="R73" s="21"/>
    </row>
    <row r="74" spans="1:112">
      <c r="A74" s="57" t="s">
        <v>101</v>
      </c>
      <c r="B74" s="57" t="s">
        <v>393</v>
      </c>
      <c r="C74" s="56" t="s">
        <v>392</v>
      </c>
      <c r="D74" s="141">
        <f>'P&amp;L$'!C116</f>
        <v>25152.329461027075</v>
      </c>
      <c r="E74" s="141">
        <f>'P&amp;L$'!D116</f>
        <v>10168.285987302757</v>
      </c>
      <c r="F74" s="141">
        <f>'P&amp;L$'!E116</f>
        <v>10154.109926376423</v>
      </c>
      <c r="G74" s="141">
        <f>'P&amp;L$'!F116</f>
        <v>10139.973337377887</v>
      </c>
      <c r="H74" s="141">
        <f>'P&amp;L$'!G116</f>
        <v>10125.876055677461</v>
      </c>
      <c r="I74" s="141">
        <f>'P&amp;L$'!H116</f>
        <v>10111.8179175597</v>
      </c>
      <c r="J74" s="141">
        <f>'P&amp;L$'!I116</f>
        <v>10097.798760217074</v>
      </c>
      <c r="K74" s="141">
        <f>'P&amp;L$'!J116</f>
        <v>10083.818421743672</v>
      </c>
      <c r="L74" s="141">
        <f>'P&amp;L$'!K116</f>
        <v>10069.876741128975</v>
      </c>
      <c r="M74" s="141">
        <f>'P&amp;L$'!L116</f>
        <v>10055.973558251677</v>
      </c>
      <c r="N74" s="141">
        <f>'P&amp;L$'!M116</f>
        <v>10042.108713873546</v>
      </c>
      <c r="O74" s="141">
        <f>'P&amp;L$'!N116</f>
        <v>10028.282049633357</v>
      </c>
      <c r="P74" s="21">
        <f t="shared" ref="P74:P81" si="7">SUM(D74:O74)</f>
        <v>136230.2509301696</v>
      </c>
      <c r="Q74" s="21"/>
      <c r="R74" s="21"/>
    </row>
    <row r="75" spans="1:112">
      <c r="A75" s="57" t="s">
        <v>643</v>
      </c>
      <c r="B75" s="57" t="s">
        <v>396</v>
      </c>
      <c r="C75" s="56" t="s">
        <v>395</v>
      </c>
      <c r="D75" s="141">
        <f>'P&amp;L$'!C118</f>
        <v>5562.6629579326463</v>
      </c>
      <c r="E75" s="141">
        <f>'P&amp;L$'!D118</f>
        <v>5554.8969745450249</v>
      </c>
      <c r="F75" s="141">
        <f>'P&amp;L$'!E118</f>
        <v>5547.1526449648982</v>
      </c>
      <c r="G75" s="141">
        <f>'P&amp;L$'!F118</f>
        <v>5539.429878752735</v>
      </c>
      <c r="H75" s="141">
        <f>'P&amp;L$'!G118</f>
        <v>5531.7285859719468</v>
      </c>
      <c r="I75" s="141">
        <f>'P&amp;L$'!H118</f>
        <v>5524.048677185393</v>
      </c>
      <c r="J75" s="141">
        <f>'P&amp;L$'!I118</f>
        <v>5516.3900634519205</v>
      </c>
      <c r="K75" s="141">
        <f>'P&amp;L$'!J118</f>
        <v>5508.7526563229321</v>
      </c>
      <c r="L75" s="141">
        <f>'P&amp;L$'!K118</f>
        <v>5501.136367838978</v>
      </c>
      <c r="M75" s="141">
        <f>'P&amp;L$'!L118</f>
        <v>5493.5411105263793</v>
      </c>
      <c r="N75" s="141">
        <f>'P&amp;L$'!M118</f>
        <v>5485.9667973938822</v>
      </c>
      <c r="O75" s="141">
        <f>'P&amp;L$'!N118</f>
        <v>5478.4133419293348</v>
      </c>
      <c r="P75" s="21">
        <f t="shared" si="7"/>
        <v>66244.120056816071</v>
      </c>
      <c r="Q75" s="21"/>
      <c r="R75" s="21"/>
    </row>
    <row r="76" spans="1:112">
      <c r="A76" s="133" t="s">
        <v>800</v>
      </c>
      <c r="B76" s="55" t="s">
        <v>513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21"/>
      <c r="Q76" s="21"/>
      <c r="R76" s="21"/>
    </row>
    <row r="77" spans="1:112">
      <c r="A77" s="20" t="s">
        <v>803</v>
      </c>
      <c r="B77" s="57" t="s">
        <v>401</v>
      </c>
      <c r="C77" s="56" t="s">
        <v>400</v>
      </c>
      <c r="D77" s="141">
        <f>'P&amp;L$'!C123</f>
        <v>1463.9531648757315</v>
      </c>
      <c r="E77" s="141">
        <f>'P&amp;L$'!D123</f>
        <v>1461.9093531178275</v>
      </c>
      <c r="F77" s="141">
        <f>'P&amp;L$'!E123</f>
        <v>1459.8712400981451</v>
      </c>
      <c r="G77" s="141">
        <f>'P&amp;L$'!F123</f>
        <v>1457.8388020152718</v>
      </c>
      <c r="H77" s="141">
        <f>'P&amp;L$'!G123</f>
        <v>1455.8120152001561</v>
      </c>
      <c r="I77" s="141">
        <f>'P&amp;L$'!H123</f>
        <v>1453.7908561151894</v>
      </c>
      <c r="J77" s="141">
        <f>'P&amp;L$'!I123</f>
        <v>1451.7753013532947</v>
      </c>
      <c r="K77" s="141">
        <f>'P&amp;L$'!J123</f>
        <v>1449.7653276370222</v>
      </c>
      <c r="L77" s="141">
        <f>'P&amp;L$'!K123</f>
        <v>1447.7609118176542</v>
      </c>
      <c r="M77" s="141">
        <f>'P&amp;L$'!L123</f>
        <v>1445.7620308743162</v>
      </c>
      <c r="N77" s="141">
        <f>'P&amp;L$'!M123</f>
        <v>1443.7686619130948</v>
      </c>
      <c r="O77" s="141">
        <f>'P&amp;L$'!N123</f>
        <v>1441.780782166165</v>
      </c>
      <c r="P77" s="21">
        <f t="shared" si="7"/>
        <v>17433.78844718387</v>
      </c>
      <c r="Q77" s="21"/>
      <c r="R77" s="21"/>
    </row>
    <row r="78" spans="1:112">
      <c r="A78" s="20" t="s">
        <v>805</v>
      </c>
      <c r="B78" s="57" t="s">
        <v>403</v>
      </c>
      <c r="C78" s="56" t="s">
        <v>402</v>
      </c>
      <c r="D78" s="141">
        <f>'P&amp;L$'!C124</f>
        <v>3137.0424961622816</v>
      </c>
      <c r="E78" s="141">
        <f>'P&amp;L$'!D124</f>
        <v>3132.6628995382016</v>
      </c>
      <c r="F78" s="141">
        <f>'P&amp;L$'!E124</f>
        <v>3128.2955144960251</v>
      </c>
      <c r="G78" s="141">
        <f>'P&amp;L$'!F124</f>
        <v>3123.940290032725</v>
      </c>
      <c r="H78" s="141">
        <f>'P&amp;L$'!G124</f>
        <v>3119.5971754289058</v>
      </c>
      <c r="I78" s="141">
        <f>'P&amp;L$'!H124</f>
        <v>3115.2661202468344</v>
      </c>
      <c r="J78" s="141">
        <f>'P&amp;L$'!I124</f>
        <v>3110.9470743284883</v>
      </c>
      <c r="K78" s="141">
        <f>'P&amp;L$'!J124</f>
        <v>3106.6399877936187</v>
      </c>
      <c r="L78" s="141">
        <f>'P&amp;L$'!K124</f>
        <v>3102.3448110378308</v>
      </c>
      <c r="M78" s="141">
        <f>'P&amp;L$'!L124</f>
        <v>3098.0614947306776</v>
      </c>
      <c r="N78" s="141">
        <f>'P&amp;L$'!M124</f>
        <v>3093.7899898137748</v>
      </c>
      <c r="O78" s="141">
        <f>'P&amp;L$'!N124</f>
        <v>3089.5302474989248</v>
      </c>
      <c r="P78" s="21">
        <f t="shared" si="7"/>
        <v>37358.118101108288</v>
      </c>
      <c r="Q78" s="21"/>
      <c r="R78" s="21"/>
    </row>
    <row r="79" spans="1:112">
      <c r="A79" s="20" t="s">
        <v>633</v>
      </c>
      <c r="B79" s="57" t="s">
        <v>405</v>
      </c>
      <c r="C79" s="56" t="s">
        <v>404</v>
      </c>
      <c r="D79" s="141">
        <f>'P&amp;L$'!C125</f>
        <v>580.93379558560775</v>
      </c>
      <c r="E79" s="141">
        <f>'P&amp;L$'!D125</f>
        <v>580.12275917374109</v>
      </c>
      <c r="F79" s="141">
        <f>'P&amp;L$'!E125</f>
        <v>579.31398416593061</v>
      </c>
      <c r="G79" s="141">
        <f>'P&amp;L$'!F125</f>
        <v>578.50746111717126</v>
      </c>
      <c r="H79" s="141">
        <f>'P&amp;L$'!G125</f>
        <v>577.70318063498257</v>
      </c>
      <c r="I79" s="141">
        <f>'P&amp;L$'!H125</f>
        <v>576.90113337904347</v>
      </c>
      <c r="J79" s="141">
        <f>'P&amp;L$'!I125</f>
        <v>576.10131006083122</v>
      </c>
      <c r="K79" s="141">
        <f>'P&amp;L$'!J125</f>
        <v>575.30370144326275</v>
      </c>
      <c r="L79" s="141">
        <f>'P&amp;L$'!K125</f>
        <v>574.50829834033902</v>
      </c>
      <c r="M79" s="141">
        <f>'P&amp;L$'!L125</f>
        <v>573.71509161679217</v>
      </c>
      <c r="N79" s="141">
        <f>'P&amp;L$'!M125</f>
        <v>572.9240721877361</v>
      </c>
      <c r="O79" s="141">
        <f>'P&amp;L$'!N125</f>
        <v>572.13523101831936</v>
      </c>
      <c r="P79" s="21">
        <f t="shared" si="7"/>
        <v>6918.1700187237566</v>
      </c>
      <c r="Q79" s="21"/>
      <c r="R79" s="21"/>
    </row>
    <row r="80" spans="1:112">
      <c r="A80" s="20" t="s">
        <v>651</v>
      </c>
      <c r="B80" s="57" t="s">
        <v>407</v>
      </c>
      <c r="C80" s="56" t="s">
        <v>406</v>
      </c>
      <c r="D80" s="141">
        <f>'P&amp;L$'!C126</f>
        <v>2556.108700576674</v>
      </c>
      <c r="E80" s="141">
        <f>'P&amp;L$'!D126</f>
        <v>2552.5401403644605</v>
      </c>
      <c r="F80" s="141">
        <f>'P&amp;L$'!E126</f>
        <v>2548.9815303300948</v>
      </c>
      <c r="G80" s="141">
        <f>'P&amp;L$'!F126</f>
        <v>2545.4328289155537</v>
      </c>
      <c r="H80" s="141">
        <f>'P&amp;L$'!G126</f>
        <v>2541.8939947939234</v>
      </c>
      <c r="I80" s="141">
        <f>'P&amp;L$'!H126</f>
        <v>2538.3649868677912</v>
      </c>
      <c r="J80" s="141">
        <f>'P&amp;L$'!I126</f>
        <v>2534.8457642676572</v>
      </c>
      <c r="K80" s="141">
        <f>'P&amp;L$'!J126</f>
        <v>2531.3362863503562</v>
      </c>
      <c r="L80" s="141">
        <f>'P&amp;L$'!K126</f>
        <v>2527.8365126974918</v>
      </c>
      <c r="M80" s="141">
        <f>'P&amp;L$'!L126</f>
        <v>2524.3464031138856</v>
      </c>
      <c r="N80" s="141">
        <f>'P&amp;L$'!M126</f>
        <v>2520.8659176260385</v>
      </c>
      <c r="O80" s="141">
        <f>'P&amp;L$'!N126</f>
        <v>2517.3950164806051</v>
      </c>
      <c r="P80" s="21">
        <f t="shared" si="7"/>
        <v>30439.948082384533</v>
      </c>
      <c r="Q80" s="21"/>
      <c r="R80" s="21"/>
    </row>
    <row r="81" spans="1:112">
      <c r="A81" s="20" t="s">
        <v>96</v>
      </c>
      <c r="B81" s="57" t="s">
        <v>409</v>
      </c>
      <c r="C81" s="56" t="s">
        <v>408</v>
      </c>
      <c r="D81" s="141">
        <f>'P&amp;L$'!C127</f>
        <v>232.37351823424308</v>
      </c>
      <c r="E81" s="141">
        <f>'P&amp;L$'!D127</f>
        <v>232.04910366949642</v>
      </c>
      <c r="F81" s="141">
        <f>'P&amp;L$'!E127</f>
        <v>231.72559366637225</v>
      </c>
      <c r="G81" s="141">
        <f>'P&amp;L$'!F127</f>
        <v>231.40298444686852</v>
      </c>
      <c r="H81" s="141">
        <f>'P&amp;L$'!G127</f>
        <v>231.08127225399301</v>
      </c>
      <c r="I81" s="141">
        <f>'P&amp;L$'!H127</f>
        <v>230.76045335161737</v>
      </c>
      <c r="J81" s="141">
        <f>'P&amp;L$'!I127</f>
        <v>230.44052402433249</v>
      </c>
      <c r="K81" s="141">
        <f>'P&amp;L$'!J127</f>
        <v>230.12148057730511</v>
      </c>
      <c r="L81" s="141">
        <f>'P&amp;L$'!K127</f>
        <v>229.80331933613559</v>
      </c>
      <c r="M81" s="141">
        <f>'P&amp;L$'!L127</f>
        <v>229.48603664671685</v>
      </c>
      <c r="N81" s="141">
        <f>'P&amp;L$'!M127</f>
        <v>229.16962887509442</v>
      </c>
      <c r="O81" s="141">
        <f>'P&amp;L$'!N127</f>
        <v>228.85409240732776</v>
      </c>
      <c r="P81" s="21">
        <f t="shared" si="7"/>
        <v>2767.2680074895029</v>
      </c>
      <c r="Q81" s="21"/>
      <c r="R81" s="21"/>
    </row>
    <row r="82" spans="1:112" s="138" customFormat="1" ht="13.5" thickBot="1">
      <c r="A82" s="304" t="s">
        <v>785</v>
      </c>
      <c r="B82" s="304" t="s">
        <v>784</v>
      </c>
      <c r="C82" s="137"/>
      <c r="D82" s="306">
        <f>SUM(D73:D81)</f>
        <v>166539.75207206863</v>
      </c>
      <c r="E82" s="306">
        <f t="shared" ref="E82:O82" si="8">SUM(E73:E81)</f>
        <v>80172.944924949072</v>
      </c>
      <c r="F82" s="306">
        <f t="shared" si="8"/>
        <v>80061.172247300245</v>
      </c>
      <c r="G82" s="306">
        <f t="shared" si="8"/>
        <v>79949.710790313155</v>
      </c>
      <c r="H82" s="306">
        <f t="shared" si="8"/>
        <v>79838.559255947257</v>
      </c>
      <c r="I82" s="306">
        <f t="shared" si="8"/>
        <v>79727.716353370561</v>
      </c>
      <c r="J82" s="306">
        <f t="shared" si="8"/>
        <v>79617.180798909569</v>
      </c>
      <c r="K82" s="306">
        <f t="shared" si="8"/>
        <v>79506.951315999686</v>
      </c>
      <c r="L82" s="306">
        <f t="shared" si="8"/>
        <v>79397.026635136164</v>
      </c>
      <c r="M82" s="306">
        <f t="shared" si="8"/>
        <v>79287.40549382531</v>
      </c>
      <c r="N82" s="306">
        <f t="shared" si="8"/>
        <v>79178.086636536216</v>
      </c>
      <c r="O82" s="306">
        <f t="shared" si="8"/>
        <v>79069.068814652695</v>
      </c>
      <c r="P82" s="10">
        <f>SUM(P73:P81)</f>
        <v>1042345.5753390084</v>
      </c>
      <c r="Q82" s="303"/>
      <c r="R82" s="303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  <c r="CA82" s="190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  <c r="CT82" s="190"/>
      <c r="CU82" s="190"/>
      <c r="CV82" s="190"/>
      <c r="CW82" s="190"/>
      <c r="CX82" s="190"/>
      <c r="CY82" s="190"/>
      <c r="CZ82" s="190"/>
      <c r="DA82" s="190"/>
      <c r="DB82" s="190"/>
      <c r="DC82" s="190"/>
      <c r="DD82" s="190"/>
      <c r="DE82" s="190"/>
      <c r="DF82" s="190"/>
      <c r="DG82" s="190"/>
      <c r="DH82" s="190"/>
    </row>
    <row r="83" spans="1:112" ht="33" customHeight="1" thickTop="1"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21"/>
      <c r="Q83" s="21"/>
      <c r="R83" s="21"/>
    </row>
    <row r="84" spans="1:112">
      <c r="A84" s="133" t="s">
        <v>801</v>
      </c>
      <c r="B84" s="55" t="s">
        <v>802</v>
      </c>
      <c r="C84" s="302" t="s">
        <v>794</v>
      </c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21"/>
      <c r="R84" s="21"/>
    </row>
    <row r="85" spans="1:112">
      <c r="A85" s="57" t="s">
        <v>565</v>
      </c>
      <c r="B85" s="57" t="s">
        <v>412</v>
      </c>
      <c r="C85" s="56" t="s">
        <v>411</v>
      </c>
      <c r="D85" s="141">
        <f>'P&amp;L$'!C131</f>
        <v>43854</v>
      </c>
      <c r="E85" s="141">
        <f>'P&amp;L$'!D131</f>
        <v>43854</v>
      </c>
      <c r="F85" s="141">
        <f>'P&amp;L$'!E131</f>
        <v>43854</v>
      </c>
      <c r="G85" s="141">
        <f>'P&amp;L$'!F131</f>
        <v>43854</v>
      </c>
      <c r="H85" s="141">
        <f>'P&amp;L$'!G131</f>
        <v>43854</v>
      </c>
      <c r="I85" s="141">
        <f>'P&amp;L$'!H131</f>
        <v>43854</v>
      </c>
      <c r="J85" s="141">
        <f>'P&amp;L$'!I131</f>
        <v>48239.4</v>
      </c>
      <c r="K85" s="141">
        <f>'P&amp;L$'!J131</f>
        <v>48239.4</v>
      </c>
      <c r="L85" s="141">
        <f>'P&amp;L$'!K131</f>
        <v>48239.4</v>
      </c>
      <c r="M85" s="141">
        <f>'P&amp;L$'!L131</f>
        <v>48239.4</v>
      </c>
      <c r="N85" s="141">
        <f>'P&amp;L$'!M131</f>
        <v>48239.4</v>
      </c>
      <c r="O85" s="141">
        <f>'P&amp;L$'!N131</f>
        <v>48239.4</v>
      </c>
      <c r="P85" s="21">
        <f>'P&amp;L$'!O131</f>
        <v>552560.40000000014</v>
      </c>
      <c r="Q85" s="21"/>
      <c r="R85" s="21"/>
    </row>
    <row r="86" spans="1:112">
      <c r="A86" s="57" t="s">
        <v>652</v>
      </c>
      <c r="B86" s="57" t="s">
        <v>414</v>
      </c>
      <c r="C86" s="56" t="s">
        <v>413</v>
      </c>
      <c r="D86" s="141">
        <f>'P&amp;L$'!C132</f>
        <v>395.03498099821326</v>
      </c>
      <c r="E86" s="141">
        <f>'P&amp;L$'!D132</f>
        <v>394.48347623814391</v>
      </c>
      <c r="F86" s="141">
        <f>'P&amp;L$'!E132</f>
        <v>393.93350923283282</v>
      </c>
      <c r="G86" s="141">
        <f>'P&amp;L$'!F132</f>
        <v>393.38507355967647</v>
      </c>
      <c r="H86" s="141">
        <f>'P&amp;L$'!G132</f>
        <v>392.83816283178811</v>
      </c>
      <c r="I86" s="141">
        <f>'P&amp;L$'!H132</f>
        <v>392.29277069774952</v>
      </c>
      <c r="J86" s="141">
        <f>'P&amp;L$'!I132</f>
        <v>430.92377992550178</v>
      </c>
      <c r="K86" s="141">
        <f>'P&amp;L$'!J132</f>
        <v>430.3271686795606</v>
      </c>
      <c r="L86" s="141">
        <f>'P&amp;L$'!K132</f>
        <v>429.7322071585736</v>
      </c>
      <c r="M86" s="141">
        <f>'P&amp;L$'!L132</f>
        <v>429.1388885293606</v>
      </c>
      <c r="N86" s="141">
        <f>'P&amp;L$'!M132</f>
        <v>428.54720599642661</v>
      </c>
      <c r="O86" s="141">
        <f>'P&amp;L$'!N132</f>
        <v>427.95715280170299</v>
      </c>
      <c r="P86" s="21">
        <f>'P&amp;L$'!O132</f>
        <v>4938.5943766495302</v>
      </c>
      <c r="Q86" s="21"/>
      <c r="R86" s="21"/>
    </row>
    <row r="87" spans="1:112" s="136" customFormat="1" ht="13.5" thickBot="1">
      <c r="A87" s="304" t="s">
        <v>785</v>
      </c>
      <c r="B87" s="304" t="s">
        <v>784</v>
      </c>
      <c r="D87" s="10">
        <f t="shared" ref="D87:P87" si="9">SUM(D85:D86)</f>
        <v>44249.034980998214</v>
      </c>
      <c r="E87" s="10">
        <f t="shared" si="9"/>
        <v>44248.483476238143</v>
      </c>
      <c r="F87" s="10">
        <f t="shared" si="9"/>
        <v>44247.933509232833</v>
      </c>
      <c r="G87" s="10">
        <f t="shared" si="9"/>
        <v>44247.385073559679</v>
      </c>
      <c r="H87" s="10">
        <f t="shared" si="9"/>
        <v>44246.838162831787</v>
      </c>
      <c r="I87" s="10">
        <f t="shared" si="9"/>
        <v>44246.29277069775</v>
      </c>
      <c r="J87" s="10">
        <f t="shared" si="9"/>
        <v>48670.3237799255</v>
      </c>
      <c r="K87" s="10">
        <f t="shared" si="9"/>
        <v>48669.727168679565</v>
      </c>
      <c r="L87" s="10">
        <f t="shared" si="9"/>
        <v>48669.132207158575</v>
      </c>
      <c r="M87" s="10">
        <f t="shared" si="9"/>
        <v>48668.538888529365</v>
      </c>
      <c r="N87" s="10">
        <f t="shared" si="9"/>
        <v>48667.947205996425</v>
      </c>
      <c r="O87" s="10">
        <f t="shared" si="9"/>
        <v>48667.357152801706</v>
      </c>
      <c r="P87" s="10">
        <f t="shared" si="9"/>
        <v>557498.99437664961</v>
      </c>
      <c r="Q87" s="6"/>
      <c r="R87" s="6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</row>
    <row r="88" spans="1:112" ht="34.9" customHeight="1" thickTop="1">
      <c r="P88" s="21"/>
      <c r="Q88" s="21"/>
      <c r="R88" s="21"/>
    </row>
    <row r="89" spans="1:112">
      <c r="A89" s="55" t="s">
        <v>807</v>
      </c>
      <c r="B89" s="55" t="s">
        <v>808</v>
      </c>
      <c r="C89" s="302" t="s">
        <v>794</v>
      </c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21"/>
      <c r="R89" s="21"/>
    </row>
    <row r="90" spans="1:112">
      <c r="A90" s="57" t="s">
        <v>1209</v>
      </c>
      <c r="B90" s="57" t="s">
        <v>1182</v>
      </c>
      <c r="C90" s="56" t="s">
        <v>418</v>
      </c>
      <c r="D90" s="141">
        <f>'P&amp;L$'!C137</f>
        <v>3764.4509953947381</v>
      </c>
      <c r="E90" s="141">
        <f>'P&amp;L$'!D137</f>
        <v>3759.195479445842</v>
      </c>
      <c r="F90" s="141">
        <f>'P&amp;L$'!E137</f>
        <v>3753.9546173952303</v>
      </c>
      <c r="G90" s="141">
        <f>'P&amp;L$'!F137</f>
        <v>3748.7283480392698</v>
      </c>
      <c r="H90" s="141">
        <f>'P&amp;L$'!G137</f>
        <v>3743.5166105146868</v>
      </c>
      <c r="I90" s="141">
        <f>'P&amp;L$'!H137</f>
        <v>3738.3193442962015</v>
      </c>
      <c r="J90" s="141">
        <f>'P&amp;L$'!I137</f>
        <v>3733.1364891941862</v>
      </c>
      <c r="K90" s="141">
        <f>'P&amp;L$'!J137</f>
        <v>3727.9679853523426</v>
      </c>
      <c r="L90" s="141">
        <f>'P&amp;L$'!K137</f>
        <v>3722.8137732453965</v>
      </c>
      <c r="M90" s="141">
        <f>'P&amp;L$'!L137</f>
        <v>3717.6737936768131</v>
      </c>
      <c r="N90" s="141">
        <f>'P&amp;L$'!M137</f>
        <v>3712.5479877765297</v>
      </c>
      <c r="O90" s="141">
        <f>'P&amp;L$'!N137</f>
        <v>3707.4362969987096</v>
      </c>
      <c r="P90" s="21">
        <f>'P&amp;L$'!O137</f>
        <v>44829.741721329941</v>
      </c>
      <c r="Q90" s="21"/>
      <c r="R90" s="21"/>
    </row>
    <row r="91" spans="1:112" s="307" customFormat="1" ht="13.5" thickBot="1">
      <c r="A91" s="304" t="s">
        <v>785</v>
      </c>
      <c r="B91" s="304" t="s">
        <v>784</v>
      </c>
      <c r="D91" s="10">
        <f t="shared" ref="D91:O91" si="10">SUM(D90:D90)</f>
        <v>3764.4509953947381</v>
      </c>
      <c r="E91" s="10">
        <f t="shared" si="10"/>
        <v>3759.195479445842</v>
      </c>
      <c r="F91" s="10">
        <f t="shared" si="10"/>
        <v>3753.9546173952303</v>
      </c>
      <c r="G91" s="10">
        <f t="shared" si="10"/>
        <v>3748.7283480392698</v>
      </c>
      <c r="H91" s="10">
        <f t="shared" si="10"/>
        <v>3743.5166105146868</v>
      </c>
      <c r="I91" s="10">
        <f t="shared" si="10"/>
        <v>3738.3193442962015</v>
      </c>
      <c r="J91" s="10">
        <f t="shared" si="10"/>
        <v>3733.1364891941862</v>
      </c>
      <c r="K91" s="10">
        <f t="shared" si="10"/>
        <v>3727.9679853523426</v>
      </c>
      <c r="L91" s="10">
        <f t="shared" si="10"/>
        <v>3722.8137732453965</v>
      </c>
      <c r="M91" s="10">
        <f t="shared" si="10"/>
        <v>3717.6737936768131</v>
      </c>
      <c r="N91" s="10">
        <f t="shared" si="10"/>
        <v>3712.5479877765297</v>
      </c>
      <c r="O91" s="10">
        <f t="shared" si="10"/>
        <v>3707.4362969987096</v>
      </c>
      <c r="P91" s="10">
        <f>SUM(P90)</f>
        <v>44829.741721329941</v>
      </c>
      <c r="Q91" s="187"/>
      <c r="R91" s="187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  <c r="BJ91" s="192"/>
      <c r="BK91" s="192"/>
      <c r="BL91" s="192"/>
      <c r="BM91" s="192"/>
      <c r="BN91" s="192"/>
      <c r="BO91" s="192"/>
      <c r="BP91" s="192"/>
      <c r="BQ91" s="192"/>
      <c r="BR91" s="192"/>
      <c r="BS91" s="192"/>
      <c r="BT91" s="192"/>
      <c r="BU91" s="192"/>
      <c r="BV91" s="192"/>
      <c r="BW91" s="192"/>
      <c r="BX91" s="192"/>
      <c r="BY91" s="192"/>
      <c r="BZ91" s="192"/>
      <c r="CA91" s="192"/>
      <c r="CB91" s="192"/>
      <c r="CC91" s="192"/>
      <c r="CD91" s="192"/>
      <c r="CE91" s="192"/>
      <c r="CF91" s="192"/>
      <c r="CG91" s="192"/>
      <c r="CH91" s="192"/>
      <c r="CI91" s="192"/>
      <c r="CJ91" s="192"/>
      <c r="CK91" s="192"/>
      <c r="CL91" s="192"/>
      <c r="CM91" s="192"/>
      <c r="CN91" s="192"/>
      <c r="CO91" s="192"/>
      <c r="CP91" s="192"/>
      <c r="CQ91" s="192"/>
      <c r="CR91" s="192"/>
      <c r="CS91" s="192"/>
      <c r="CT91" s="192"/>
      <c r="CU91" s="192"/>
      <c r="CV91" s="192"/>
      <c r="CW91" s="192"/>
      <c r="CX91" s="192"/>
      <c r="CY91" s="192"/>
      <c r="CZ91" s="192"/>
      <c r="DA91" s="192"/>
      <c r="DB91" s="192"/>
      <c r="DC91" s="192"/>
      <c r="DD91" s="192"/>
      <c r="DE91" s="192"/>
      <c r="DF91" s="192"/>
      <c r="DG91" s="192"/>
      <c r="DH91" s="192"/>
    </row>
    <row r="92" spans="1:112" ht="30.6" customHeight="1" thickTop="1">
      <c r="B92" s="57"/>
      <c r="P92" s="21"/>
      <c r="Q92" s="21"/>
      <c r="R92" s="21"/>
    </row>
    <row r="93" spans="1:112">
      <c r="A93" s="190" t="s">
        <v>815</v>
      </c>
      <c r="B93" s="55" t="s">
        <v>809</v>
      </c>
      <c r="C93" s="302" t="s">
        <v>794</v>
      </c>
      <c r="D93" s="302"/>
      <c r="E93" s="302"/>
      <c r="F93" s="302"/>
      <c r="G93" s="302"/>
      <c r="H93" s="302"/>
      <c r="I93" s="302"/>
      <c r="J93" s="302"/>
      <c r="K93" s="302"/>
      <c r="L93" s="302"/>
      <c r="M93" s="302"/>
      <c r="N93" s="302"/>
      <c r="O93" s="302"/>
      <c r="P93" s="302"/>
      <c r="Q93" s="21"/>
      <c r="R93" s="21"/>
    </row>
    <row r="94" spans="1:112">
      <c r="A94" s="20" t="s">
        <v>657</v>
      </c>
      <c r="B94" s="57" t="s">
        <v>427</v>
      </c>
      <c r="C94" s="56" t="s">
        <v>426</v>
      </c>
      <c r="D94" s="141">
        <f>'P&amp;L$'!C144</f>
        <v>1975.1749049910663</v>
      </c>
      <c r="E94" s="141">
        <f>'P&amp;L$'!D144</f>
        <v>1972.4173811907197</v>
      </c>
      <c r="F94" s="141">
        <f>'P&amp;L$'!E144</f>
        <v>1969.6675461641639</v>
      </c>
      <c r="G94" s="141">
        <f>'P&amp;L$'!F144</f>
        <v>1966.9253677983825</v>
      </c>
      <c r="H94" s="141">
        <f>'P&amp;L$'!G144</f>
        <v>1964.1908141589406</v>
      </c>
      <c r="I94" s="141">
        <f>'P&amp;L$'!H144</f>
        <v>1961.4638534887476</v>
      </c>
      <c r="J94" s="141">
        <f>'P&amp;L$'!I144</f>
        <v>1958.744454206826</v>
      </c>
      <c r="K94" s="141">
        <f>'P&amp;L$'!J144</f>
        <v>1956.0325849070935</v>
      </c>
      <c r="L94" s="141">
        <f>'P&amp;L$'!K144</f>
        <v>1953.3282143571525</v>
      </c>
      <c r="M94" s="141">
        <f>'P&amp;L$'!L144</f>
        <v>1950.6313114970933</v>
      </c>
      <c r="N94" s="141">
        <f>'P&amp;L$'!M144</f>
        <v>1947.9418454383026</v>
      </c>
      <c r="O94" s="141">
        <f>'P&amp;L$'!N144</f>
        <v>1945.2597854622859</v>
      </c>
      <c r="P94" s="21">
        <f>'P&amp;L$'!O144</f>
        <v>23521.778063660775</v>
      </c>
      <c r="Q94" s="21"/>
      <c r="R94" s="21"/>
    </row>
    <row r="95" spans="1:112">
      <c r="A95" s="20" t="s">
        <v>814</v>
      </c>
      <c r="B95" s="57" t="s">
        <v>429</v>
      </c>
      <c r="C95" s="56" t="s">
        <v>428</v>
      </c>
      <c r="D95" s="141">
        <f>'P&amp;L$'!C145</f>
        <v>1208.3422948180641</v>
      </c>
      <c r="E95" s="141">
        <f>'P&amp;L$'!D145</f>
        <v>1206.6553390813815</v>
      </c>
      <c r="F95" s="141">
        <f>'P&amp;L$'!E145</f>
        <v>1204.9730870651356</v>
      </c>
      <c r="G95" s="141">
        <f>'P&amp;L$'!F145</f>
        <v>1203.2955191237163</v>
      </c>
      <c r="H95" s="141">
        <f>'P&amp;L$'!G145</f>
        <v>1201.6226157207636</v>
      </c>
      <c r="I95" s="141">
        <f>'P&amp;L$'!H145</f>
        <v>1199.9543574284103</v>
      </c>
      <c r="J95" s="141">
        <f>'P&amp;L$'!I145</f>
        <v>1198.2907249265288</v>
      </c>
      <c r="K95" s="141">
        <f>'P&amp;L$'!J145</f>
        <v>1196.6316990019866</v>
      </c>
      <c r="L95" s="141">
        <f>'P&amp;L$'!K145</f>
        <v>1194.9772605479052</v>
      </c>
      <c r="M95" s="141">
        <f>'P&amp;L$'!L145</f>
        <v>1193.3273905629276</v>
      </c>
      <c r="N95" s="141">
        <f>'P&amp;L$'!M145</f>
        <v>1191.682070150491</v>
      </c>
      <c r="O95" s="141">
        <f>'P&amp;L$'!N145</f>
        <v>1190.0412805181043</v>
      </c>
      <c r="P95" s="21">
        <f>'P&amp;L$'!O145</f>
        <v>14389.793638945412</v>
      </c>
      <c r="Q95" s="21"/>
      <c r="R95" s="21"/>
    </row>
    <row r="96" spans="1:112" s="307" customFormat="1" ht="13.5" thickBot="1">
      <c r="A96" s="304" t="s">
        <v>785</v>
      </c>
      <c r="B96" s="304" t="s">
        <v>784</v>
      </c>
      <c r="D96" s="10">
        <f>SUM(D94:D95)</f>
        <v>3183.5171998091305</v>
      </c>
      <c r="E96" s="10">
        <f t="shared" ref="E96:O96" si="11">SUM(E94:E95)</f>
        <v>3179.0727202721009</v>
      </c>
      <c r="F96" s="10">
        <f t="shared" si="11"/>
        <v>3174.6406332292995</v>
      </c>
      <c r="G96" s="10">
        <f t="shared" si="11"/>
        <v>3170.2208869220985</v>
      </c>
      <c r="H96" s="10">
        <f t="shared" si="11"/>
        <v>3165.813429879704</v>
      </c>
      <c r="I96" s="10">
        <f t="shared" si="11"/>
        <v>3161.4182109171579</v>
      </c>
      <c r="J96" s="10">
        <f t="shared" si="11"/>
        <v>3157.0351791333551</v>
      </c>
      <c r="K96" s="10">
        <f t="shared" si="11"/>
        <v>3152.66428390908</v>
      </c>
      <c r="L96" s="10">
        <f t="shared" si="11"/>
        <v>3148.305474905058</v>
      </c>
      <c r="M96" s="10">
        <f t="shared" si="11"/>
        <v>3143.9587020600211</v>
      </c>
      <c r="N96" s="10">
        <f t="shared" si="11"/>
        <v>3139.6239155887934</v>
      </c>
      <c r="O96" s="10">
        <f t="shared" si="11"/>
        <v>3135.3010659803904</v>
      </c>
      <c r="P96" s="10">
        <f>SUM(P94:P95)</f>
        <v>37911.57170260619</v>
      </c>
      <c r="Q96" s="187"/>
      <c r="R96" s="187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  <c r="BJ96" s="192"/>
      <c r="BK96" s="192"/>
      <c r="BL96" s="192"/>
      <c r="BM96" s="192"/>
      <c r="BN96" s="192"/>
      <c r="BO96" s="192"/>
      <c r="BP96" s="192"/>
      <c r="BQ96" s="192"/>
      <c r="BR96" s="192"/>
      <c r="BS96" s="192"/>
      <c r="BT96" s="192"/>
      <c r="BU96" s="192"/>
      <c r="BV96" s="192"/>
      <c r="BW96" s="192"/>
      <c r="BX96" s="192"/>
      <c r="BY96" s="192"/>
      <c r="BZ96" s="192"/>
      <c r="CA96" s="192"/>
      <c r="CB96" s="192"/>
      <c r="CC96" s="192"/>
      <c r="CD96" s="192"/>
      <c r="CE96" s="192"/>
      <c r="CF96" s="192"/>
      <c r="CG96" s="192"/>
      <c r="CH96" s="192"/>
      <c r="CI96" s="192"/>
      <c r="CJ96" s="192"/>
      <c r="CK96" s="192"/>
      <c r="CL96" s="192"/>
      <c r="CM96" s="192"/>
      <c r="CN96" s="192"/>
      <c r="CO96" s="192"/>
      <c r="CP96" s="192"/>
      <c r="CQ96" s="192"/>
      <c r="CR96" s="192"/>
      <c r="CS96" s="192"/>
      <c r="CT96" s="192"/>
      <c r="CU96" s="192"/>
      <c r="CV96" s="192"/>
      <c r="CW96" s="192"/>
      <c r="CX96" s="192"/>
      <c r="CY96" s="192"/>
      <c r="CZ96" s="192"/>
      <c r="DA96" s="192"/>
      <c r="DB96" s="192"/>
      <c r="DC96" s="192"/>
      <c r="DD96" s="192"/>
      <c r="DE96" s="192"/>
      <c r="DF96" s="192"/>
      <c r="DG96" s="192"/>
      <c r="DH96" s="192"/>
    </row>
    <row r="97" spans="1:112" ht="31.9" customHeight="1" thickTop="1">
      <c r="P97" s="21"/>
      <c r="Q97" s="21"/>
      <c r="R97" s="21"/>
    </row>
    <row r="98" spans="1:112">
      <c r="A98" s="190" t="s">
        <v>811</v>
      </c>
      <c r="B98" s="55" t="s">
        <v>810</v>
      </c>
      <c r="C98" s="302" t="s">
        <v>794</v>
      </c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21"/>
      <c r="R98" s="21"/>
    </row>
    <row r="99" spans="1:112">
      <c r="A99" s="57" t="s">
        <v>659</v>
      </c>
      <c r="B99" s="57" t="s">
        <v>433</v>
      </c>
      <c r="C99" s="56" t="s">
        <v>432</v>
      </c>
      <c r="D99" s="141">
        <f>'P&amp;L$'!C149</f>
        <v>1347.7664057586098</v>
      </c>
      <c r="E99" s="141">
        <f>'P&amp;L$'!D149</f>
        <v>1345.8848012830792</v>
      </c>
      <c r="F99" s="141">
        <f>'P&amp;L$'!E149</f>
        <v>1344.0084432649589</v>
      </c>
      <c r="G99" s="141">
        <f>'P&amp;L$'!F149</f>
        <v>1342.1373097918374</v>
      </c>
      <c r="H99" s="141">
        <f>'P&amp;L$'!G149</f>
        <v>1340.2713790731596</v>
      </c>
      <c r="I99" s="141">
        <f>'P&amp;L$'!H149</f>
        <v>1338.4106294393807</v>
      </c>
      <c r="J99" s="141">
        <f>'P&amp;L$'!I149</f>
        <v>1336.5550393411283</v>
      </c>
      <c r="K99" s="141">
        <f>'P&amp;L$'!J149</f>
        <v>1334.7045873483696</v>
      </c>
      <c r="L99" s="141">
        <f>'P&amp;L$'!K149</f>
        <v>1332.8592521495864</v>
      </c>
      <c r="M99" s="141">
        <f>'P&amp;L$'!L149</f>
        <v>1331.0190125509578</v>
      </c>
      <c r="N99" s="141">
        <f>'P&amp;L$'!M149</f>
        <v>1329.1838474755477</v>
      </c>
      <c r="O99" s="141">
        <f>'P&amp;L$'!N149</f>
        <v>1327.3537359625011</v>
      </c>
      <c r="P99" s="21">
        <f>'P&amp;L$'!O149</f>
        <v>16050.154443439116</v>
      </c>
      <c r="Q99" s="21"/>
      <c r="R99" s="21"/>
    </row>
    <row r="100" spans="1:112">
      <c r="A100" s="57" t="s">
        <v>819</v>
      </c>
      <c r="B100" s="57" t="s">
        <v>435</v>
      </c>
      <c r="C100" s="56" t="s">
        <v>434</v>
      </c>
      <c r="D100" s="141">
        <f>'P&amp;L$'!C150</f>
        <v>487.98438829191048</v>
      </c>
      <c r="E100" s="141">
        <f>'P&amp;L$'!D150</f>
        <v>487.3031177059425</v>
      </c>
      <c r="F100" s="141">
        <f>'P&amp;L$'!E150</f>
        <v>486.62374669938168</v>
      </c>
      <c r="G100" s="141">
        <f>'P&amp;L$'!F150</f>
        <v>485.94626733842387</v>
      </c>
      <c r="H100" s="141">
        <f>'P&amp;L$'!G150</f>
        <v>485.27067173338531</v>
      </c>
      <c r="I100" s="141">
        <f>'P&amp;L$'!H150</f>
        <v>484.59695203839647</v>
      </c>
      <c r="J100" s="141">
        <f>'P&amp;L$'!I150</f>
        <v>483.92510045109822</v>
      </c>
      <c r="K100" s="141">
        <f>'P&amp;L$'!J150</f>
        <v>483.2551092123407</v>
      </c>
      <c r="L100" s="141">
        <f>'P&amp;L$'!K150</f>
        <v>482.58697060588474</v>
      </c>
      <c r="M100" s="141">
        <f>'P&amp;L$'!L150</f>
        <v>481.92067695810539</v>
      </c>
      <c r="N100" s="141">
        <f>'P&amp;L$'!M150</f>
        <v>481.25622063769828</v>
      </c>
      <c r="O100" s="141">
        <f>'P&amp;L$'!N150</f>
        <v>480.59359405538828</v>
      </c>
      <c r="P100" s="21">
        <f>'P&amp;L$'!O150</f>
        <v>5811.2628157279551</v>
      </c>
      <c r="Q100" s="21"/>
      <c r="R100" s="21"/>
    </row>
    <row r="101" spans="1:112" s="307" customFormat="1" ht="13.5" thickBot="1">
      <c r="A101" s="304" t="s">
        <v>785</v>
      </c>
      <c r="B101" s="304" t="s">
        <v>784</v>
      </c>
      <c r="D101" s="10">
        <f>SUM(D99:D100)</f>
        <v>1835.7507940505202</v>
      </c>
      <c r="E101" s="10">
        <f t="shared" ref="E101:O101" si="12">SUM(E99:E100)</f>
        <v>1833.1879189890217</v>
      </c>
      <c r="F101" s="10">
        <f t="shared" si="12"/>
        <v>1830.6321899643406</v>
      </c>
      <c r="G101" s="10">
        <f t="shared" si="12"/>
        <v>1828.0835771302613</v>
      </c>
      <c r="H101" s="10">
        <f t="shared" si="12"/>
        <v>1825.5420508065449</v>
      </c>
      <c r="I101" s="10">
        <f t="shared" si="12"/>
        <v>1823.0075814777772</v>
      </c>
      <c r="J101" s="10">
        <f t="shared" si="12"/>
        <v>1820.4801397922265</v>
      </c>
      <c r="K101" s="10">
        <f t="shared" si="12"/>
        <v>1817.9596965607102</v>
      </c>
      <c r="L101" s="10">
        <f t="shared" si="12"/>
        <v>1815.4462227554711</v>
      </c>
      <c r="M101" s="10">
        <f t="shared" si="12"/>
        <v>1812.9396895090631</v>
      </c>
      <c r="N101" s="10">
        <f t="shared" si="12"/>
        <v>1810.4400681132461</v>
      </c>
      <c r="O101" s="10">
        <f t="shared" si="12"/>
        <v>1807.9473300178893</v>
      </c>
      <c r="P101" s="10">
        <f>SUM(P99:P100)</f>
        <v>21861.417259167072</v>
      </c>
      <c r="Q101" s="187"/>
      <c r="R101" s="187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  <c r="BJ101" s="192"/>
      <c r="BK101" s="192"/>
      <c r="BL101" s="192"/>
      <c r="BM101" s="192"/>
      <c r="BN101" s="192"/>
      <c r="BO101" s="192"/>
      <c r="BP101" s="192"/>
      <c r="BQ101" s="192"/>
      <c r="BR101" s="192"/>
      <c r="BS101" s="192"/>
      <c r="BT101" s="192"/>
      <c r="BU101" s="192"/>
      <c r="BV101" s="192"/>
      <c r="BW101" s="192"/>
      <c r="BX101" s="192"/>
      <c r="BY101" s="192"/>
      <c r="BZ101" s="192"/>
      <c r="CA101" s="192"/>
      <c r="CB101" s="192"/>
      <c r="CC101" s="192"/>
      <c r="CD101" s="192"/>
      <c r="CE101" s="192"/>
      <c r="CF101" s="192"/>
      <c r="CG101" s="192"/>
      <c r="CH101" s="192"/>
      <c r="CI101" s="192"/>
      <c r="CJ101" s="192"/>
      <c r="CK101" s="192"/>
      <c r="CL101" s="192"/>
      <c r="CM101" s="192"/>
      <c r="CN101" s="192"/>
      <c r="CO101" s="192"/>
      <c r="CP101" s="192"/>
      <c r="CQ101" s="192"/>
      <c r="CR101" s="192"/>
      <c r="CS101" s="192"/>
      <c r="CT101" s="192"/>
      <c r="CU101" s="192"/>
      <c r="CV101" s="192"/>
      <c r="CW101" s="192"/>
      <c r="CX101" s="192"/>
      <c r="CY101" s="192"/>
      <c r="CZ101" s="192"/>
      <c r="DA101" s="192"/>
      <c r="DB101" s="192"/>
      <c r="DC101" s="192"/>
      <c r="DD101" s="192"/>
      <c r="DE101" s="192"/>
      <c r="DF101" s="192"/>
      <c r="DG101" s="192"/>
      <c r="DH101" s="192"/>
    </row>
    <row r="102" spans="1:112" ht="30" customHeight="1" thickTop="1">
      <c r="P102" s="21"/>
      <c r="Q102" s="21"/>
      <c r="R102" s="21"/>
    </row>
    <row r="103" spans="1:112">
      <c r="A103" s="133" t="s">
        <v>821</v>
      </c>
      <c r="B103" s="133" t="s">
        <v>812</v>
      </c>
      <c r="C103" s="302" t="s">
        <v>794</v>
      </c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21"/>
      <c r="R103" s="21"/>
    </row>
    <row r="104" spans="1:112" s="307" customFormat="1" ht="13.5" thickBot="1">
      <c r="A104" s="307" t="s">
        <v>820</v>
      </c>
      <c r="B104" s="193" t="s">
        <v>439</v>
      </c>
      <c r="C104" s="308" t="s">
        <v>440</v>
      </c>
      <c r="D104" s="306">
        <f>'P&amp;L$'!C155</f>
        <v>2091.3616641081876</v>
      </c>
      <c r="E104" s="306">
        <f>'P&amp;L$'!D155</f>
        <v>2088.4419330254677</v>
      </c>
      <c r="F104" s="306">
        <f>'P&amp;L$'!E155</f>
        <v>2085.5303429973501</v>
      </c>
      <c r="G104" s="306">
        <f>'P&amp;L$'!F155</f>
        <v>2082.6268600218168</v>
      </c>
      <c r="H104" s="306">
        <f>'P&amp;L$'!G155</f>
        <v>2079.7314502859372</v>
      </c>
      <c r="I104" s="306">
        <f>'P&amp;L$'!H155</f>
        <v>2076.8440801645561</v>
      </c>
      <c r="J104" s="306">
        <f>'P&amp;L$'!I155</f>
        <v>2073.9647162189922</v>
      </c>
      <c r="K104" s="306">
        <f>'P&amp;L$'!J155</f>
        <v>2071.0933251957458</v>
      </c>
      <c r="L104" s="306">
        <f>'P&amp;L$'!K155</f>
        <v>2068.2298740252204</v>
      </c>
      <c r="M104" s="306">
        <f>'P&amp;L$'!L155</f>
        <v>2065.3743298204517</v>
      </c>
      <c r="N104" s="306">
        <f>'P&amp;L$'!M155</f>
        <v>2062.5266598758499</v>
      </c>
      <c r="O104" s="306">
        <f>'P&amp;L$'!N155</f>
        <v>2059.6868316659497</v>
      </c>
      <c r="P104" s="210">
        <f>'P&amp;L$'!O155</f>
        <v>24905.412067405523</v>
      </c>
      <c r="Q104" s="187"/>
      <c r="R104" s="187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  <c r="BJ104" s="192"/>
      <c r="BK104" s="192"/>
      <c r="BL104" s="192"/>
      <c r="BM104" s="192"/>
      <c r="BN104" s="192"/>
      <c r="BO104" s="192"/>
      <c r="BP104" s="192"/>
      <c r="BQ104" s="192"/>
      <c r="BR104" s="192"/>
      <c r="BS104" s="192"/>
      <c r="BT104" s="192"/>
      <c r="BU104" s="192"/>
      <c r="BV104" s="192"/>
      <c r="BW104" s="192"/>
      <c r="BX104" s="192"/>
      <c r="BY104" s="192"/>
      <c r="BZ104" s="192"/>
      <c r="CA104" s="192"/>
      <c r="CB104" s="192"/>
      <c r="CC104" s="192"/>
      <c r="CD104" s="192"/>
      <c r="CE104" s="192"/>
      <c r="CF104" s="192"/>
      <c r="CG104" s="192"/>
      <c r="CH104" s="192"/>
      <c r="CI104" s="192"/>
      <c r="CJ104" s="192"/>
      <c r="CK104" s="192"/>
      <c r="CL104" s="192"/>
      <c r="CM104" s="192"/>
      <c r="CN104" s="192"/>
      <c r="CO104" s="192"/>
      <c r="CP104" s="192"/>
      <c r="CQ104" s="192"/>
      <c r="CR104" s="192"/>
      <c r="CS104" s="192"/>
      <c r="CT104" s="192"/>
      <c r="CU104" s="192"/>
      <c r="CV104" s="192"/>
      <c r="CW104" s="192"/>
      <c r="CX104" s="192"/>
      <c r="CY104" s="192"/>
      <c r="CZ104" s="192"/>
      <c r="DA104" s="192"/>
      <c r="DB104" s="192"/>
      <c r="DC104" s="192"/>
      <c r="DD104" s="192"/>
      <c r="DE104" s="192"/>
      <c r="DF104" s="192"/>
      <c r="DG104" s="192"/>
      <c r="DH104" s="192"/>
    </row>
    <row r="105" spans="1:112" ht="22.9" customHeight="1" thickTop="1"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21"/>
      <c r="Q105" s="21"/>
      <c r="R105" s="21"/>
    </row>
    <row r="106" spans="1:112">
      <c r="A106" s="133" t="s">
        <v>1210</v>
      </c>
      <c r="B106" s="133" t="s">
        <v>1211</v>
      </c>
      <c r="C106" s="302" t="s">
        <v>794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21"/>
      <c r="Q106" s="21"/>
      <c r="R106" s="21"/>
    </row>
    <row r="107" spans="1:112" s="138" customFormat="1" ht="13.5" thickBot="1">
      <c r="A107" s="309" t="s">
        <v>671</v>
      </c>
      <c r="B107" s="309" t="s">
        <v>1212</v>
      </c>
      <c r="C107" s="308" t="str">
        <f>'P&amp;L$'!A190</f>
        <v>761-003</v>
      </c>
      <c r="D107" s="306">
        <f>'P&amp;L$'!C190</f>
        <v>1045.6808320540938</v>
      </c>
      <c r="E107" s="306">
        <f>'P&amp;L$'!D190</f>
        <v>1044.2209665127339</v>
      </c>
      <c r="F107" s="306">
        <f>'P&amp;L$'!E190</f>
        <v>1042.765171498675</v>
      </c>
      <c r="G107" s="306">
        <f>'P&amp;L$'!F190</f>
        <v>1041.3134300109084</v>
      </c>
      <c r="H107" s="306">
        <f>'P&amp;L$'!G190</f>
        <v>1039.8657251429686</v>
      </c>
      <c r="I107" s="306">
        <f>'P&amp;L$'!H190</f>
        <v>1038.422040082278</v>
      </c>
      <c r="J107" s="306">
        <f>'P&amp;L$'!I190</f>
        <v>1036.9823581094961</v>
      </c>
      <c r="K107" s="306">
        <f>'P&amp;L$'!J190</f>
        <v>1035.5466625978729</v>
      </c>
      <c r="L107" s="306">
        <f>'P&amp;L$'!K190</f>
        <v>1034.1149370126102</v>
      </c>
      <c r="M107" s="306">
        <f>'P&amp;L$'!L190</f>
        <v>1032.6871649102259</v>
      </c>
      <c r="N107" s="306">
        <f>'P&amp;L$'!M190</f>
        <v>1031.2633299379249</v>
      </c>
      <c r="O107" s="306">
        <f>'P&amp;L$'!N190</f>
        <v>1029.8434158329749</v>
      </c>
      <c r="P107" s="210">
        <f>SUM(D107:O107)</f>
        <v>12452.706033702761</v>
      </c>
      <c r="Q107" s="303"/>
      <c r="R107" s="303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  <c r="BB107" s="190"/>
      <c r="BC107" s="190"/>
      <c r="BD107" s="190"/>
      <c r="BE107" s="190"/>
      <c r="BF107" s="190"/>
      <c r="BG107" s="190"/>
      <c r="BH107" s="190"/>
      <c r="BI107" s="190"/>
      <c r="BJ107" s="190"/>
      <c r="BK107" s="190"/>
      <c r="BL107" s="190"/>
      <c r="BM107" s="190"/>
      <c r="BN107" s="190"/>
      <c r="BO107" s="190"/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0"/>
      <c r="CA107" s="190"/>
      <c r="CB107" s="190"/>
      <c r="CC107" s="190"/>
      <c r="CD107" s="190"/>
      <c r="CE107" s="190"/>
      <c r="CF107" s="190"/>
      <c r="CG107" s="190"/>
      <c r="CH107" s="190"/>
      <c r="CI107" s="190"/>
      <c r="CJ107" s="190"/>
      <c r="CK107" s="190"/>
      <c r="CL107" s="190"/>
      <c r="CM107" s="190"/>
      <c r="CN107" s="190"/>
      <c r="CO107" s="190"/>
      <c r="CP107" s="190"/>
      <c r="CQ107" s="190"/>
      <c r="CR107" s="190"/>
      <c r="CS107" s="190"/>
      <c r="CT107" s="190"/>
      <c r="CU107" s="190"/>
      <c r="CV107" s="190"/>
      <c r="CW107" s="190"/>
      <c r="CX107" s="190"/>
      <c r="CY107" s="190"/>
      <c r="CZ107" s="190"/>
      <c r="DA107" s="190"/>
      <c r="DB107" s="190"/>
      <c r="DC107" s="190"/>
      <c r="DD107" s="190"/>
      <c r="DE107" s="190"/>
      <c r="DF107" s="190"/>
      <c r="DG107" s="190"/>
      <c r="DH107" s="190"/>
    </row>
    <row r="108" spans="1:112" ht="13.5" thickTop="1">
      <c r="A108" s="133"/>
      <c r="B108" s="133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21"/>
      <c r="Q108" s="21"/>
      <c r="R108" s="21"/>
    </row>
    <row r="109" spans="1:112" ht="22.9" customHeight="1"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21"/>
      <c r="Q109" s="21"/>
      <c r="R109" s="21"/>
    </row>
    <row r="110" spans="1:112" ht="18.75" thickBot="1">
      <c r="A110" s="311" t="s">
        <v>755</v>
      </c>
      <c r="B110" s="311" t="s">
        <v>813</v>
      </c>
      <c r="C110" s="312"/>
      <c r="D110" s="306">
        <f t="shared" ref="D110:P110" si="13">D15+D23+D54+D69+D82+D87+D91+D96+D101+D104+D107</f>
        <v>420929.46716775297</v>
      </c>
      <c r="E110" s="306">
        <f t="shared" si="13"/>
        <v>331675.8753244711</v>
      </c>
      <c r="F110" s="306">
        <f t="shared" si="13"/>
        <v>336997.17430272803</v>
      </c>
      <c r="G110" s="306">
        <f t="shared" si="13"/>
        <v>333986.81883454492</v>
      </c>
      <c r="H110" s="306">
        <f t="shared" si="13"/>
        <v>385101.71746716811</v>
      </c>
      <c r="I110" s="306">
        <f t="shared" si="13"/>
        <v>343384.79965336766</v>
      </c>
      <c r="J110" s="306">
        <f t="shared" si="13"/>
        <v>343521.78671118204</v>
      </c>
      <c r="K110" s="306">
        <f t="shared" si="13"/>
        <v>344221.66865241464</v>
      </c>
      <c r="L110" s="306">
        <f t="shared" si="13"/>
        <v>366885.6795394941</v>
      </c>
      <c r="M110" s="306">
        <f t="shared" si="13"/>
        <v>342217.18616988452</v>
      </c>
      <c r="N110" s="306">
        <f t="shared" si="13"/>
        <v>338439.42794626043</v>
      </c>
      <c r="O110" s="306">
        <f t="shared" si="13"/>
        <v>339883.31484186067</v>
      </c>
      <c r="P110" s="310">
        <f t="shared" si="13"/>
        <v>4227244.9166111285</v>
      </c>
      <c r="Q110" s="21"/>
      <c r="R110" s="21"/>
    </row>
    <row r="111" spans="1:112" ht="13.5" thickTop="1">
      <c r="P111" s="21"/>
      <c r="Q111" s="21"/>
    </row>
    <row r="112" spans="1:112">
      <c r="P112" s="21"/>
      <c r="Q112" s="21"/>
    </row>
    <row r="113" spans="16:17">
      <c r="P113" s="21"/>
      <c r="Q113" s="21"/>
    </row>
    <row r="114" spans="16:17">
      <c r="P114" s="21"/>
      <c r="Q114" s="21"/>
    </row>
    <row r="115" spans="16:17">
      <c r="P115" s="21"/>
      <c r="Q115" s="21"/>
    </row>
    <row r="116" spans="16:17">
      <c r="P116" s="21"/>
      <c r="Q116" s="21"/>
    </row>
    <row r="117" spans="16:17">
      <c r="P117" s="21"/>
      <c r="Q117" s="21"/>
    </row>
    <row r="118" spans="16:17">
      <c r="P118" s="21"/>
      <c r="Q118" s="21"/>
    </row>
  </sheetData>
  <pageMargins left="0.39370078740157483" right="0.39370078740157483" top="0.39370078740157483" bottom="0.39370078740157483" header="0.51181102362204722" footer="0.51181102362204722"/>
  <pageSetup scale="67" orientation="landscape" horizontalDpi="4294967292" r:id="rId1"/>
  <headerFooter alignWithMargins="0"/>
  <rowBreaks count="1" manualBreakCount="1">
    <brk id="55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view="pageBreakPreview" zoomScale="75" zoomScaleNormal="75" workbookViewId="0">
      <selection activeCell="C43" sqref="C43"/>
    </sheetView>
  </sheetViews>
  <sheetFormatPr defaultRowHeight="12.75"/>
  <cols>
    <col min="1" max="1" width="32.7109375" customWidth="1"/>
    <col min="2" max="13" width="9.85546875" bestFit="1" customWidth="1"/>
    <col min="14" max="14" width="10.85546875" bestFit="1" customWidth="1"/>
  </cols>
  <sheetData>
    <row r="1" spans="1:14">
      <c r="A1" s="2" t="s">
        <v>502</v>
      </c>
    </row>
    <row r="2" spans="1:14" ht="20.25">
      <c r="A2" s="111" t="s">
        <v>1308</v>
      </c>
    </row>
    <row r="4" spans="1:14">
      <c r="A4" s="2"/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</row>
    <row r="5" spans="1:14">
      <c r="A5" s="2"/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</row>
    <row r="6" spans="1:14">
      <c r="A6" s="394" t="s">
        <v>1328</v>
      </c>
      <c r="B6" s="395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</row>
    <row r="7" spans="1:14">
      <c r="A7" s="133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96"/>
    </row>
    <row r="8" spans="1:14">
      <c r="A8" s="396"/>
      <c r="B8" s="16" t="s">
        <v>50</v>
      </c>
      <c r="C8" s="16" t="s">
        <v>51</v>
      </c>
      <c r="D8" s="16" t="s">
        <v>52</v>
      </c>
      <c r="E8" s="16" t="s">
        <v>53</v>
      </c>
      <c r="F8" s="16" t="s">
        <v>54</v>
      </c>
      <c r="G8" s="16" t="s">
        <v>55</v>
      </c>
      <c r="H8" s="16" t="s">
        <v>56</v>
      </c>
      <c r="I8" s="16" t="s">
        <v>57</v>
      </c>
      <c r="J8" s="16" t="s">
        <v>58</v>
      </c>
      <c r="K8" s="16" t="s">
        <v>59</v>
      </c>
      <c r="L8" s="16" t="s">
        <v>60</v>
      </c>
      <c r="M8" s="16" t="s">
        <v>61</v>
      </c>
      <c r="N8" s="45" t="s">
        <v>97</v>
      </c>
    </row>
    <row r="9" spans="1:14" ht="13.5" thickBot="1">
      <c r="A9" s="397" t="s">
        <v>1329</v>
      </c>
      <c r="B9" s="305">
        <v>67728</v>
      </c>
      <c r="C9" s="305">
        <v>61344</v>
      </c>
      <c r="D9" s="305">
        <v>66408</v>
      </c>
      <c r="E9" s="305">
        <v>60624</v>
      </c>
      <c r="F9" s="305">
        <v>60768</v>
      </c>
      <c r="G9" s="305">
        <v>59520</v>
      </c>
      <c r="H9" s="305">
        <v>64080</v>
      </c>
      <c r="I9" s="305">
        <v>61872</v>
      </c>
      <c r="J9" s="305">
        <v>60624</v>
      </c>
      <c r="K9" s="305">
        <v>69048</v>
      </c>
      <c r="L9" s="305">
        <v>62520</v>
      </c>
      <c r="M9" s="305">
        <v>63768</v>
      </c>
      <c r="N9" s="305">
        <f>SUM(B9:M9)</f>
        <v>758304</v>
      </c>
    </row>
    <row r="10" spans="1:14" ht="13.5" thickTop="1">
      <c r="A10" s="393"/>
      <c r="B10" s="393"/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</row>
    <row r="11" spans="1:14">
      <c r="A11" s="393"/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393"/>
      <c r="N11" s="393"/>
    </row>
    <row r="12" spans="1:14">
      <c r="A12" s="393" t="s">
        <v>1330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3"/>
      <c r="N12" s="393"/>
    </row>
    <row r="13" spans="1:14" ht="40.15" customHeight="1">
      <c r="A13" s="393"/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</row>
    <row r="14" spans="1:14">
      <c r="A14" s="394" t="s">
        <v>1331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</row>
    <row r="15" spans="1:14" ht="12.6" customHeight="1">
      <c r="A15" s="399"/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399"/>
      <c r="N15" s="399"/>
    </row>
    <row r="16" spans="1:14">
      <c r="A16" s="400" t="s">
        <v>1332</v>
      </c>
      <c r="B16" s="401"/>
      <c r="C16" s="401"/>
      <c r="D16" s="401"/>
      <c r="E16" s="401"/>
      <c r="F16" s="401"/>
      <c r="G16" s="401"/>
      <c r="H16" s="401"/>
      <c r="I16" s="401"/>
      <c r="J16" s="401"/>
      <c r="K16" s="401"/>
      <c r="L16" s="401"/>
      <c r="M16" s="401"/>
      <c r="N16" s="399"/>
    </row>
    <row r="17" spans="1:14">
      <c r="A17" s="399"/>
      <c r="B17" s="88" t="s">
        <v>50</v>
      </c>
      <c r="C17" s="88" t="s">
        <v>51</v>
      </c>
      <c r="D17" s="88" t="s">
        <v>52</v>
      </c>
      <c r="E17" s="88" t="s">
        <v>53</v>
      </c>
      <c r="F17" s="88" t="s">
        <v>54</v>
      </c>
      <c r="G17" s="88" t="s">
        <v>55</v>
      </c>
      <c r="H17" s="88" t="s">
        <v>56</v>
      </c>
      <c r="I17" s="88" t="s">
        <v>57</v>
      </c>
      <c r="J17" s="88" t="s">
        <v>58</v>
      </c>
      <c r="K17" s="88" t="s">
        <v>59</v>
      </c>
      <c r="L17" s="88" t="s">
        <v>60</v>
      </c>
      <c r="M17" s="88" t="s">
        <v>61</v>
      </c>
      <c r="N17" s="87" t="s">
        <v>97</v>
      </c>
    </row>
    <row r="18" spans="1:14">
      <c r="A18" s="399" t="s">
        <v>551</v>
      </c>
      <c r="B18" s="401">
        <v>58678</v>
      </c>
      <c r="C18" s="401">
        <v>51179</v>
      </c>
      <c r="D18" s="401">
        <v>48808</v>
      </c>
      <c r="E18" s="401">
        <v>36968</v>
      </c>
      <c r="F18" s="401">
        <v>15026</v>
      </c>
      <c r="G18" s="401">
        <f>(15191.7+11353)/2</f>
        <v>13272.35</v>
      </c>
      <c r="H18" s="401">
        <f>(15371.5+4826)/2</f>
        <v>10098.75</v>
      </c>
      <c r="I18" s="401">
        <f>(16846.8+5697)/2</f>
        <v>11271.9</v>
      </c>
      <c r="J18" s="401">
        <v>23087</v>
      </c>
      <c r="K18" s="401">
        <v>38462</v>
      </c>
      <c r="L18" s="401">
        <v>45256.5</v>
      </c>
      <c r="M18" s="401">
        <v>53042</v>
      </c>
      <c r="N18" s="67">
        <f>SUM(B18:M18)</f>
        <v>405149.5</v>
      </c>
    </row>
    <row r="19" spans="1:14">
      <c r="A19" s="399" t="s">
        <v>552</v>
      </c>
      <c r="B19" s="401">
        <v>9804</v>
      </c>
      <c r="C19" s="401">
        <v>8129</v>
      </c>
      <c r="D19" s="401">
        <v>7085</v>
      </c>
      <c r="E19" s="401">
        <v>6634</v>
      </c>
      <c r="F19" s="401">
        <v>4307</v>
      </c>
      <c r="G19" s="401">
        <f>(3800.7+4427)/2</f>
        <v>4113.8500000000004</v>
      </c>
      <c r="H19" s="401">
        <f>(4239.2+11191)/2</f>
        <v>7715.1</v>
      </c>
      <c r="I19" s="401">
        <f>(3985.4+9775)/2</f>
        <v>6880.2</v>
      </c>
      <c r="J19" s="401">
        <v>3206</v>
      </c>
      <c r="K19" s="401">
        <v>4910</v>
      </c>
      <c r="L19" s="401">
        <v>6322</v>
      </c>
      <c r="M19" s="401">
        <v>8003</v>
      </c>
      <c r="N19" s="67">
        <f>SUM(B19:M19)</f>
        <v>77109.149999999994</v>
      </c>
    </row>
    <row r="20" spans="1:14" ht="13.5" thickBot="1">
      <c r="A20" s="399" t="s">
        <v>97</v>
      </c>
      <c r="B20" s="209">
        <f>SUM(B18:B19)</f>
        <v>68482</v>
      </c>
      <c r="C20" s="209">
        <f t="shared" ref="C20:N20" si="0">SUM(C18:C19)</f>
        <v>59308</v>
      </c>
      <c r="D20" s="209">
        <f t="shared" si="0"/>
        <v>55893</v>
      </c>
      <c r="E20" s="209">
        <f t="shared" si="0"/>
        <v>43602</v>
      </c>
      <c r="F20" s="209">
        <f t="shared" si="0"/>
        <v>19333</v>
      </c>
      <c r="G20" s="209">
        <f t="shared" si="0"/>
        <v>17386.2</v>
      </c>
      <c r="H20" s="209">
        <f t="shared" si="0"/>
        <v>17813.849999999999</v>
      </c>
      <c r="I20" s="209">
        <f t="shared" si="0"/>
        <v>18152.099999999999</v>
      </c>
      <c r="J20" s="209">
        <f t="shared" si="0"/>
        <v>26293</v>
      </c>
      <c r="K20" s="209">
        <f t="shared" si="0"/>
        <v>43372</v>
      </c>
      <c r="L20" s="209">
        <f t="shared" si="0"/>
        <v>51578.5</v>
      </c>
      <c r="M20" s="209">
        <f t="shared" si="0"/>
        <v>61045</v>
      </c>
      <c r="N20" s="209">
        <f t="shared" si="0"/>
        <v>482258.65</v>
      </c>
    </row>
    <row r="21" spans="1:14" ht="13.5" thickTop="1">
      <c r="A21" s="399"/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</row>
    <row r="22" spans="1:14">
      <c r="A22" s="399" t="s">
        <v>1333</v>
      </c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</row>
    <row r="23" spans="1:14">
      <c r="A23" s="399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  <c r="M23" s="402"/>
      <c r="N23" s="402"/>
    </row>
    <row r="24" spans="1:14">
      <c r="A24" s="400" t="s">
        <v>1334</v>
      </c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399"/>
    </row>
    <row r="25" spans="1:14">
      <c r="A25" s="399"/>
      <c r="B25" s="88" t="s">
        <v>50</v>
      </c>
      <c r="C25" s="88" t="s">
        <v>51</v>
      </c>
      <c r="D25" s="88" t="s">
        <v>52</v>
      </c>
      <c r="E25" s="88" t="s">
        <v>53</v>
      </c>
      <c r="F25" s="88" t="s">
        <v>54</v>
      </c>
      <c r="G25" s="88" t="s">
        <v>55</v>
      </c>
      <c r="H25" s="88" t="s">
        <v>56</v>
      </c>
      <c r="I25" s="88" t="s">
        <v>57</v>
      </c>
      <c r="J25" s="88" t="s">
        <v>58</v>
      </c>
      <c r="K25" s="88" t="s">
        <v>59</v>
      </c>
      <c r="L25" s="88" t="s">
        <v>60</v>
      </c>
      <c r="M25" s="88" t="s">
        <v>61</v>
      </c>
      <c r="N25" s="87" t="s">
        <v>97</v>
      </c>
    </row>
    <row r="26" spans="1:14" ht="13.5" thickBot="1">
      <c r="A26" s="399" t="s">
        <v>553</v>
      </c>
      <c r="B26" s="209">
        <v>12342</v>
      </c>
      <c r="C26" s="209">
        <v>11005</v>
      </c>
      <c r="D26" s="209">
        <v>10085</v>
      </c>
      <c r="E26" s="209">
        <v>6437</v>
      </c>
      <c r="F26" s="209">
        <v>1288</v>
      </c>
      <c r="G26" s="209">
        <v>1211</v>
      </c>
      <c r="H26" s="209">
        <v>1128</v>
      </c>
      <c r="I26" s="209">
        <v>1133</v>
      </c>
      <c r="J26" s="209">
        <v>2000</v>
      </c>
      <c r="K26" s="209">
        <v>6000</v>
      </c>
      <c r="L26" s="209">
        <v>7500</v>
      </c>
      <c r="M26" s="209">
        <v>9000</v>
      </c>
      <c r="N26" s="209">
        <f>SUM(B26:M26)</f>
        <v>69129</v>
      </c>
    </row>
    <row r="27" spans="1:14" ht="13.5" thickTop="1">
      <c r="A27" s="399"/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399"/>
    </row>
    <row r="28" spans="1:14">
      <c r="A28" s="399" t="s">
        <v>1333</v>
      </c>
      <c r="B28" s="401"/>
      <c r="C28" s="401"/>
      <c r="D28" s="401"/>
      <c r="E28" s="401"/>
      <c r="F28" s="401"/>
      <c r="G28" s="401"/>
      <c r="H28" s="401"/>
      <c r="I28" s="401"/>
      <c r="J28" s="401"/>
      <c r="K28" s="401"/>
      <c r="L28" s="401"/>
      <c r="M28" s="401"/>
      <c r="N28" s="399"/>
    </row>
    <row r="29" spans="1:14" ht="46.9" customHeight="1">
      <c r="A29" s="393"/>
      <c r="B29" s="393"/>
      <c r="C29" s="393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</row>
    <row r="30" spans="1:14">
      <c r="A30" s="403" t="s">
        <v>1337</v>
      </c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</row>
    <row r="31" spans="1:14">
      <c r="A31" s="393"/>
      <c r="B31" s="393"/>
      <c r="C31" s="393"/>
      <c r="D31" s="393"/>
      <c r="E31" s="393"/>
      <c r="F31" s="393"/>
      <c r="G31" s="393"/>
      <c r="H31" s="393"/>
      <c r="I31" s="393"/>
      <c r="J31" s="393"/>
      <c r="K31" s="393"/>
      <c r="L31" s="393"/>
      <c r="M31" s="393"/>
      <c r="N31" s="393"/>
    </row>
    <row r="32" spans="1:14">
      <c r="A32" s="396"/>
      <c r="B32" s="16" t="s">
        <v>50</v>
      </c>
      <c r="C32" s="16" t="s">
        <v>51</v>
      </c>
      <c r="D32" s="16" t="s">
        <v>52</v>
      </c>
      <c r="E32" s="16" t="s">
        <v>53</v>
      </c>
      <c r="F32" s="16" t="s">
        <v>54</v>
      </c>
      <c r="G32" s="16" t="s">
        <v>55</v>
      </c>
      <c r="H32" s="16" t="s">
        <v>56</v>
      </c>
      <c r="I32" s="16" t="s">
        <v>57</v>
      </c>
      <c r="J32" s="16" t="s">
        <v>58</v>
      </c>
      <c r="K32" s="16" t="s">
        <v>59</v>
      </c>
      <c r="L32" s="16" t="s">
        <v>60</v>
      </c>
      <c r="M32" s="16" t="s">
        <v>61</v>
      </c>
      <c r="N32" s="45" t="s">
        <v>97</v>
      </c>
    </row>
    <row r="33" spans="1:14" s="5" customFormat="1" ht="13.5" thickBot="1">
      <c r="A33" s="411" t="s">
        <v>1335</v>
      </c>
      <c r="B33" s="412">
        <v>15.9141779714738</v>
      </c>
      <c r="C33" s="412">
        <v>14.414117255523443</v>
      </c>
      <c r="D33" s="412">
        <v>15.604015041484104</v>
      </c>
      <c r="E33" s="412">
        <v>14.244937475529039</v>
      </c>
      <c r="F33" s="412">
        <v>14.278773431527918</v>
      </c>
      <c r="G33" s="412">
        <v>13.985528479537615</v>
      </c>
      <c r="H33" s="412">
        <v>15.05700041950219</v>
      </c>
      <c r="I33" s="412">
        <v>14.538182427519343</v>
      </c>
      <c r="J33" s="412">
        <v>14.244937475529039</v>
      </c>
      <c r="K33" s="412">
        <v>16.224340901463595</v>
      </c>
      <c r="L33" s="412">
        <v>14.690444229514309</v>
      </c>
      <c r="M33" s="412">
        <v>14.983689181504614</v>
      </c>
      <c r="N33" s="412">
        <v>178.18014429010904</v>
      </c>
    </row>
    <row r="34" spans="1:14" ht="35.450000000000003" customHeight="1" thickTop="1">
      <c r="A34" s="393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</row>
    <row r="35" spans="1:14">
      <c r="A35" s="404" t="s">
        <v>1336</v>
      </c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</row>
    <row r="36" spans="1:14">
      <c r="A36" s="39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</row>
    <row r="37" spans="1:14">
      <c r="A37" s="393"/>
      <c r="B37" s="16" t="s">
        <v>50</v>
      </c>
      <c r="C37" s="16" t="s">
        <v>51</v>
      </c>
      <c r="D37" s="16" t="s">
        <v>52</v>
      </c>
      <c r="E37" s="16" t="s">
        <v>53</v>
      </c>
      <c r="F37" s="16" t="s">
        <v>54</v>
      </c>
      <c r="G37" s="16" t="s">
        <v>55</v>
      </c>
      <c r="H37" s="16" t="s">
        <v>56</v>
      </c>
      <c r="I37" s="16" t="s">
        <v>57</v>
      </c>
      <c r="J37" s="16" t="s">
        <v>58</v>
      </c>
      <c r="K37" s="16" t="s">
        <v>59</v>
      </c>
      <c r="L37" s="16" t="s">
        <v>60</v>
      </c>
      <c r="M37" s="16" t="s">
        <v>61</v>
      </c>
      <c r="N37" s="1" t="s">
        <v>97</v>
      </c>
    </row>
    <row r="38" spans="1:14">
      <c r="A38" s="39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393"/>
    </row>
    <row r="39" spans="1:14">
      <c r="A39" s="57" t="s">
        <v>1339</v>
      </c>
      <c r="B39" s="405">
        <v>29358</v>
      </c>
      <c r="C39" s="405">
        <f>B39</f>
        <v>29358</v>
      </c>
      <c r="D39" s="405">
        <f t="shared" ref="D39:M39" si="1">C39</f>
        <v>29358</v>
      </c>
      <c r="E39" s="405">
        <f t="shared" si="1"/>
        <v>29358</v>
      </c>
      <c r="F39" s="405">
        <f t="shared" si="1"/>
        <v>29358</v>
      </c>
      <c r="G39" s="405">
        <f t="shared" si="1"/>
        <v>29358</v>
      </c>
      <c r="H39" s="405">
        <f t="shared" si="1"/>
        <v>29358</v>
      </c>
      <c r="I39" s="405">
        <f t="shared" si="1"/>
        <v>29358</v>
      </c>
      <c r="J39" s="405">
        <f t="shared" si="1"/>
        <v>29358</v>
      </c>
      <c r="K39" s="405">
        <f t="shared" si="1"/>
        <v>29358</v>
      </c>
      <c r="L39" s="405">
        <f t="shared" si="1"/>
        <v>29358</v>
      </c>
      <c r="M39" s="405">
        <f t="shared" si="1"/>
        <v>29358</v>
      </c>
      <c r="N39" s="406">
        <f t="shared" ref="N39:N44" si="2">SUM(B39:M39)</f>
        <v>352296</v>
      </c>
    </row>
    <row r="40" spans="1:14">
      <c r="A40" s="57" t="s">
        <v>1340</v>
      </c>
      <c r="B40" s="405">
        <v>125000</v>
      </c>
      <c r="C40" s="406">
        <v>115000</v>
      </c>
      <c r="D40" s="406">
        <f t="shared" ref="D40:L40" si="3">C40</f>
        <v>115000</v>
      </c>
      <c r="E40" s="406">
        <v>120000</v>
      </c>
      <c r="F40" s="406">
        <f t="shared" si="3"/>
        <v>120000</v>
      </c>
      <c r="G40" s="406">
        <v>130000</v>
      </c>
      <c r="H40" s="406">
        <f t="shared" si="3"/>
        <v>130000</v>
      </c>
      <c r="I40" s="406">
        <f t="shared" si="3"/>
        <v>130000</v>
      </c>
      <c r="J40" s="406">
        <f t="shared" si="3"/>
        <v>130000</v>
      </c>
      <c r="K40" s="406">
        <v>125000</v>
      </c>
      <c r="L40" s="406">
        <f t="shared" si="3"/>
        <v>125000</v>
      </c>
      <c r="M40" s="406">
        <v>120000</v>
      </c>
      <c r="N40" s="406">
        <f t="shared" si="2"/>
        <v>1485000</v>
      </c>
    </row>
    <row r="41" spans="1:14">
      <c r="A41" s="57" t="s">
        <v>1341</v>
      </c>
      <c r="B41" s="405">
        <v>20000</v>
      </c>
      <c r="C41" s="406">
        <f t="shared" ref="C41:M45" si="4">B41</f>
        <v>20000</v>
      </c>
      <c r="D41" s="406">
        <f t="shared" si="4"/>
        <v>20000</v>
      </c>
      <c r="E41" s="406">
        <f t="shared" si="4"/>
        <v>20000</v>
      </c>
      <c r="F41" s="406">
        <f t="shared" si="4"/>
        <v>20000</v>
      </c>
      <c r="G41" s="406">
        <f t="shared" si="4"/>
        <v>20000</v>
      </c>
      <c r="H41" s="406">
        <f t="shared" si="4"/>
        <v>20000</v>
      </c>
      <c r="I41" s="406">
        <f t="shared" si="4"/>
        <v>20000</v>
      </c>
      <c r="J41" s="406">
        <f t="shared" si="4"/>
        <v>20000</v>
      </c>
      <c r="K41" s="406">
        <f t="shared" si="4"/>
        <v>20000</v>
      </c>
      <c r="L41" s="406">
        <f t="shared" si="4"/>
        <v>20000</v>
      </c>
      <c r="M41" s="406">
        <f t="shared" si="4"/>
        <v>20000</v>
      </c>
      <c r="N41" s="406">
        <f t="shared" si="2"/>
        <v>240000</v>
      </c>
    </row>
    <row r="42" spans="1:14">
      <c r="A42" s="57" t="s">
        <v>1342</v>
      </c>
      <c r="B42" s="405">
        <v>10000</v>
      </c>
      <c r="C42" s="406">
        <f t="shared" si="4"/>
        <v>10000</v>
      </c>
      <c r="D42" s="406">
        <f t="shared" si="4"/>
        <v>10000</v>
      </c>
      <c r="E42" s="406">
        <f t="shared" si="4"/>
        <v>10000</v>
      </c>
      <c r="F42" s="406">
        <f t="shared" si="4"/>
        <v>10000</v>
      </c>
      <c r="G42" s="406">
        <f t="shared" si="4"/>
        <v>10000</v>
      </c>
      <c r="H42" s="406">
        <f t="shared" si="4"/>
        <v>10000</v>
      </c>
      <c r="I42" s="406">
        <f t="shared" si="4"/>
        <v>10000</v>
      </c>
      <c r="J42" s="406">
        <f t="shared" si="4"/>
        <v>10000</v>
      </c>
      <c r="K42" s="406">
        <f t="shared" si="4"/>
        <v>10000</v>
      </c>
      <c r="L42" s="406">
        <f t="shared" si="4"/>
        <v>10000</v>
      </c>
      <c r="M42" s="406">
        <f t="shared" si="4"/>
        <v>10000</v>
      </c>
      <c r="N42" s="406">
        <f t="shared" si="2"/>
        <v>120000</v>
      </c>
    </row>
    <row r="43" spans="1:14">
      <c r="A43" s="57" t="s">
        <v>1343</v>
      </c>
      <c r="B43" s="405">
        <v>4500</v>
      </c>
      <c r="C43" s="406">
        <f t="shared" si="4"/>
        <v>4500</v>
      </c>
      <c r="D43" s="406">
        <f t="shared" si="4"/>
        <v>4500</v>
      </c>
      <c r="E43" s="406">
        <f t="shared" si="4"/>
        <v>4500</v>
      </c>
      <c r="F43" s="406">
        <f t="shared" si="4"/>
        <v>4500</v>
      </c>
      <c r="G43" s="406">
        <f t="shared" si="4"/>
        <v>4500</v>
      </c>
      <c r="H43" s="406">
        <f t="shared" si="4"/>
        <v>4500</v>
      </c>
      <c r="I43" s="406">
        <f t="shared" si="4"/>
        <v>4500</v>
      </c>
      <c r="J43" s="406">
        <f t="shared" si="4"/>
        <v>4500</v>
      </c>
      <c r="K43" s="406">
        <f t="shared" si="4"/>
        <v>4500</v>
      </c>
      <c r="L43" s="406">
        <f t="shared" si="4"/>
        <v>4500</v>
      </c>
      <c r="M43" s="406">
        <f t="shared" si="4"/>
        <v>4500</v>
      </c>
      <c r="N43" s="406">
        <f t="shared" si="2"/>
        <v>54000</v>
      </c>
    </row>
    <row r="44" spans="1:14">
      <c r="A44" s="57" t="s">
        <v>1344</v>
      </c>
      <c r="B44" s="405">
        <v>3200</v>
      </c>
      <c r="C44" s="406">
        <f t="shared" si="4"/>
        <v>3200</v>
      </c>
      <c r="D44" s="406">
        <f t="shared" si="4"/>
        <v>3200</v>
      </c>
      <c r="E44" s="406">
        <f t="shared" si="4"/>
        <v>3200</v>
      </c>
      <c r="F44" s="406">
        <f t="shared" si="4"/>
        <v>3200</v>
      </c>
      <c r="G44" s="406">
        <f t="shared" si="4"/>
        <v>3200</v>
      </c>
      <c r="H44" s="406">
        <f t="shared" si="4"/>
        <v>3200</v>
      </c>
      <c r="I44" s="406">
        <f t="shared" si="4"/>
        <v>3200</v>
      </c>
      <c r="J44" s="406">
        <f t="shared" si="4"/>
        <v>3200</v>
      </c>
      <c r="K44" s="406">
        <f t="shared" si="4"/>
        <v>3200</v>
      </c>
      <c r="L44" s="406">
        <f t="shared" si="4"/>
        <v>3200</v>
      </c>
      <c r="M44" s="406">
        <f t="shared" si="4"/>
        <v>3200</v>
      </c>
      <c r="N44" s="406">
        <f t="shared" si="2"/>
        <v>38400</v>
      </c>
    </row>
    <row r="45" spans="1:14">
      <c r="A45" s="4" t="s">
        <v>1345</v>
      </c>
      <c r="B45" s="76">
        <v>36443.449999999997</v>
      </c>
      <c r="C45" s="97">
        <f t="shared" si="4"/>
        <v>36443.449999999997</v>
      </c>
      <c r="D45" s="97">
        <f t="shared" si="4"/>
        <v>36443.449999999997</v>
      </c>
      <c r="E45" s="97">
        <f t="shared" si="4"/>
        <v>36443.449999999997</v>
      </c>
      <c r="F45" s="97">
        <f t="shared" si="4"/>
        <v>36443.449999999997</v>
      </c>
      <c r="G45" s="97">
        <f t="shared" si="4"/>
        <v>36443.449999999997</v>
      </c>
      <c r="H45" s="97">
        <f t="shared" si="4"/>
        <v>36443.449999999997</v>
      </c>
      <c r="I45" s="97">
        <f t="shared" si="4"/>
        <v>36443.449999999997</v>
      </c>
      <c r="J45" s="97">
        <f t="shared" si="4"/>
        <v>36443.449999999997</v>
      </c>
      <c r="K45" s="97">
        <f t="shared" si="4"/>
        <v>36443.449999999997</v>
      </c>
      <c r="L45" s="97">
        <f t="shared" si="4"/>
        <v>36443.449999999997</v>
      </c>
      <c r="M45" s="97">
        <f t="shared" si="4"/>
        <v>36443.449999999997</v>
      </c>
      <c r="N45" s="406">
        <f>SUM(B45:M45)</f>
        <v>437321.40000000008</v>
      </c>
    </row>
    <row r="46" spans="1:14" ht="13.5" thickBot="1">
      <c r="A46" s="47" t="s">
        <v>1346</v>
      </c>
      <c r="B46" s="209">
        <f>SUM(B39:B45)</f>
        <v>228501.45</v>
      </c>
      <c r="C46" s="209">
        <f t="shared" ref="C46:N46" si="5">SUM(C39:C45)</f>
        <v>218501.45</v>
      </c>
      <c r="D46" s="209">
        <f t="shared" si="5"/>
        <v>218501.45</v>
      </c>
      <c r="E46" s="209">
        <f t="shared" si="5"/>
        <v>223501.45</v>
      </c>
      <c r="F46" s="209">
        <f t="shared" si="5"/>
        <v>223501.45</v>
      </c>
      <c r="G46" s="209">
        <f t="shared" si="5"/>
        <v>233501.45</v>
      </c>
      <c r="H46" s="209">
        <f t="shared" si="5"/>
        <v>233501.45</v>
      </c>
      <c r="I46" s="209">
        <f t="shared" si="5"/>
        <v>233501.45</v>
      </c>
      <c r="J46" s="209">
        <f t="shared" si="5"/>
        <v>233501.45</v>
      </c>
      <c r="K46" s="209">
        <f t="shared" si="5"/>
        <v>228501.45</v>
      </c>
      <c r="L46" s="209">
        <f t="shared" si="5"/>
        <v>228501.45</v>
      </c>
      <c r="M46" s="209">
        <f t="shared" si="5"/>
        <v>223501.45</v>
      </c>
      <c r="N46" s="209">
        <f t="shared" si="5"/>
        <v>2727017.4</v>
      </c>
    </row>
    <row r="47" spans="1:14" ht="46.9" customHeight="1" thickTop="1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</row>
    <row r="48" spans="1:14">
      <c r="A48" s="407" t="s">
        <v>1338</v>
      </c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</row>
    <row r="49" spans="1:14">
      <c r="A49" s="13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396"/>
    </row>
    <row r="50" spans="1:14">
      <c r="A50" s="396"/>
      <c r="B50" s="16" t="s">
        <v>50</v>
      </c>
      <c r="C50" s="16" t="s">
        <v>51</v>
      </c>
      <c r="D50" s="16" t="s">
        <v>52</v>
      </c>
      <c r="E50" s="16" t="s">
        <v>53</v>
      </c>
      <c r="F50" s="16" t="s">
        <v>54</v>
      </c>
      <c r="G50" s="16" t="s">
        <v>55</v>
      </c>
      <c r="H50" s="16" t="s">
        <v>56</v>
      </c>
      <c r="I50" s="16" t="s">
        <v>57</v>
      </c>
      <c r="J50" s="16" t="s">
        <v>58</v>
      </c>
      <c r="K50" s="16" t="s">
        <v>59</v>
      </c>
      <c r="L50" s="16" t="s">
        <v>60</v>
      </c>
      <c r="M50" s="16" t="s">
        <v>61</v>
      </c>
      <c r="N50" s="45" t="s">
        <v>97</v>
      </c>
    </row>
    <row r="51" spans="1:14">
      <c r="A51" s="133" t="s">
        <v>146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6"/>
    </row>
    <row r="52" spans="1:14" ht="13.5" thickBot="1">
      <c r="A52" s="397" t="s">
        <v>150</v>
      </c>
      <c r="B52" s="305">
        <v>90000</v>
      </c>
      <c r="C52" s="305">
        <v>90000</v>
      </c>
      <c r="D52" s="305">
        <v>95000</v>
      </c>
      <c r="E52" s="305">
        <v>100000</v>
      </c>
      <c r="F52" s="305">
        <v>100000</v>
      </c>
      <c r="G52" s="305">
        <v>110000</v>
      </c>
      <c r="H52" s="305">
        <v>110000</v>
      </c>
      <c r="I52" s="305">
        <v>115000</v>
      </c>
      <c r="J52" s="305">
        <v>110000</v>
      </c>
      <c r="K52" s="305">
        <v>110000</v>
      </c>
      <c r="L52" s="305">
        <v>100000</v>
      </c>
      <c r="M52" s="305">
        <v>90000</v>
      </c>
      <c r="N52" s="305">
        <f>SUM(B52:M52)</f>
        <v>1220000</v>
      </c>
    </row>
    <row r="53" spans="1:14" ht="13.5" thickTop="1">
      <c r="A53" s="397"/>
      <c r="B53" s="408"/>
      <c r="C53" s="408"/>
      <c r="D53" s="408"/>
      <c r="E53" s="408"/>
      <c r="F53" s="408"/>
      <c r="G53" s="408"/>
      <c r="H53" s="393"/>
      <c r="I53" s="408"/>
      <c r="J53" s="408"/>
      <c r="K53" s="408"/>
      <c r="L53" s="408"/>
      <c r="M53" s="408"/>
      <c r="N53" s="397"/>
    </row>
    <row r="54" spans="1:14">
      <c r="A54" s="200" t="s">
        <v>147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397"/>
    </row>
    <row r="55" spans="1:14" ht="13.5" thickBot="1">
      <c r="A55" s="397" t="s">
        <v>524</v>
      </c>
      <c r="B55" s="409">
        <v>78.357142857142861</v>
      </c>
      <c r="C55" s="409">
        <v>78.357142857142861</v>
      </c>
      <c r="D55" s="409">
        <v>78.357142857142861</v>
      </c>
      <c r="E55" s="409">
        <v>78.357142857142861</v>
      </c>
      <c r="F55" s="409">
        <v>78.357142857142861</v>
      </c>
      <c r="G55" s="409">
        <v>78.357142857142861</v>
      </c>
      <c r="H55" s="409">
        <v>78.357142857142861</v>
      </c>
      <c r="I55" s="409">
        <v>78.357142857142861</v>
      </c>
      <c r="J55" s="409">
        <v>78.357142857142861</v>
      </c>
      <c r="K55" s="409">
        <v>78.357142857142861</v>
      </c>
      <c r="L55" s="409">
        <v>78.357142857142861</v>
      </c>
      <c r="M55" s="409">
        <v>78.357142857142861</v>
      </c>
      <c r="N55" s="305">
        <f>SUM(B55:M55)</f>
        <v>940.28571428571456</v>
      </c>
    </row>
    <row r="56" spans="1:14" ht="13.5" thickTop="1">
      <c r="A56" s="397"/>
      <c r="B56" s="405"/>
      <c r="C56" s="405"/>
      <c r="D56" s="405"/>
      <c r="E56" s="405"/>
      <c r="F56" s="405"/>
      <c r="G56" s="405"/>
      <c r="H56" s="405"/>
      <c r="I56" s="405"/>
      <c r="J56" s="405"/>
      <c r="K56" s="405"/>
      <c r="L56" s="405"/>
      <c r="M56" s="405"/>
      <c r="N56" s="397"/>
    </row>
    <row r="57" spans="1:14">
      <c r="A57" s="200" t="s">
        <v>148</v>
      </c>
      <c r="B57" s="408"/>
      <c r="C57" s="408"/>
      <c r="D57" s="408"/>
      <c r="E57" s="408"/>
      <c r="F57" s="408"/>
      <c r="G57" s="408"/>
      <c r="H57" s="393"/>
      <c r="I57" s="408"/>
      <c r="J57" s="408"/>
      <c r="K57" s="408"/>
      <c r="L57" s="408"/>
      <c r="M57" s="408"/>
      <c r="N57" s="397"/>
    </row>
    <row r="58" spans="1:14" ht="13.5" thickBot="1">
      <c r="A58" s="397" t="s">
        <v>535</v>
      </c>
      <c r="B58" s="305">
        <v>2500</v>
      </c>
      <c r="C58" s="305">
        <v>2500</v>
      </c>
      <c r="D58" s="305">
        <v>2500</v>
      </c>
      <c r="E58" s="305">
        <v>2500</v>
      </c>
      <c r="F58" s="305">
        <v>3000</v>
      </c>
      <c r="G58" s="305">
        <v>3000</v>
      </c>
      <c r="H58" s="305">
        <v>2900</v>
      </c>
      <c r="I58" s="305">
        <v>2900</v>
      </c>
      <c r="J58" s="305">
        <v>2900</v>
      </c>
      <c r="K58" s="305">
        <v>2900</v>
      </c>
      <c r="L58" s="305">
        <v>2500</v>
      </c>
      <c r="M58" s="305">
        <v>2500</v>
      </c>
      <c r="N58" s="305">
        <f>SUM(B58:M58)</f>
        <v>32600</v>
      </c>
    </row>
    <row r="59" spans="1:14" ht="13.5" thickTop="1">
      <c r="A59" s="397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10"/>
    </row>
    <row r="60" spans="1:14">
      <c r="A60" s="200" t="s">
        <v>529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6"/>
    </row>
    <row r="61" spans="1:14" ht="13.5" thickBot="1">
      <c r="A61" s="396" t="s">
        <v>523</v>
      </c>
      <c r="B61" s="306">
        <v>4000</v>
      </c>
      <c r="C61" s="306">
        <v>3000</v>
      </c>
      <c r="D61" s="306">
        <v>3700</v>
      </c>
      <c r="E61" s="306">
        <v>2500</v>
      </c>
      <c r="F61" s="306">
        <v>500</v>
      </c>
      <c r="G61" s="306">
        <v>500</v>
      </c>
      <c r="H61" s="306">
        <v>500</v>
      </c>
      <c r="I61" s="306">
        <v>500</v>
      </c>
      <c r="J61" s="306">
        <v>1000</v>
      </c>
      <c r="K61" s="306">
        <v>2000</v>
      </c>
      <c r="L61" s="306">
        <v>2500</v>
      </c>
      <c r="M61" s="306">
        <v>3500</v>
      </c>
      <c r="N61" s="305">
        <f>SUM(B61:M61)</f>
        <v>24200</v>
      </c>
    </row>
    <row r="62" spans="1:14" ht="13.5" thickTop="1"/>
  </sheetData>
  <pageMargins left="0.74803149606299213" right="0.74803149606299213" top="0.98425196850393704" bottom="0.98425196850393704" header="0.51181102362204722" footer="0.51181102362204722"/>
  <pageSetup paperSize="9" scale="70" orientation="landscape" horizontalDpi="4294967292" r:id="rId1"/>
  <headerFooter alignWithMargins="0"/>
  <rowBreaks count="1" manualBreakCount="1">
    <brk id="34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88"/>
  <sheetViews>
    <sheetView view="pageBreakPreview" topLeftCell="A27" zoomScale="75" zoomScaleNormal="75" workbookViewId="0">
      <selection activeCell="A37" sqref="A37"/>
    </sheetView>
  </sheetViews>
  <sheetFormatPr defaultColWidth="8.85546875" defaultRowHeight="12.75"/>
  <cols>
    <col min="1" max="1" width="38.7109375" style="117" customWidth="1"/>
    <col min="2" max="2" width="13.28515625" style="117" customWidth="1"/>
    <col min="3" max="3" width="13.85546875" style="117" customWidth="1"/>
    <col min="4" max="5" width="13.5703125" style="117" customWidth="1"/>
    <col min="6" max="6" width="13" style="117" customWidth="1"/>
    <col min="7" max="7" width="13.140625" style="117" customWidth="1"/>
    <col min="8" max="9" width="12.7109375" style="117" customWidth="1"/>
    <col min="10" max="13" width="12.28515625" style="117" bestFit="1" customWidth="1"/>
    <col min="14" max="14" width="14.85546875" style="117" customWidth="1"/>
    <col min="15" max="15" width="52.7109375" style="117" customWidth="1"/>
    <col min="16" max="16" width="22.140625" style="117" customWidth="1"/>
    <col min="17" max="28" width="11.5703125" style="117" customWidth="1"/>
    <col min="29" max="29" width="12.7109375" style="117" customWidth="1"/>
    <col min="30" max="30" width="8.85546875" style="117"/>
    <col min="31" max="31" width="22.42578125" style="117" customWidth="1"/>
    <col min="32" max="43" width="11.5703125" style="117" customWidth="1"/>
    <col min="44" max="44" width="12.7109375" style="117" customWidth="1"/>
    <col min="45" max="16384" width="8.85546875" style="117"/>
  </cols>
  <sheetData>
    <row r="1" spans="1:44" s="75" customFormat="1">
      <c r="A1" s="2" t="s">
        <v>502</v>
      </c>
      <c r="P1" s="68" t="s">
        <v>603</v>
      </c>
      <c r="AE1" s="68" t="s">
        <v>604</v>
      </c>
    </row>
    <row r="2" spans="1:44" ht="26.25" customHeight="1">
      <c r="A2" s="111" t="s">
        <v>1309</v>
      </c>
    </row>
    <row r="3" spans="1:44" ht="15.75">
      <c r="A3" s="95"/>
      <c r="C3" s="117" t="s">
        <v>1279</v>
      </c>
      <c r="P3" s="95" t="s">
        <v>89</v>
      </c>
      <c r="AE3" s="95" t="s">
        <v>89</v>
      </c>
    </row>
    <row r="5" spans="1:44" s="75" customFormat="1" ht="18">
      <c r="A5" s="89" t="s">
        <v>774</v>
      </c>
      <c r="P5" s="89" t="s">
        <v>537</v>
      </c>
      <c r="AE5" s="89" t="s">
        <v>537</v>
      </c>
    </row>
    <row r="6" spans="1:44" s="75" customFormat="1" ht="13.5" thickBot="1">
      <c r="A6" s="118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</row>
    <row r="7" spans="1:44" s="75" customFormat="1">
      <c r="A7" s="109" t="s">
        <v>778</v>
      </c>
      <c r="C7" s="87"/>
      <c r="D7" s="415">
        <v>1</v>
      </c>
      <c r="E7" s="87"/>
      <c r="F7" s="87"/>
      <c r="G7" s="87"/>
      <c r="H7" s="87"/>
      <c r="I7" s="87"/>
      <c r="J7" s="87"/>
      <c r="K7" s="87"/>
      <c r="L7" s="87"/>
      <c r="M7" s="87"/>
      <c r="N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s="75" customFormat="1">
      <c r="A8" s="109" t="s">
        <v>779</v>
      </c>
      <c r="C8" s="87"/>
      <c r="D8" s="416"/>
      <c r="E8" s="87"/>
      <c r="F8" s="87"/>
      <c r="G8" s="87"/>
      <c r="H8" s="87"/>
      <c r="I8" s="87"/>
      <c r="J8" s="87"/>
      <c r="K8" s="87"/>
      <c r="L8" s="87"/>
      <c r="M8" s="87"/>
      <c r="N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</row>
    <row r="9" spans="1:44" s="75" customFormat="1" ht="13.5" thickBot="1">
      <c r="A9" s="418" t="s">
        <v>780</v>
      </c>
      <c r="B9" s="418"/>
      <c r="C9" s="419"/>
      <c r="D9" s="417"/>
      <c r="E9" s="87"/>
      <c r="F9" s="87"/>
      <c r="G9" s="87"/>
      <c r="H9" s="87"/>
      <c r="I9" s="87"/>
      <c r="J9" s="87"/>
      <c r="K9" s="87"/>
      <c r="L9" s="87"/>
      <c r="M9" s="87"/>
      <c r="N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</row>
    <row r="10" spans="1:44" s="75" customFormat="1" ht="18">
      <c r="A10" s="214"/>
      <c r="B10" s="214"/>
      <c r="C10" s="238"/>
      <c r="D10" s="110"/>
      <c r="E10" s="87"/>
      <c r="F10" s="87"/>
      <c r="G10" s="87"/>
      <c r="H10" s="87"/>
      <c r="I10" s="87"/>
      <c r="J10" s="87"/>
      <c r="K10" s="87"/>
      <c r="L10" s="87"/>
      <c r="M10" s="87"/>
      <c r="N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</row>
    <row r="11" spans="1:44" s="75" customFormat="1">
      <c r="A11" s="109"/>
      <c r="B11" s="87" t="s">
        <v>50</v>
      </c>
      <c r="C11" s="87" t="s">
        <v>51</v>
      </c>
      <c r="D11" s="87" t="s">
        <v>52</v>
      </c>
      <c r="E11" s="87" t="s">
        <v>53</v>
      </c>
      <c r="F11" s="87" t="s">
        <v>54</v>
      </c>
      <c r="G11" s="87" t="s">
        <v>55</v>
      </c>
      <c r="H11" s="87" t="s">
        <v>56</v>
      </c>
      <c r="I11" s="87" t="s">
        <v>57</v>
      </c>
      <c r="J11" s="87" t="s">
        <v>58</v>
      </c>
      <c r="K11" s="87" t="s">
        <v>59</v>
      </c>
      <c r="L11" s="87" t="s">
        <v>60</v>
      </c>
      <c r="M11" s="87" t="s">
        <v>61</v>
      </c>
      <c r="N11" s="87" t="s">
        <v>97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</row>
    <row r="12" spans="1:44" s="222" customFormat="1" ht="15.75">
      <c r="A12" s="222" t="s">
        <v>122</v>
      </c>
      <c r="B12" s="223">
        <f>IF($D$7=1,B21,IF($D$7=2,B32,IF($D$7=3,B42)))</f>
        <v>13639555.340833332</v>
      </c>
      <c r="C12" s="223">
        <f>IF($D$7=1,C21,IF($D$7=2,C32,IF($D$7=3,C42)))</f>
        <v>12909225.740833335</v>
      </c>
      <c r="D12" s="223">
        <f>IF($D$7=1,D21,IF($D$7=2,D32,IF($D$7=3,D42)))</f>
        <v>13488547.340833332</v>
      </c>
      <c r="E12" s="223">
        <f t="shared" ref="E12:M12" si="0">IF($D$7=1,E21,IF($D$7=2,E32,IF($D$7=3,E42)))</f>
        <v>12826857.740833335</v>
      </c>
      <c r="F12" s="223">
        <f t="shared" si="0"/>
        <v>12843331.340833332</v>
      </c>
      <c r="G12" s="223">
        <f t="shared" si="0"/>
        <v>12700560.140833333</v>
      </c>
      <c r="H12" s="223">
        <f t="shared" si="0"/>
        <v>16138271.950833336</v>
      </c>
      <c r="I12" s="223">
        <f t="shared" si="0"/>
        <v>15835643.470833335</v>
      </c>
      <c r="J12" s="223">
        <f t="shared" si="0"/>
        <v>15664592.590833334</v>
      </c>
      <c r="K12" s="223">
        <f t="shared" si="0"/>
        <v>16819186.030833334</v>
      </c>
      <c r="L12" s="223">
        <f t="shared" si="0"/>
        <v>15924458.350833334</v>
      </c>
      <c r="M12" s="223">
        <f t="shared" si="0"/>
        <v>16095509.230833333</v>
      </c>
      <c r="N12" s="223">
        <f>SUM(B12:M12)</f>
        <v>174885739.26999998</v>
      </c>
      <c r="P12" s="222" t="s">
        <v>122</v>
      </c>
      <c r="Q12" s="223">
        <f t="shared" ref="Q12:AB12" si="1">Q18+Q19</f>
        <v>14624872.850466669</v>
      </c>
      <c r="R12" s="223">
        <f t="shared" si="1"/>
        <v>13825354.130466668</v>
      </c>
      <c r="S12" s="223">
        <f t="shared" si="1"/>
        <v>14447836.562466668</v>
      </c>
      <c r="T12" s="223">
        <f t="shared" si="1"/>
        <v>13459859.858466666</v>
      </c>
      <c r="U12" s="223">
        <f t="shared" si="1"/>
        <v>13608341.906466667</v>
      </c>
      <c r="V12" s="223">
        <f t="shared" si="1"/>
        <v>11358267.794466667</v>
      </c>
      <c r="W12" s="223">
        <f t="shared" si="1"/>
        <v>16941169.638466671</v>
      </c>
      <c r="X12" s="223">
        <f t="shared" si="1"/>
        <v>16448543.104066668</v>
      </c>
      <c r="Y12" s="223">
        <f t="shared" si="1"/>
        <v>14956979.430466669</v>
      </c>
      <c r="Z12" s="223">
        <f t="shared" si="1"/>
        <v>18042737.30566667</v>
      </c>
      <c r="AA12" s="223">
        <f t="shared" si="1"/>
        <v>17016432.025666669</v>
      </c>
      <c r="AB12" s="223">
        <f t="shared" si="1"/>
        <v>17618531.123266667</v>
      </c>
      <c r="AC12" s="223">
        <f>SUM(Q12:AB12)</f>
        <v>182348925.7304</v>
      </c>
      <c r="AE12" s="222" t="s">
        <v>122</v>
      </c>
      <c r="AF12" s="223">
        <f t="shared" ref="AF12:AQ12" si="2">AF18+AF19</f>
        <v>14933336.326774668</v>
      </c>
      <c r="AG12" s="223">
        <f t="shared" si="2"/>
        <v>14449056.416374668</v>
      </c>
      <c r="AH12" s="223">
        <f t="shared" si="2"/>
        <v>15272332.264054669</v>
      </c>
      <c r="AI12" s="223">
        <f t="shared" si="2"/>
        <v>14140327.973494668</v>
      </c>
      <c r="AJ12" s="223">
        <f t="shared" si="2"/>
        <v>13547085.083254669</v>
      </c>
      <c r="AK12" s="223">
        <f t="shared" si="2"/>
        <v>13843706.528374668</v>
      </c>
      <c r="AL12" s="223">
        <f t="shared" si="2"/>
        <v>17624022.180422671</v>
      </c>
      <c r="AM12" s="223">
        <f t="shared" si="2"/>
        <v>17624022.180422671</v>
      </c>
      <c r="AN12" s="223">
        <f t="shared" si="2"/>
        <v>17435455.690310668</v>
      </c>
      <c r="AO12" s="223">
        <f t="shared" si="2"/>
        <v>18218731.880006671</v>
      </c>
      <c r="AP12" s="223">
        <f t="shared" si="2"/>
        <v>17827093.785158668</v>
      </c>
      <c r="AQ12" s="223">
        <f t="shared" si="2"/>
        <v>18624875.089478668</v>
      </c>
      <c r="AR12" s="223">
        <f>SUM(AF12:AQ12)</f>
        <v>193540045.398128</v>
      </c>
    </row>
    <row r="13" spans="1:44" s="224" customFormat="1" ht="16.5" thickBot="1">
      <c r="A13" s="224" t="s">
        <v>123</v>
      </c>
      <c r="B13" s="225">
        <f>B12/Factors!C11</f>
        <v>3169471.4617001018</v>
      </c>
      <c r="C13" s="225">
        <f>C12/Factors!D11</f>
        <v>2995574.2622275664</v>
      </c>
      <c r="D13" s="225">
        <f>D12/Factors!E11</f>
        <v>3125641.6402515704</v>
      </c>
      <c r="E13" s="225">
        <f>E12/Factors!F11</f>
        <v>2968173.162304251</v>
      </c>
      <c r="F13" s="225">
        <f>F12/Factors!G11</f>
        <v>2967853.3462193483</v>
      </c>
      <c r="G13" s="225">
        <f>G12/Factors!H11</f>
        <v>2930787.0159181813</v>
      </c>
      <c r="H13" s="225">
        <f>H12/Factors!I11</f>
        <v>3718911.8451972203</v>
      </c>
      <c r="I13" s="225">
        <f>I12/Factors!J11</f>
        <v>3644121.7214025017</v>
      </c>
      <c r="J13" s="225">
        <f>J12/Factors!K11</f>
        <v>3599775.3734217365</v>
      </c>
      <c r="K13" s="225">
        <f>K12/Factors!L11</f>
        <v>3859768.3418397666</v>
      </c>
      <c r="L13" s="225">
        <f>L12/Factors!M11</f>
        <v>3649402.2102973736</v>
      </c>
      <c r="M13" s="225">
        <f>M12/Factors!N11</f>
        <v>3683523.1568561285</v>
      </c>
      <c r="N13" s="225">
        <f>SUM(B13:M13)</f>
        <v>40313003.537635744</v>
      </c>
      <c r="P13" s="224" t="s">
        <v>123</v>
      </c>
      <c r="Q13" s="225">
        <f>Q12/Factors!R11</f>
        <v>3333074.1936260099</v>
      </c>
      <c r="R13" s="225">
        <f>R12/Factors!S11</f>
        <v>3137840.2033763798</v>
      </c>
      <c r="S13" s="225">
        <f>S12/Factors!T11</f>
        <v>3265626.1962989788</v>
      </c>
      <c r="T13" s="225">
        <f>T12/Factors!U11</f>
        <v>3029846.5690221759</v>
      </c>
      <c r="U13" s="225">
        <f>U12/Factors!V11</f>
        <v>3050767.0884960331</v>
      </c>
      <c r="V13" s="225">
        <f>V12/Factors!W11</f>
        <v>2535986.4072410241</v>
      </c>
      <c r="W13" s="225">
        <f>W12/Factors!X11</f>
        <v>3767179.9209035151</v>
      </c>
      <c r="X13" s="225">
        <f>X12/Factors!Y11</f>
        <v>3642886.8421006333</v>
      </c>
      <c r="Y13" s="225">
        <f>Y12/Factors!Z11</f>
        <v>3299244.2917730319</v>
      </c>
      <c r="Z13" s="225">
        <f>Z12/Factors!AA11</f>
        <v>3963988.0998068941</v>
      </c>
      <c r="AA13" s="225">
        <f>AA12/Factors!AB11</f>
        <v>3723614.4451744375</v>
      </c>
      <c r="AB13" s="225">
        <f>AB12/Factors!AC11</f>
        <v>3840069.4759670966</v>
      </c>
      <c r="AC13" s="225">
        <f>SUM(Q13:AB13)</f>
        <v>40590123.73378621</v>
      </c>
      <c r="AE13" s="224" t="s">
        <v>123</v>
      </c>
      <c r="AF13" s="225">
        <f>AF12/Factors!AG11</f>
        <v>3241308.9571332736</v>
      </c>
      <c r="AG13" s="225">
        <f>AG12/Factors!AH11</f>
        <v>3123235.6007666602</v>
      </c>
      <c r="AH13" s="225">
        <f>AH12/Factors!AI11</f>
        <v>3287605.6336116465</v>
      </c>
      <c r="AI13" s="225">
        <f>AI12/Factors!AJ11</f>
        <v>3031449.1098042824</v>
      </c>
      <c r="AJ13" s="225">
        <f>AJ12/Factors!AK11</f>
        <v>2892413.6317136758</v>
      </c>
      <c r="AK13" s="225">
        <f>AK12/Factors!AL11</f>
        <v>2943729.5174026331</v>
      </c>
      <c r="AL13" s="225">
        <f>AL12/Factors!AM11</f>
        <v>3732404.4887608979</v>
      </c>
      <c r="AM13" s="225">
        <f>AM12/Factors!AN11</f>
        <v>3717354.4706610553</v>
      </c>
      <c r="AN13" s="225">
        <f>AN12/Factors!AO11</f>
        <v>3662811.6008851198</v>
      </c>
      <c r="AO13" s="225">
        <f>AO12/Factors!AP11</f>
        <v>3812051.5192789724</v>
      </c>
      <c r="AP13" s="225">
        <f>AP12/Factors!AQ11</f>
        <v>3715244.9570520669</v>
      </c>
      <c r="AQ13" s="225">
        <f>AQ12/Factors!AR11</f>
        <v>3866103.296873006</v>
      </c>
      <c r="AR13" s="225">
        <f>SUM(AF13:AQ13)</f>
        <v>41025712.783943288</v>
      </c>
    </row>
    <row r="14" spans="1:44" s="75" customFormat="1" ht="42" customHeight="1" thickTop="1">
      <c r="A14" s="11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</row>
    <row r="15" spans="1:44" s="75" customFormat="1">
      <c r="A15" s="109" t="s">
        <v>770</v>
      </c>
      <c r="B15" s="87" t="str">
        <f t="shared" ref="B15:N15" si="3">B11</f>
        <v>Jan</v>
      </c>
      <c r="C15" s="87" t="str">
        <f t="shared" si="3"/>
        <v>Feb</v>
      </c>
      <c r="D15" s="87" t="str">
        <f t="shared" si="3"/>
        <v>Mar</v>
      </c>
      <c r="E15" s="87" t="str">
        <f t="shared" si="3"/>
        <v>Apr</v>
      </c>
      <c r="F15" s="87" t="str">
        <f t="shared" si="3"/>
        <v>May</v>
      </c>
      <c r="G15" s="87" t="str">
        <f t="shared" si="3"/>
        <v>June</v>
      </c>
      <c r="H15" s="87" t="str">
        <f t="shared" si="3"/>
        <v>July</v>
      </c>
      <c r="I15" s="87" t="str">
        <f t="shared" si="3"/>
        <v>Aug</v>
      </c>
      <c r="J15" s="87" t="str">
        <f t="shared" si="3"/>
        <v>Sept</v>
      </c>
      <c r="K15" s="87" t="str">
        <f t="shared" si="3"/>
        <v>Oct</v>
      </c>
      <c r="L15" s="87" t="str">
        <f t="shared" si="3"/>
        <v>Nov</v>
      </c>
      <c r="M15" s="87" t="str">
        <f t="shared" si="3"/>
        <v>Dec</v>
      </c>
      <c r="N15" s="87" t="str">
        <f t="shared" si="3"/>
        <v>Total</v>
      </c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</row>
    <row r="16" spans="1:44" s="75" customFormat="1" ht="16.149999999999999" customHeight="1">
      <c r="A16" s="118" t="s">
        <v>1213</v>
      </c>
      <c r="B16" s="120">
        <v>67728</v>
      </c>
      <c r="C16" s="120">
        <v>61344</v>
      </c>
      <c r="D16" s="120">
        <v>66408</v>
      </c>
      <c r="E16" s="120">
        <v>60624</v>
      </c>
      <c r="F16" s="120">
        <v>60768</v>
      </c>
      <c r="G16" s="120">
        <v>59520</v>
      </c>
      <c r="H16" s="120">
        <v>64080</v>
      </c>
      <c r="I16" s="120">
        <v>61872</v>
      </c>
      <c r="J16" s="120">
        <v>60624</v>
      </c>
      <c r="K16" s="120">
        <v>69048</v>
      </c>
      <c r="L16" s="120">
        <v>62520</v>
      </c>
      <c r="M16" s="120">
        <v>63768</v>
      </c>
      <c r="N16" s="120">
        <f>SUM(B16:M16)</f>
        <v>758304</v>
      </c>
      <c r="P16" s="75" t="s">
        <v>538</v>
      </c>
      <c r="Q16" s="120">
        <v>71424</v>
      </c>
      <c r="R16" s="120">
        <v>64704</v>
      </c>
      <c r="S16" s="120">
        <v>69936</v>
      </c>
      <c r="T16" s="120">
        <v>61632</v>
      </c>
      <c r="U16" s="120">
        <v>62880</v>
      </c>
      <c r="V16" s="120">
        <v>43968</v>
      </c>
      <c r="W16" s="120">
        <v>65184</v>
      </c>
      <c r="X16" s="120">
        <v>61728</v>
      </c>
      <c r="Y16" s="120">
        <v>51264</v>
      </c>
      <c r="Z16" s="120">
        <v>72912</v>
      </c>
      <c r="AA16" s="120">
        <v>65712</v>
      </c>
      <c r="AB16" s="120">
        <v>69936</v>
      </c>
      <c r="AC16" s="120">
        <f>SUM(Q16:AB16)</f>
        <v>761280</v>
      </c>
      <c r="AE16" s="75" t="s">
        <v>538</v>
      </c>
      <c r="AF16" s="120">
        <v>66912</v>
      </c>
      <c r="AG16" s="120">
        <v>63072</v>
      </c>
      <c r="AH16" s="120">
        <v>69600</v>
      </c>
      <c r="AI16" s="120">
        <v>60624</v>
      </c>
      <c r="AJ16" s="120">
        <v>55920</v>
      </c>
      <c r="AK16" s="120">
        <v>58272</v>
      </c>
      <c r="AL16" s="120">
        <v>62976</v>
      </c>
      <c r="AM16" s="120">
        <v>62976</v>
      </c>
      <c r="AN16" s="120">
        <v>61728</v>
      </c>
      <c r="AO16" s="120">
        <v>66912</v>
      </c>
      <c r="AP16" s="120">
        <v>64320</v>
      </c>
      <c r="AQ16" s="120">
        <v>69600</v>
      </c>
      <c r="AR16" s="120">
        <f>SUM(AF16:AQ16)</f>
        <v>762912</v>
      </c>
    </row>
    <row r="17" spans="1:44" s="75" customFormat="1">
      <c r="A17" s="75" t="s">
        <v>539</v>
      </c>
      <c r="B17" s="121">
        <v>114.4</v>
      </c>
      <c r="C17" s="121">
        <f>B17</f>
        <v>114.4</v>
      </c>
      <c r="D17" s="121">
        <f>C17</f>
        <v>114.4</v>
      </c>
      <c r="E17" s="121">
        <f>D17</f>
        <v>114.4</v>
      </c>
      <c r="F17" s="121">
        <f>E17</f>
        <v>114.4</v>
      </c>
      <c r="G17" s="121">
        <f>F17</f>
        <v>114.4</v>
      </c>
      <c r="H17" s="121">
        <v>137.06</v>
      </c>
      <c r="I17" s="121">
        <v>137.06</v>
      </c>
      <c r="J17" s="121">
        <v>137.06</v>
      </c>
      <c r="K17" s="121">
        <v>137.06</v>
      </c>
      <c r="L17" s="121">
        <v>137.06</v>
      </c>
      <c r="M17" s="121">
        <v>137.06</v>
      </c>
      <c r="N17" s="120"/>
      <c r="P17" s="75" t="s">
        <v>539</v>
      </c>
      <c r="Q17" s="121">
        <f>B17*Factors!$R$16</f>
        <v>118.97600000000001</v>
      </c>
      <c r="R17" s="121">
        <f>C17*Factors!$R$16</f>
        <v>118.97600000000001</v>
      </c>
      <c r="S17" s="121">
        <f>D17*Factors!$R$16</f>
        <v>118.97600000000001</v>
      </c>
      <c r="T17" s="121">
        <f>E17*Factors!$R$16</f>
        <v>118.97600000000001</v>
      </c>
      <c r="U17" s="121">
        <f>F17*Factors!$R$16</f>
        <v>118.97600000000001</v>
      </c>
      <c r="V17" s="121">
        <f>G17*Factors!$R$16</f>
        <v>118.97600000000001</v>
      </c>
      <c r="W17" s="121">
        <f>H17*Factors!$R$16</f>
        <v>142.54240000000001</v>
      </c>
      <c r="X17" s="121">
        <f>I17*Factors!$R$16</f>
        <v>142.54240000000001</v>
      </c>
      <c r="Y17" s="121">
        <f>J17*Factors!$R$16</f>
        <v>142.54240000000001</v>
      </c>
      <c r="Z17" s="121">
        <f>K17*Factors!$R$16</f>
        <v>142.54240000000001</v>
      </c>
      <c r="AA17" s="121">
        <f>L17*Factors!$R$16</f>
        <v>142.54240000000001</v>
      </c>
      <c r="AB17" s="121">
        <f>M17*Factors!$R$16</f>
        <v>142.54240000000001</v>
      </c>
      <c r="AC17" s="120"/>
      <c r="AE17" s="75" t="s">
        <v>539</v>
      </c>
      <c r="AF17" s="121">
        <f>Q17*Factors!$AG$16</f>
        <v>126.11456000000003</v>
      </c>
      <c r="AG17" s="121">
        <f>R17*Factors!$AG$16</f>
        <v>126.11456000000003</v>
      </c>
      <c r="AH17" s="121">
        <f>S17*Factors!$AG$16</f>
        <v>126.11456000000003</v>
      </c>
      <c r="AI17" s="121">
        <f>T17*Factors!$AG$16</f>
        <v>126.11456000000003</v>
      </c>
      <c r="AJ17" s="121">
        <f>U17*Factors!$AG$16</f>
        <v>126.11456000000003</v>
      </c>
      <c r="AK17" s="121">
        <f>V17*Factors!$AG$16</f>
        <v>126.11456000000003</v>
      </c>
      <c r="AL17" s="121">
        <f>W17*Factors!$AG$16</f>
        <v>151.09494400000003</v>
      </c>
      <c r="AM17" s="121">
        <f>X17*Factors!$AG$16</f>
        <v>151.09494400000003</v>
      </c>
      <c r="AN17" s="121">
        <f>Y17*Factors!$AG$16</f>
        <v>151.09494400000003</v>
      </c>
      <c r="AO17" s="121">
        <f>Z17*Factors!$AG$16</f>
        <v>151.09494400000003</v>
      </c>
      <c r="AP17" s="121">
        <f>AA17*Factors!$AG$16</f>
        <v>151.09494400000003</v>
      </c>
      <c r="AQ17" s="121">
        <f>AB17*Factors!$AG$16</f>
        <v>151.09494400000003</v>
      </c>
      <c r="AR17" s="120"/>
    </row>
    <row r="18" spans="1:44" s="75" customFormat="1">
      <c r="A18" s="75" t="s">
        <v>545</v>
      </c>
      <c r="B18" s="120">
        <f>B16*B17</f>
        <v>7748083.2000000002</v>
      </c>
      <c r="C18" s="120">
        <f t="shared" ref="C18:M18" si="4">C16*C17</f>
        <v>7017753.6000000006</v>
      </c>
      <c r="D18" s="120">
        <f t="shared" si="4"/>
        <v>7597075.2000000002</v>
      </c>
      <c r="E18" s="120">
        <f t="shared" si="4"/>
        <v>6935385.6000000006</v>
      </c>
      <c r="F18" s="120">
        <f t="shared" si="4"/>
        <v>6951859.2000000002</v>
      </c>
      <c r="G18" s="120">
        <f t="shared" si="4"/>
        <v>6809088</v>
      </c>
      <c r="H18" s="120">
        <f t="shared" si="4"/>
        <v>8782804.8000000007</v>
      </c>
      <c r="I18" s="120">
        <f t="shared" si="4"/>
        <v>8480176.3200000003</v>
      </c>
      <c r="J18" s="120">
        <f t="shared" si="4"/>
        <v>8309125.4400000004</v>
      </c>
      <c r="K18" s="120">
        <f t="shared" si="4"/>
        <v>9463718.8800000008</v>
      </c>
      <c r="L18" s="120">
        <f t="shared" si="4"/>
        <v>8568991.1999999993</v>
      </c>
      <c r="M18" s="120">
        <f t="shared" si="4"/>
        <v>8740042.0800000001</v>
      </c>
      <c r="N18" s="120">
        <f>SUM(B18:M18)</f>
        <v>95404103.520000011</v>
      </c>
      <c r="P18" s="75" t="s">
        <v>545</v>
      </c>
      <c r="Q18" s="120">
        <f t="shared" ref="Q18:AB18" si="5">Q16*Q17</f>
        <v>8497741.824000001</v>
      </c>
      <c r="R18" s="120">
        <f t="shared" si="5"/>
        <v>7698223.1040000012</v>
      </c>
      <c r="S18" s="120">
        <f t="shared" si="5"/>
        <v>8320705.5360000012</v>
      </c>
      <c r="T18" s="120">
        <f t="shared" si="5"/>
        <v>7332728.8320000004</v>
      </c>
      <c r="U18" s="120">
        <f t="shared" si="5"/>
        <v>7481210.8800000008</v>
      </c>
      <c r="V18" s="120">
        <f t="shared" si="5"/>
        <v>5231136.7680000002</v>
      </c>
      <c r="W18" s="120">
        <f t="shared" si="5"/>
        <v>9291483.8016000018</v>
      </c>
      <c r="X18" s="120">
        <f t="shared" si="5"/>
        <v>8798857.2672000006</v>
      </c>
      <c r="Y18" s="120">
        <f t="shared" si="5"/>
        <v>7307293.5936000012</v>
      </c>
      <c r="Z18" s="120">
        <f t="shared" si="5"/>
        <v>10393051.468800001</v>
      </c>
      <c r="AA18" s="120">
        <f t="shared" si="5"/>
        <v>9366746.1888000015</v>
      </c>
      <c r="AB18" s="120">
        <f t="shared" si="5"/>
        <v>9968845.2864000015</v>
      </c>
      <c r="AC18" s="120">
        <f>SUM(Q18:AB18)</f>
        <v>99688024.550400034</v>
      </c>
      <c r="AE18" s="75" t="s">
        <v>545</v>
      </c>
      <c r="AF18" s="120">
        <f t="shared" ref="AF18:AQ18" si="6">AF16*AF17</f>
        <v>8438577.4387200009</v>
      </c>
      <c r="AG18" s="120">
        <f t="shared" si="6"/>
        <v>7954297.5283200014</v>
      </c>
      <c r="AH18" s="120">
        <f t="shared" si="6"/>
        <v>8777573.376000002</v>
      </c>
      <c r="AI18" s="120">
        <f t="shared" si="6"/>
        <v>7645569.0854400015</v>
      </c>
      <c r="AJ18" s="120">
        <f t="shared" si="6"/>
        <v>7052326.1952000018</v>
      </c>
      <c r="AK18" s="120">
        <f t="shared" si="6"/>
        <v>7348947.6403200012</v>
      </c>
      <c r="AL18" s="120">
        <f t="shared" si="6"/>
        <v>9515355.1933440026</v>
      </c>
      <c r="AM18" s="120">
        <f t="shared" si="6"/>
        <v>9515355.1933440026</v>
      </c>
      <c r="AN18" s="120">
        <f t="shared" si="6"/>
        <v>9326788.7032320015</v>
      </c>
      <c r="AO18" s="120">
        <f t="shared" si="6"/>
        <v>10110064.892928002</v>
      </c>
      <c r="AP18" s="120">
        <f t="shared" si="6"/>
        <v>9718426.798080001</v>
      </c>
      <c r="AQ18" s="120">
        <f t="shared" si="6"/>
        <v>10516208.102400001</v>
      </c>
      <c r="AR18" s="120">
        <f>SUM(AF18:AQ18)</f>
        <v>105919490.14732803</v>
      </c>
    </row>
    <row r="19" spans="1:44" s="120" customFormat="1">
      <c r="A19" s="120" t="s">
        <v>546</v>
      </c>
      <c r="B19" s="120">
        <f t="shared" ref="B19:G19" si="7">70697665.69/(12*107.94)*107.94</f>
        <v>5891472.1408333331</v>
      </c>
      <c r="C19" s="120">
        <f t="shared" si="7"/>
        <v>5891472.1408333331</v>
      </c>
      <c r="D19" s="120">
        <f t="shared" si="7"/>
        <v>5891472.1408333331</v>
      </c>
      <c r="E19" s="120">
        <f t="shared" si="7"/>
        <v>5891472.1408333331</v>
      </c>
      <c r="F19" s="120">
        <f t="shared" si="7"/>
        <v>5891472.1408333331</v>
      </c>
      <c r="G19" s="120">
        <f t="shared" si="7"/>
        <v>5891472.1408333331</v>
      </c>
      <c r="H19" s="120">
        <f t="shared" ref="H19:M19" si="8">88265605.81/(12*107.94)*107.94</f>
        <v>7355467.1508333338</v>
      </c>
      <c r="I19" s="120">
        <f t="shared" si="8"/>
        <v>7355467.1508333338</v>
      </c>
      <c r="J19" s="120">
        <f t="shared" si="8"/>
        <v>7355467.1508333338</v>
      </c>
      <c r="K19" s="120">
        <f t="shared" si="8"/>
        <v>7355467.1508333338</v>
      </c>
      <c r="L19" s="120">
        <f t="shared" si="8"/>
        <v>7355467.1508333338</v>
      </c>
      <c r="M19" s="120">
        <f t="shared" si="8"/>
        <v>7355467.1508333338</v>
      </c>
      <c r="N19" s="120">
        <f>SUM(B19:M19)</f>
        <v>79481635.75</v>
      </c>
      <c r="P19" s="120" t="s">
        <v>546</v>
      </c>
      <c r="Q19" s="120">
        <f>B19*Factors!$R$16</f>
        <v>6127131.0264666667</v>
      </c>
      <c r="R19" s="120">
        <f>C19*Factors!$R$16</f>
        <v>6127131.0264666667</v>
      </c>
      <c r="S19" s="120">
        <f>D19*Factors!$R$16</f>
        <v>6127131.0264666667</v>
      </c>
      <c r="T19" s="120">
        <f>E19*Factors!$R$16</f>
        <v>6127131.0264666667</v>
      </c>
      <c r="U19" s="120">
        <f>F19*Factors!$R$16</f>
        <v>6127131.0264666667</v>
      </c>
      <c r="V19" s="120">
        <f>G19*Factors!$R$16</f>
        <v>6127131.0264666667</v>
      </c>
      <c r="W19" s="120">
        <f>H19*Factors!$R$16</f>
        <v>7649685.8368666675</v>
      </c>
      <c r="X19" s="120">
        <f>I19*Factors!$R$16</f>
        <v>7649685.8368666675</v>
      </c>
      <c r="Y19" s="120">
        <f>J19*Factors!$R$16</f>
        <v>7649685.8368666675</v>
      </c>
      <c r="Z19" s="120">
        <f>K19*Factors!$R$16</f>
        <v>7649685.8368666675</v>
      </c>
      <c r="AA19" s="120">
        <f>L19*Factors!$R$16</f>
        <v>7649685.8368666675</v>
      </c>
      <c r="AB19" s="120">
        <f>M19*Factors!$R$16</f>
        <v>7649685.8368666675</v>
      </c>
      <c r="AC19" s="120">
        <f>SUM(Q19:AB19)</f>
        <v>82660901.179999992</v>
      </c>
      <c r="AE19" s="120" t="s">
        <v>546</v>
      </c>
      <c r="AF19" s="120">
        <f>Q19*Factors!$AG$16</f>
        <v>6494758.888054667</v>
      </c>
      <c r="AG19" s="120">
        <f>R19*Factors!$AG$16</f>
        <v>6494758.888054667</v>
      </c>
      <c r="AH19" s="120">
        <f>S19*Factors!$AG$16</f>
        <v>6494758.888054667</v>
      </c>
      <c r="AI19" s="120">
        <f>T19*Factors!$AG$16</f>
        <v>6494758.888054667</v>
      </c>
      <c r="AJ19" s="120">
        <f>U19*Factors!$AG$16</f>
        <v>6494758.888054667</v>
      </c>
      <c r="AK19" s="120">
        <f>V19*Factors!$AG$16</f>
        <v>6494758.888054667</v>
      </c>
      <c r="AL19" s="120">
        <f>W19*Factors!$AG$16</f>
        <v>8108666.9870786676</v>
      </c>
      <c r="AM19" s="120">
        <f>X19*Factors!$AG$16</f>
        <v>8108666.9870786676</v>
      </c>
      <c r="AN19" s="120">
        <f>Y19*Factors!$AG$16</f>
        <v>8108666.9870786676</v>
      </c>
      <c r="AO19" s="120">
        <f>Z19*Factors!$AG$16</f>
        <v>8108666.9870786676</v>
      </c>
      <c r="AP19" s="120">
        <f>AA19*Factors!$AG$16</f>
        <v>8108666.9870786676</v>
      </c>
      <c r="AQ19" s="120">
        <f>AB19*Factors!$AG$16</f>
        <v>8108666.9870786676</v>
      </c>
      <c r="AR19" s="120">
        <f>SUM(AF19:AQ19)</f>
        <v>87620555.250800014</v>
      </c>
    </row>
    <row r="20" spans="1:44" s="75" customFormat="1" ht="5.45" customHeight="1"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</row>
    <row r="21" spans="1:44" s="230" customFormat="1">
      <c r="A21" s="230" t="s">
        <v>768</v>
      </c>
      <c r="B21" s="231">
        <f>B18+B19</f>
        <v>13639555.340833332</v>
      </c>
      <c r="C21" s="231">
        <f t="shared" ref="C21:M21" si="9">C18+C19</f>
        <v>12909225.740833335</v>
      </c>
      <c r="D21" s="231">
        <f t="shared" si="9"/>
        <v>13488547.340833332</v>
      </c>
      <c r="E21" s="231">
        <f t="shared" si="9"/>
        <v>12826857.740833335</v>
      </c>
      <c r="F21" s="231">
        <f t="shared" si="9"/>
        <v>12843331.340833332</v>
      </c>
      <c r="G21" s="231">
        <f t="shared" si="9"/>
        <v>12700560.140833333</v>
      </c>
      <c r="H21" s="231">
        <f t="shared" si="9"/>
        <v>16138271.950833336</v>
      </c>
      <c r="I21" s="231">
        <f t="shared" si="9"/>
        <v>15835643.470833335</v>
      </c>
      <c r="J21" s="231">
        <f t="shared" si="9"/>
        <v>15664592.590833334</v>
      </c>
      <c r="K21" s="231">
        <f t="shared" si="9"/>
        <v>16819186.030833334</v>
      </c>
      <c r="L21" s="231">
        <f t="shared" si="9"/>
        <v>15924458.350833334</v>
      </c>
      <c r="M21" s="231">
        <f t="shared" si="9"/>
        <v>16095509.230833333</v>
      </c>
      <c r="N21" s="231">
        <f>SUM(B21:M21)</f>
        <v>174885739.26999998</v>
      </c>
    </row>
    <row r="22" spans="1:44" s="232" customFormat="1" ht="13.5" thickBot="1">
      <c r="A22" s="232" t="s">
        <v>769</v>
      </c>
      <c r="B22" s="233">
        <f>B21/Factors!C11</f>
        <v>3169471.4617001018</v>
      </c>
      <c r="C22" s="233">
        <f>C21/Factors!D11</f>
        <v>2995574.2622275664</v>
      </c>
      <c r="D22" s="233">
        <f>D21/Factors!E11</f>
        <v>3125641.6402515704</v>
      </c>
      <c r="E22" s="233">
        <f>E21/Factors!F11</f>
        <v>2968173.162304251</v>
      </c>
      <c r="F22" s="233">
        <f>F21/Factors!G11</f>
        <v>2967853.3462193483</v>
      </c>
      <c r="G22" s="233">
        <f>G21/Factors!H11</f>
        <v>2930787.0159181813</v>
      </c>
      <c r="H22" s="233">
        <f>H21/Factors!I11</f>
        <v>3718911.8451972203</v>
      </c>
      <c r="I22" s="233">
        <f>I21/Factors!J11</f>
        <v>3644121.7214025017</v>
      </c>
      <c r="J22" s="233">
        <f>J21/Factors!K11</f>
        <v>3599775.3734217365</v>
      </c>
      <c r="K22" s="233">
        <f>K21/Factors!L11</f>
        <v>3859768.3418397666</v>
      </c>
      <c r="L22" s="233">
        <f>L21/Factors!M11</f>
        <v>3649402.2102973736</v>
      </c>
      <c r="M22" s="233">
        <f>M21/Factors!N11</f>
        <v>3683523.1568561285</v>
      </c>
      <c r="N22" s="233">
        <f>SUM(B22:M22)</f>
        <v>40313003.537635744</v>
      </c>
    </row>
    <row r="23" spans="1:44" s="75" customFormat="1" ht="5.45" customHeight="1" thickTop="1"/>
    <row r="24" spans="1:44" s="75" customFormat="1">
      <c r="A24" s="75" t="s">
        <v>771</v>
      </c>
      <c r="B24" s="120">
        <f t="shared" ref="B24:M24" si="10">B12/B16</f>
        <v>201.38724516940309</v>
      </c>
      <c r="C24" s="120">
        <f t="shared" si="10"/>
        <v>210.43990839908278</v>
      </c>
      <c r="D24" s="120">
        <f t="shared" si="10"/>
        <v>203.11630136178371</v>
      </c>
      <c r="E24" s="120">
        <f t="shared" si="10"/>
        <v>211.58052488838305</v>
      </c>
      <c r="F24" s="120">
        <f t="shared" si="10"/>
        <v>211.35023928438213</v>
      </c>
      <c r="G24" s="120">
        <f t="shared" si="10"/>
        <v>213.38306688228047</v>
      </c>
      <c r="H24" s="120">
        <f t="shared" si="10"/>
        <v>251.84569211662509</v>
      </c>
      <c r="I24" s="120">
        <f t="shared" si="10"/>
        <v>255.94200075693908</v>
      </c>
      <c r="J24" s="120">
        <f t="shared" si="10"/>
        <v>258.38929451757281</v>
      </c>
      <c r="K24" s="120">
        <f t="shared" si="10"/>
        <v>243.58686755348936</v>
      </c>
      <c r="L24" s="120">
        <f t="shared" si="10"/>
        <v>254.7098264688633</v>
      </c>
      <c r="M24" s="120">
        <f t="shared" si="10"/>
        <v>252.40730822408312</v>
      </c>
      <c r="N24" s="120">
        <f>AVERAGE(B24:M24)</f>
        <v>230.67818963524064</v>
      </c>
      <c r="Q24" s="120">
        <f t="shared" ref="Q24:AB24" si="11">Q12/Q16</f>
        <v>204.76132463130978</v>
      </c>
      <c r="R24" s="120">
        <f t="shared" si="11"/>
        <v>213.67077971171284</v>
      </c>
      <c r="S24" s="120">
        <f t="shared" si="11"/>
        <v>206.58654430431633</v>
      </c>
      <c r="T24" s="120">
        <f t="shared" si="11"/>
        <v>218.39076873161127</v>
      </c>
      <c r="U24" s="120">
        <f t="shared" si="11"/>
        <v>216.41765118426633</v>
      </c>
      <c r="V24" s="120">
        <f t="shared" si="11"/>
        <v>258.33032647531536</v>
      </c>
      <c r="W24" s="120">
        <f t="shared" si="11"/>
        <v>259.89766872954516</v>
      </c>
      <c r="X24" s="120">
        <f t="shared" si="11"/>
        <v>266.46810368174357</v>
      </c>
      <c r="Y24" s="120">
        <f t="shared" si="11"/>
        <v>291.76379975161262</v>
      </c>
      <c r="Z24" s="120">
        <f t="shared" si="11"/>
        <v>247.45909185959334</v>
      </c>
      <c r="AA24" s="120">
        <f t="shared" si="11"/>
        <v>258.95471185881831</v>
      </c>
      <c r="AB24" s="120">
        <f t="shared" si="11"/>
        <v>251.92363193872492</v>
      </c>
      <c r="AF24" s="120">
        <f t="shared" ref="AF24:AQ24" si="12">AF12/AF16</f>
        <v>223.17874711224695</v>
      </c>
      <c r="AG24" s="120">
        <f t="shared" si="12"/>
        <v>229.08828666245986</v>
      </c>
      <c r="AH24" s="120">
        <f t="shared" si="12"/>
        <v>219.43006126515328</v>
      </c>
      <c r="AI24" s="120">
        <f t="shared" si="12"/>
        <v>233.24637063695349</v>
      </c>
      <c r="AJ24" s="120">
        <f t="shared" si="12"/>
        <v>242.25831693946117</v>
      </c>
      <c r="AK24" s="120">
        <f t="shared" si="12"/>
        <v>237.57047172526543</v>
      </c>
      <c r="AL24" s="120">
        <f t="shared" si="12"/>
        <v>279.85299448079701</v>
      </c>
      <c r="AM24" s="120">
        <f t="shared" si="12"/>
        <v>279.85299448079701</v>
      </c>
      <c r="AN24" s="120">
        <f t="shared" si="12"/>
        <v>282.45618990264819</v>
      </c>
      <c r="AO24" s="120">
        <f t="shared" si="12"/>
        <v>272.27899151133835</v>
      </c>
      <c r="AP24" s="120">
        <f t="shared" si="12"/>
        <v>277.16252775433253</v>
      </c>
      <c r="AQ24" s="120">
        <f t="shared" si="12"/>
        <v>267.5987800212452</v>
      </c>
    </row>
    <row r="25" spans="1:44" s="75" customFormat="1" ht="39.6" customHeight="1"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</row>
    <row r="26" spans="1:44" s="75" customFormat="1">
      <c r="A26" s="68" t="s">
        <v>772</v>
      </c>
      <c r="B26" s="87" t="str">
        <f t="shared" ref="B26:N26" si="13">B11</f>
        <v>Jan</v>
      </c>
      <c r="C26" s="87" t="str">
        <f t="shared" si="13"/>
        <v>Feb</v>
      </c>
      <c r="D26" s="87" t="str">
        <f t="shared" si="13"/>
        <v>Mar</v>
      </c>
      <c r="E26" s="87" t="str">
        <f t="shared" si="13"/>
        <v>Apr</v>
      </c>
      <c r="F26" s="87" t="str">
        <f t="shared" si="13"/>
        <v>May</v>
      </c>
      <c r="G26" s="87" t="str">
        <f t="shared" si="13"/>
        <v>June</v>
      </c>
      <c r="H26" s="87" t="str">
        <f t="shared" si="13"/>
        <v>July</v>
      </c>
      <c r="I26" s="87" t="str">
        <f t="shared" si="13"/>
        <v>Aug</v>
      </c>
      <c r="J26" s="87" t="str">
        <f t="shared" si="13"/>
        <v>Sept</v>
      </c>
      <c r="K26" s="87" t="str">
        <f t="shared" si="13"/>
        <v>Oct</v>
      </c>
      <c r="L26" s="87" t="str">
        <f t="shared" si="13"/>
        <v>Nov</v>
      </c>
      <c r="M26" s="87" t="str">
        <f t="shared" si="13"/>
        <v>Dec</v>
      </c>
      <c r="N26" s="87" t="str">
        <f t="shared" si="13"/>
        <v>Total</v>
      </c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</row>
    <row r="27" spans="1:44" s="75" customFormat="1">
      <c r="A27" s="118" t="str">
        <f>A16</f>
        <v>MWh according to Dispatch Profile</v>
      </c>
      <c r="B27" s="120">
        <f>B16</f>
        <v>67728</v>
      </c>
      <c r="C27" s="120">
        <f t="shared" ref="C27:M27" si="14">C16</f>
        <v>61344</v>
      </c>
      <c r="D27" s="120">
        <f t="shared" si="14"/>
        <v>66408</v>
      </c>
      <c r="E27" s="120">
        <f t="shared" si="14"/>
        <v>60624</v>
      </c>
      <c r="F27" s="120">
        <f t="shared" si="14"/>
        <v>60768</v>
      </c>
      <c r="G27" s="120">
        <f t="shared" si="14"/>
        <v>59520</v>
      </c>
      <c r="H27" s="120">
        <f t="shared" si="14"/>
        <v>64080</v>
      </c>
      <c r="I27" s="120">
        <f t="shared" si="14"/>
        <v>61872</v>
      </c>
      <c r="J27" s="120">
        <f t="shared" si="14"/>
        <v>60624</v>
      </c>
      <c r="K27" s="120">
        <f t="shared" si="14"/>
        <v>69048</v>
      </c>
      <c r="L27" s="120">
        <f t="shared" si="14"/>
        <v>62520</v>
      </c>
      <c r="M27" s="120">
        <f t="shared" si="14"/>
        <v>63768</v>
      </c>
      <c r="N27" s="120">
        <f>SUM(B27:M27)</f>
        <v>758304</v>
      </c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</row>
    <row r="28" spans="1:44" s="75" customFormat="1">
      <c r="A28" s="75" t="s">
        <v>539</v>
      </c>
      <c r="B28" s="121">
        <v>145.22999999999999</v>
      </c>
      <c r="C28" s="121">
        <f>B28</f>
        <v>145.22999999999999</v>
      </c>
      <c r="D28" s="121">
        <f>C28</f>
        <v>145.22999999999999</v>
      </c>
      <c r="E28" s="121">
        <f t="shared" ref="E28:M28" si="15">D28</f>
        <v>145.22999999999999</v>
      </c>
      <c r="F28" s="121">
        <f t="shared" si="15"/>
        <v>145.22999999999999</v>
      </c>
      <c r="G28" s="121">
        <f t="shared" si="15"/>
        <v>145.22999999999999</v>
      </c>
      <c r="H28" s="121">
        <f t="shared" si="15"/>
        <v>145.22999999999999</v>
      </c>
      <c r="I28" s="121">
        <f t="shared" si="15"/>
        <v>145.22999999999999</v>
      </c>
      <c r="J28" s="121">
        <f t="shared" si="15"/>
        <v>145.22999999999999</v>
      </c>
      <c r="K28" s="121">
        <f t="shared" si="15"/>
        <v>145.22999999999999</v>
      </c>
      <c r="L28" s="121">
        <f t="shared" si="15"/>
        <v>145.22999999999999</v>
      </c>
      <c r="M28" s="121">
        <f t="shared" si="15"/>
        <v>145.22999999999999</v>
      </c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</row>
    <row r="29" spans="1:44" s="75" customFormat="1">
      <c r="A29" s="75" t="s">
        <v>545</v>
      </c>
      <c r="B29" s="120">
        <f>B27*B28</f>
        <v>9836137.4399999995</v>
      </c>
      <c r="C29" s="120">
        <f t="shared" ref="C29:M29" si="16">C27*C28</f>
        <v>8908989.1199999992</v>
      </c>
      <c r="D29" s="120">
        <f t="shared" si="16"/>
        <v>9644433.8399999999</v>
      </c>
      <c r="E29" s="120">
        <f t="shared" si="16"/>
        <v>8804423.5199999996</v>
      </c>
      <c r="F29" s="120">
        <f t="shared" si="16"/>
        <v>8825336.6399999987</v>
      </c>
      <c r="G29" s="120">
        <f t="shared" si="16"/>
        <v>8644089.5999999996</v>
      </c>
      <c r="H29" s="120">
        <f t="shared" si="16"/>
        <v>9306338.3999999985</v>
      </c>
      <c r="I29" s="120">
        <f t="shared" si="16"/>
        <v>8985670.5599999987</v>
      </c>
      <c r="J29" s="120">
        <f t="shared" si="16"/>
        <v>8804423.5199999996</v>
      </c>
      <c r="K29" s="120">
        <f t="shared" si="16"/>
        <v>10027841.039999999</v>
      </c>
      <c r="L29" s="120">
        <f t="shared" si="16"/>
        <v>9079779.5999999996</v>
      </c>
      <c r="M29" s="120">
        <f t="shared" si="16"/>
        <v>9261026.6399999987</v>
      </c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</row>
    <row r="30" spans="1:44" s="75" customFormat="1">
      <c r="A30" s="120" t="s">
        <v>546</v>
      </c>
      <c r="B30" s="120">
        <f>90586080.14/(12*107.94)*107.94</f>
        <v>7548840.0116666658</v>
      </c>
      <c r="C30" s="120">
        <f>B30</f>
        <v>7548840.0116666658</v>
      </c>
      <c r="D30" s="120">
        <f t="shared" ref="D30:M30" si="17">C30</f>
        <v>7548840.0116666658</v>
      </c>
      <c r="E30" s="120">
        <f t="shared" si="17"/>
        <v>7548840.0116666658</v>
      </c>
      <c r="F30" s="120">
        <f t="shared" si="17"/>
        <v>7548840.0116666658</v>
      </c>
      <c r="G30" s="120">
        <f t="shared" si="17"/>
        <v>7548840.0116666658</v>
      </c>
      <c r="H30" s="120">
        <f t="shared" si="17"/>
        <v>7548840.0116666658</v>
      </c>
      <c r="I30" s="120">
        <f t="shared" si="17"/>
        <v>7548840.0116666658</v>
      </c>
      <c r="J30" s="120">
        <f t="shared" si="17"/>
        <v>7548840.0116666658</v>
      </c>
      <c r="K30" s="120">
        <f t="shared" si="17"/>
        <v>7548840.0116666658</v>
      </c>
      <c r="L30" s="120">
        <f t="shared" si="17"/>
        <v>7548840.0116666658</v>
      </c>
      <c r="M30" s="120">
        <f t="shared" si="17"/>
        <v>7548840.0116666658</v>
      </c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</row>
    <row r="31" spans="1:44" s="75" customFormat="1" ht="5.45" customHeight="1">
      <c r="B31" s="121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</row>
    <row r="32" spans="1:44" s="234" customFormat="1">
      <c r="A32" s="230" t="s">
        <v>768</v>
      </c>
      <c r="B32" s="231">
        <f>B29+B30</f>
        <v>17384977.451666664</v>
      </c>
      <c r="C32" s="231">
        <f t="shared" ref="C32:M32" si="18">C29+C30</f>
        <v>16457829.131666664</v>
      </c>
      <c r="D32" s="231">
        <f t="shared" si="18"/>
        <v>17193273.851666667</v>
      </c>
      <c r="E32" s="231">
        <f t="shared" si="18"/>
        <v>16353263.531666666</v>
      </c>
      <c r="F32" s="231">
        <f t="shared" si="18"/>
        <v>16374176.651666664</v>
      </c>
      <c r="G32" s="231">
        <f t="shared" si="18"/>
        <v>16192929.611666664</v>
      </c>
      <c r="H32" s="231">
        <f t="shared" si="18"/>
        <v>16855178.411666665</v>
      </c>
      <c r="I32" s="231">
        <f t="shared" si="18"/>
        <v>16534510.571666665</v>
      </c>
      <c r="J32" s="231">
        <f t="shared" si="18"/>
        <v>16353263.531666666</v>
      </c>
      <c r="K32" s="231">
        <f t="shared" si="18"/>
        <v>17576681.051666666</v>
      </c>
      <c r="L32" s="231">
        <f t="shared" si="18"/>
        <v>16628619.611666664</v>
      </c>
      <c r="M32" s="231">
        <f t="shared" si="18"/>
        <v>16809866.651666664</v>
      </c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</row>
    <row r="33" spans="1:44" s="236" customFormat="1" ht="13.5" thickBot="1">
      <c r="A33" s="232" t="s">
        <v>769</v>
      </c>
      <c r="B33" s="233">
        <f>B32/Factors!C11</f>
        <v>4039808.3748667687</v>
      </c>
      <c r="C33" s="233">
        <f>C32/Factors!D11</f>
        <v>3819024.498348976</v>
      </c>
      <c r="D33" s="233">
        <f>D32/Factors!E11</f>
        <v>3984121.5903459727</v>
      </c>
      <c r="E33" s="233">
        <f>E32/Factors!F11</f>
        <v>3784193.9866738035</v>
      </c>
      <c r="F33" s="233">
        <f>F32/Factors!G11</f>
        <v>3783765.57277876</v>
      </c>
      <c r="G33" s="233">
        <f>G32/Factors!H11</f>
        <v>3736687.7782790288</v>
      </c>
      <c r="H33" s="233">
        <f>H32/Factors!I11</f>
        <v>3884116.1457080822</v>
      </c>
      <c r="I33" s="233">
        <f>I32/Factors!J11</f>
        <v>3804946.0533730364</v>
      </c>
      <c r="J33" s="233">
        <f>J32/Factors!K11</f>
        <v>3758034.2415555757</v>
      </c>
      <c r="K33" s="233">
        <f>K32/Factors!L11</f>
        <v>4033602.8719504303</v>
      </c>
      <c r="L33" s="233">
        <f>L32/Factors!M11</f>
        <v>3810774.5851107663</v>
      </c>
      <c r="M33" s="233">
        <f>M32/Factors!N11</f>
        <v>3847006.7760553798</v>
      </c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</row>
    <row r="34" spans="1:44" s="75" customFormat="1" ht="5.45" customHeight="1" thickTop="1"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</row>
    <row r="35" spans="1:44" s="75" customFormat="1">
      <c r="A35" s="75" t="s">
        <v>771</v>
      </c>
      <c r="B35" s="120">
        <f>B32/B27</f>
        <v>256.68818585616975</v>
      </c>
      <c r="C35" s="120">
        <f t="shared" ref="C35:M35" si="19">C32/C27</f>
        <v>268.2875119272735</v>
      </c>
      <c r="D35" s="120">
        <f t="shared" si="19"/>
        <v>258.90365395233505</v>
      </c>
      <c r="E35" s="120">
        <f t="shared" si="19"/>
        <v>269.74900256773992</v>
      </c>
      <c r="F35" s="120">
        <f t="shared" si="19"/>
        <v>269.45393384127607</v>
      </c>
      <c r="G35" s="120">
        <f t="shared" si="19"/>
        <v>272.05862922827055</v>
      </c>
      <c r="H35" s="120">
        <f t="shared" si="19"/>
        <v>263.03337096858093</v>
      </c>
      <c r="I35" s="120">
        <f t="shared" si="19"/>
        <v>267.23737024286697</v>
      </c>
      <c r="J35" s="120">
        <f t="shared" si="19"/>
        <v>269.74900256773992</v>
      </c>
      <c r="K35" s="120">
        <f t="shared" si="19"/>
        <v>254.55742456938168</v>
      </c>
      <c r="L35" s="120">
        <f t="shared" si="19"/>
        <v>265.97280248986988</v>
      </c>
      <c r="M35" s="120">
        <f t="shared" si="19"/>
        <v>263.60975178250317</v>
      </c>
      <c r="N35" s="120">
        <f>AVERAGE(B35:M35)</f>
        <v>264.94171999950066</v>
      </c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</row>
    <row r="36" spans="1:44" s="75" customFormat="1" ht="38.450000000000003" customHeight="1"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</row>
    <row r="37" spans="1:44" s="75" customFormat="1">
      <c r="A37" s="68" t="s">
        <v>773</v>
      </c>
      <c r="B37" s="87" t="str">
        <f>B26</f>
        <v>Jan</v>
      </c>
      <c r="C37" s="87" t="str">
        <f t="shared" ref="C37:L37" si="20">C26</f>
        <v>Feb</v>
      </c>
      <c r="D37" s="87" t="str">
        <f t="shared" si="20"/>
        <v>Mar</v>
      </c>
      <c r="E37" s="87" t="str">
        <f t="shared" si="20"/>
        <v>Apr</v>
      </c>
      <c r="F37" s="87" t="str">
        <f t="shared" si="20"/>
        <v>May</v>
      </c>
      <c r="G37" s="87" t="str">
        <f t="shared" si="20"/>
        <v>June</v>
      </c>
      <c r="H37" s="87" t="str">
        <f t="shared" si="20"/>
        <v>July</v>
      </c>
      <c r="I37" s="87" t="str">
        <f t="shared" si="20"/>
        <v>Aug</v>
      </c>
      <c r="J37" s="87" t="str">
        <f t="shared" si="20"/>
        <v>Sept</v>
      </c>
      <c r="K37" s="87" t="str">
        <f t="shared" si="20"/>
        <v>Oct</v>
      </c>
      <c r="L37" s="87" t="str">
        <f t="shared" si="20"/>
        <v>Nov</v>
      </c>
      <c r="M37" s="87" t="str">
        <f>M26</f>
        <v>Dec</v>
      </c>
      <c r="N37" s="87" t="str">
        <f>N26</f>
        <v>Total</v>
      </c>
      <c r="O37" s="87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</row>
    <row r="38" spans="1:44" s="75" customFormat="1">
      <c r="A38" s="118" t="str">
        <f>A27</f>
        <v>MWh according to Dispatch Profile</v>
      </c>
      <c r="B38" s="120">
        <f>B16</f>
        <v>67728</v>
      </c>
      <c r="C38" s="120">
        <f t="shared" ref="C38:M38" si="21">C16</f>
        <v>61344</v>
      </c>
      <c r="D38" s="120">
        <f t="shared" si="21"/>
        <v>66408</v>
      </c>
      <c r="E38" s="120">
        <f t="shared" si="21"/>
        <v>60624</v>
      </c>
      <c r="F38" s="120">
        <f t="shared" si="21"/>
        <v>60768</v>
      </c>
      <c r="G38" s="120">
        <f t="shared" si="21"/>
        <v>59520</v>
      </c>
      <c r="H38" s="120">
        <f t="shared" si="21"/>
        <v>64080</v>
      </c>
      <c r="I38" s="120">
        <f t="shared" si="21"/>
        <v>61872</v>
      </c>
      <c r="J38" s="120">
        <f t="shared" si="21"/>
        <v>60624</v>
      </c>
      <c r="K38" s="120">
        <f t="shared" si="21"/>
        <v>69048</v>
      </c>
      <c r="L38" s="120">
        <f t="shared" si="21"/>
        <v>62520</v>
      </c>
      <c r="M38" s="120">
        <f t="shared" si="21"/>
        <v>63768</v>
      </c>
      <c r="N38" s="120">
        <f>SUM(B38:M38)</f>
        <v>758304</v>
      </c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</row>
    <row r="39" spans="1:44" s="75" customFormat="1">
      <c r="A39" s="75" t="s">
        <v>539</v>
      </c>
      <c r="B39" s="121">
        <v>240.03</v>
      </c>
      <c r="C39" s="121">
        <f>B39</f>
        <v>240.03</v>
      </c>
      <c r="D39" s="121">
        <f>C39</f>
        <v>240.03</v>
      </c>
      <c r="E39" s="121">
        <f t="shared" ref="E39:M39" si="22">D39</f>
        <v>240.03</v>
      </c>
      <c r="F39" s="121">
        <f t="shared" si="22"/>
        <v>240.03</v>
      </c>
      <c r="G39" s="121">
        <f t="shared" si="22"/>
        <v>240.03</v>
      </c>
      <c r="H39" s="121">
        <f t="shared" si="22"/>
        <v>240.03</v>
      </c>
      <c r="I39" s="121">
        <f t="shared" si="22"/>
        <v>240.03</v>
      </c>
      <c r="J39" s="121">
        <f t="shared" si="22"/>
        <v>240.03</v>
      </c>
      <c r="K39" s="121">
        <f t="shared" si="22"/>
        <v>240.03</v>
      </c>
      <c r="L39" s="121">
        <f t="shared" si="22"/>
        <v>240.03</v>
      </c>
      <c r="M39" s="121">
        <f t="shared" si="22"/>
        <v>240.03</v>
      </c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</row>
    <row r="40" spans="1:44" s="75" customFormat="1">
      <c r="A40" s="120" t="s">
        <v>545</v>
      </c>
      <c r="B40" s="120">
        <f>B38*B39</f>
        <v>16256751.84</v>
      </c>
      <c r="C40" s="120">
        <f t="shared" ref="C40:M40" si="23">C38*C39</f>
        <v>14724400.32</v>
      </c>
      <c r="D40" s="120">
        <f t="shared" si="23"/>
        <v>15939912.24</v>
      </c>
      <c r="E40" s="120">
        <f t="shared" si="23"/>
        <v>14551578.720000001</v>
      </c>
      <c r="F40" s="120">
        <f t="shared" si="23"/>
        <v>14586143.040000001</v>
      </c>
      <c r="G40" s="120">
        <f t="shared" si="23"/>
        <v>14286585.6</v>
      </c>
      <c r="H40" s="120">
        <f t="shared" si="23"/>
        <v>15381122.4</v>
      </c>
      <c r="I40" s="120">
        <f t="shared" si="23"/>
        <v>14851136.16</v>
      </c>
      <c r="J40" s="120">
        <f t="shared" si="23"/>
        <v>14551578.720000001</v>
      </c>
      <c r="K40" s="120">
        <f t="shared" si="23"/>
        <v>16573591.439999999</v>
      </c>
      <c r="L40" s="120">
        <f t="shared" si="23"/>
        <v>15006675.6</v>
      </c>
      <c r="M40" s="120">
        <f t="shared" si="23"/>
        <v>15306233.040000001</v>
      </c>
      <c r="N40" s="120">
        <f>SUM(B40:M40)</f>
        <v>182015709.11999997</v>
      </c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</row>
    <row r="41" spans="1:44" s="75" customFormat="1" ht="5.45" customHeight="1"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</row>
    <row r="42" spans="1:44" s="230" customFormat="1">
      <c r="A42" s="230" t="s">
        <v>768</v>
      </c>
      <c r="B42" s="231">
        <f>B40</f>
        <v>16256751.84</v>
      </c>
      <c r="C42" s="231">
        <f t="shared" ref="C42:M42" si="24">C40</f>
        <v>14724400.32</v>
      </c>
      <c r="D42" s="231">
        <f t="shared" si="24"/>
        <v>15939912.24</v>
      </c>
      <c r="E42" s="231">
        <f t="shared" si="24"/>
        <v>14551578.720000001</v>
      </c>
      <c r="F42" s="231">
        <f t="shared" si="24"/>
        <v>14586143.040000001</v>
      </c>
      <c r="G42" s="231">
        <f t="shared" si="24"/>
        <v>14286585.6</v>
      </c>
      <c r="H42" s="231">
        <f t="shared" si="24"/>
        <v>15381122.4</v>
      </c>
      <c r="I42" s="231">
        <f t="shared" si="24"/>
        <v>14851136.16</v>
      </c>
      <c r="J42" s="231">
        <f t="shared" si="24"/>
        <v>14551578.720000001</v>
      </c>
      <c r="K42" s="231">
        <f t="shared" si="24"/>
        <v>16573591.439999999</v>
      </c>
      <c r="L42" s="231">
        <f t="shared" si="24"/>
        <v>15006675.6</v>
      </c>
      <c r="M42" s="231">
        <f t="shared" si="24"/>
        <v>15306233.040000001</v>
      </c>
      <c r="N42" s="231">
        <f>SUM(B42:M42)</f>
        <v>182015709.11999997</v>
      </c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</row>
    <row r="43" spans="1:44" s="232" customFormat="1" ht="13.5" thickBot="1">
      <c r="A43" s="232" t="s">
        <v>769</v>
      </c>
      <c r="B43" s="233">
        <f>B42/Factors!C11</f>
        <v>3777638.620121805</v>
      </c>
      <c r="C43" s="233">
        <f>C42/Factors!D11</f>
        <v>3416783.8963268464</v>
      </c>
      <c r="D43" s="233">
        <f>D42/Factors!E11</f>
        <v>3693685.6268038731</v>
      </c>
      <c r="E43" s="233">
        <f>E42/Factors!F11</f>
        <v>3367278.744221543</v>
      </c>
      <c r="F43" s="233">
        <f>F42/Factors!G11</f>
        <v>3370584.4909619256</v>
      </c>
      <c r="G43" s="233">
        <f>G42/Factors!H11</f>
        <v>3296778.9699026882</v>
      </c>
      <c r="H43" s="233">
        <f>H42/Factors!I11</f>
        <v>3544433.9059383986</v>
      </c>
      <c r="I43" s="233">
        <f>I42/Factors!J11</f>
        <v>3417565.4413943538</v>
      </c>
      <c r="J43" s="233">
        <f>J42/Factors!K11</f>
        <v>3344001.0914370753</v>
      </c>
      <c r="K43" s="233">
        <f>K42/Factors!L11</f>
        <v>3803407.8125675526</v>
      </c>
      <c r="L43" s="233">
        <f>L42/Factors!M11</f>
        <v>3439074.2779009347</v>
      </c>
      <c r="M43" s="233">
        <f>M42/Factors!N11</f>
        <v>3502894.0705442536</v>
      </c>
      <c r="N43" s="233">
        <f>SUM(B43:M43)</f>
        <v>41974126.948121242</v>
      </c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F43" s="233"/>
      <c r="AG43" s="233"/>
      <c r="AH43" s="233"/>
      <c r="AI43" s="233"/>
      <c r="AJ43" s="233"/>
      <c r="AK43" s="233"/>
      <c r="AL43" s="233"/>
      <c r="AM43" s="233"/>
      <c r="AN43" s="233"/>
      <c r="AO43" s="233"/>
      <c r="AP43" s="233"/>
      <c r="AQ43" s="233"/>
    </row>
    <row r="44" spans="1:44" s="75" customFormat="1" ht="13.5" thickTop="1"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</row>
    <row r="45" spans="1:44" s="75" customFormat="1"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</row>
    <row r="46" spans="1:44" s="75" customFormat="1" ht="18">
      <c r="A46" s="89" t="s">
        <v>775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P46" s="89" t="s">
        <v>540</v>
      </c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E46" s="89" t="s">
        <v>540</v>
      </c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</row>
    <row r="47" spans="1:44" s="75" customFormat="1" ht="19.899999999999999" customHeight="1">
      <c r="B47" s="88" t="s">
        <v>50</v>
      </c>
      <c r="C47" s="88" t="s">
        <v>51</v>
      </c>
      <c r="D47" s="88" t="s">
        <v>52</v>
      </c>
      <c r="E47" s="88" t="s">
        <v>53</v>
      </c>
      <c r="F47" s="88" t="s">
        <v>54</v>
      </c>
      <c r="G47" s="88" t="s">
        <v>55</v>
      </c>
      <c r="H47" s="88" t="s">
        <v>56</v>
      </c>
      <c r="I47" s="88" t="s">
        <v>57</v>
      </c>
      <c r="J47" s="88" t="s">
        <v>58</v>
      </c>
      <c r="K47" s="88" t="s">
        <v>59</v>
      </c>
      <c r="L47" s="88" t="s">
        <v>60</v>
      </c>
      <c r="M47" s="88" t="s">
        <v>61</v>
      </c>
      <c r="N47" s="87" t="s">
        <v>97</v>
      </c>
      <c r="Q47" s="88" t="s">
        <v>50</v>
      </c>
      <c r="R47" s="88" t="s">
        <v>51</v>
      </c>
      <c r="S47" s="88" t="s">
        <v>52</v>
      </c>
      <c r="T47" s="88" t="s">
        <v>53</v>
      </c>
      <c r="U47" s="88" t="s">
        <v>54</v>
      </c>
      <c r="V47" s="88" t="s">
        <v>55</v>
      </c>
      <c r="W47" s="88" t="s">
        <v>56</v>
      </c>
      <c r="X47" s="88" t="s">
        <v>57</v>
      </c>
      <c r="Y47" s="88" t="s">
        <v>58</v>
      </c>
      <c r="Z47" s="88" t="s">
        <v>59</v>
      </c>
      <c r="AA47" s="88" t="s">
        <v>60</v>
      </c>
      <c r="AB47" s="88" t="s">
        <v>61</v>
      </c>
      <c r="AC47" s="87" t="s">
        <v>97</v>
      </c>
      <c r="AF47" s="88" t="s">
        <v>50</v>
      </c>
      <c r="AG47" s="88" t="s">
        <v>51</v>
      </c>
      <c r="AH47" s="88" t="s">
        <v>52</v>
      </c>
      <c r="AI47" s="88" t="s">
        <v>53</v>
      </c>
      <c r="AJ47" s="88" t="s">
        <v>54</v>
      </c>
      <c r="AK47" s="88" t="s">
        <v>55</v>
      </c>
      <c r="AL47" s="88" t="s">
        <v>56</v>
      </c>
      <c r="AM47" s="88" t="s">
        <v>57</v>
      </c>
      <c r="AN47" s="88" t="s">
        <v>58</v>
      </c>
      <c r="AO47" s="88" t="s">
        <v>59</v>
      </c>
      <c r="AP47" s="88" t="s">
        <v>60</v>
      </c>
      <c r="AQ47" s="88" t="s">
        <v>61</v>
      </c>
      <c r="AR47" s="87" t="s">
        <v>97</v>
      </c>
    </row>
    <row r="48" spans="1:44" s="75" customFormat="1">
      <c r="A48" s="75" t="s">
        <v>551</v>
      </c>
      <c r="B48" s="120">
        <v>58678</v>
      </c>
      <c r="C48" s="120">
        <v>51179</v>
      </c>
      <c r="D48" s="120">
        <v>48808</v>
      </c>
      <c r="E48" s="120">
        <v>36968</v>
      </c>
      <c r="F48" s="120">
        <v>15026</v>
      </c>
      <c r="G48" s="120">
        <f>(15191.7+11353)/2</f>
        <v>13272.35</v>
      </c>
      <c r="H48" s="120">
        <f>(15371.5+4826)/2</f>
        <v>10098.75</v>
      </c>
      <c r="I48" s="120">
        <f>(16846.8+5697)/2</f>
        <v>11271.9</v>
      </c>
      <c r="J48" s="120">
        <v>23087</v>
      </c>
      <c r="K48" s="120">
        <v>38462</v>
      </c>
      <c r="L48" s="120">
        <v>45256.5</v>
      </c>
      <c r="M48" s="120">
        <v>53042</v>
      </c>
      <c r="N48" s="120">
        <f>SUM(B48:M48)</f>
        <v>405149.5</v>
      </c>
      <c r="P48" s="75" t="s">
        <v>551</v>
      </c>
      <c r="Q48" s="120">
        <v>58678</v>
      </c>
      <c r="R48" s="120">
        <v>51179</v>
      </c>
      <c r="S48" s="120">
        <v>48808</v>
      </c>
      <c r="T48" s="120">
        <v>36968</v>
      </c>
      <c r="U48" s="120">
        <v>15026</v>
      </c>
      <c r="V48" s="120">
        <f>(15191.7+11353)/2</f>
        <v>13272.35</v>
      </c>
      <c r="W48" s="120">
        <f>(15371.5+4826)/2</f>
        <v>10098.75</v>
      </c>
      <c r="X48" s="120">
        <f>(16846.8+5697)/2</f>
        <v>11271.9</v>
      </c>
      <c r="Y48" s="120">
        <v>23087</v>
      </c>
      <c r="Z48" s="120">
        <v>38462</v>
      </c>
      <c r="AA48" s="120">
        <v>45256.5</v>
      </c>
      <c r="AB48" s="120">
        <v>53042</v>
      </c>
      <c r="AC48" s="120">
        <f>SUM(Q48:AB48)</f>
        <v>405149.5</v>
      </c>
      <c r="AE48" s="75" t="s">
        <v>551</v>
      </c>
      <c r="AF48" s="120">
        <v>58678</v>
      </c>
      <c r="AG48" s="120">
        <v>51179</v>
      </c>
      <c r="AH48" s="120">
        <v>48808</v>
      </c>
      <c r="AI48" s="120">
        <v>36968</v>
      </c>
      <c r="AJ48" s="120">
        <v>15026</v>
      </c>
      <c r="AK48" s="120">
        <f>(15191.7+11353)/2</f>
        <v>13272.35</v>
      </c>
      <c r="AL48" s="120">
        <f>(15371.5+4826)/2</f>
        <v>10098.75</v>
      </c>
      <c r="AM48" s="120">
        <f>(16846.8+5697)/2</f>
        <v>11271.9</v>
      </c>
      <c r="AN48" s="120">
        <v>23087</v>
      </c>
      <c r="AO48" s="120">
        <v>38462</v>
      </c>
      <c r="AP48" s="120">
        <v>45256.5</v>
      </c>
      <c r="AQ48" s="120">
        <v>53042</v>
      </c>
      <c r="AR48" s="120">
        <f>SUM(AF48:AQ48)</f>
        <v>405149.5</v>
      </c>
    </row>
    <row r="49" spans="1:44" s="75" customFormat="1">
      <c r="A49" s="75" t="s">
        <v>552</v>
      </c>
      <c r="B49" s="120">
        <v>9804</v>
      </c>
      <c r="C49" s="120">
        <v>8129</v>
      </c>
      <c r="D49" s="120">
        <v>7085</v>
      </c>
      <c r="E49" s="120">
        <v>6634</v>
      </c>
      <c r="F49" s="120">
        <v>4307</v>
      </c>
      <c r="G49" s="120">
        <f>(3800.7+4427)/2</f>
        <v>4113.8500000000004</v>
      </c>
      <c r="H49" s="120">
        <f>(4239.2+11191)/2</f>
        <v>7715.1</v>
      </c>
      <c r="I49" s="120">
        <f>(3985.4+9775)/2</f>
        <v>6880.2</v>
      </c>
      <c r="J49" s="120">
        <v>3206</v>
      </c>
      <c r="K49" s="120">
        <v>4910</v>
      </c>
      <c r="L49" s="120">
        <v>6322</v>
      </c>
      <c r="M49" s="120">
        <v>8003</v>
      </c>
      <c r="N49" s="120">
        <f>SUM(B49:M49)</f>
        <v>77109.149999999994</v>
      </c>
      <c r="P49" s="75" t="s">
        <v>552</v>
      </c>
      <c r="Q49" s="120">
        <v>9804</v>
      </c>
      <c r="R49" s="120">
        <v>8129</v>
      </c>
      <c r="S49" s="120">
        <v>7085</v>
      </c>
      <c r="T49" s="120">
        <v>6634</v>
      </c>
      <c r="U49" s="120">
        <v>4307</v>
      </c>
      <c r="V49" s="120">
        <f>(3800.7+4427)/2</f>
        <v>4113.8500000000004</v>
      </c>
      <c r="W49" s="120">
        <f>(4239.2+11191)/2</f>
        <v>7715.1</v>
      </c>
      <c r="X49" s="120">
        <f>(3985.4+9775)/2</f>
        <v>6880.2</v>
      </c>
      <c r="Y49" s="120">
        <v>3206</v>
      </c>
      <c r="Z49" s="120">
        <v>4910</v>
      </c>
      <c r="AA49" s="120">
        <v>6322</v>
      </c>
      <c r="AB49" s="120">
        <v>8003</v>
      </c>
      <c r="AC49" s="120">
        <f>SUM(Q49:AB49)</f>
        <v>77109.149999999994</v>
      </c>
      <c r="AE49" s="75" t="s">
        <v>552</v>
      </c>
      <c r="AF49" s="120">
        <v>9804</v>
      </c>
      <c r="AG49" s="120">
        <v>8129</v>
      </c>
      <c r="AH49" s="120">
        <v>7085</v>
      </c>
      <c r="AI49" s="120">
        <v>6634</v>
      </c>
      <c r="AJ49" s="120">
        <v>4307</v>
      </c>
      <c r="AK49" s="120">
        <f>(3800.7+4427)/2</f>
        <v>4113.8500000000004</v>
      </c>
      <c r="AL49" s="120">
        <f>(4239.2+11191)/2</f>
        <v>7715.1</v>
      </c>
      <c r="AM49" s="120">
        <f>(3985.4+9775)/2</f>
        <v>6880.2</v>
      </c>
      <c r="AN49" s="120">
        <v>3206</v>
      </c>
      <c r="AO49" s="120">
        <v>4910</v>
      </c>
      <c r="AP49" s="120">
        <v>6322</v>
      </c>
      <c r="AQ49" s="120">
        <v>8003</v>
      </c>
      <c r="AR49" s="120">
        <f>SUM(AF49:AQ49)</f>
        <v>77109.149999999994</v>
      </c>
    </row>
    <row r="50" spans="1:44" s="75" customFormat="1"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</row>
    <row r="51" spans="1:44" s="75" customFormat="1">
      <c r="A51" s="75" t="s">
        <v>547</v>
      </c>
      <c r="B51" s="120">
        <v>184621.46</v>
      </c>
      <c r="C51" s="120">
        <f>B51</f>
        <v>184621.46</v>
      </c>
      <c r="D51" s="120">
        <f>C51</f>
        <v>184621.46</v>
      </c>
      <c r="E51" s="120">
        <f>D51</f>
        <v>184621.46</v>
      </c>
      <c r="F51" s="120">
        <f>E51</f>
        <v>184621.46</v>
      </c>
      <c r="G51" s="120">
        <f>F51</f>
        <v>184621.46</v>
      </c>
      <c r="H51" s="120">
        <v>187408.15</v>
      </c>
      <c r="I51" s="120">
        <f>H51</f>
        <v>187408.15</v>
      </c>
      <c r="J51" s="120">
        <f>I51</f>
        <v>187408.15</v>
      </c>
      <c r="K51" s="120">
        <f>J51</f>
        <v>187408.15</v>
      </c>
      <c r="L51" s="120">
        <f>K51</f>
        <v>187408.15</v>
      </c>
      <c r="M51" s="120">
        <f>L51</f>
        <v>187408.15</v>
      </c>
      <c r="N51" s="120">
        <f t="shared" ref="N51:N60" si="25">SUM(B51:M51)</f>
        <v>2232177.6599999997</v>
      </c>
      <c r="P51" s="75" t="s">
        <v>547</v>
      </c>
      <c r="Q51" s="120">
        <v>187294</v>
      </c>
      <c r="R51" s="120">
        <v>187294</v>
      </c>
      <c r="S51" s="120">
        <v>187294</v>
      </c>
      <c r="T51" s="120">
        <v>187294</v>
      </c>
      <c r="U51" s="120">
        <v>187294</v>
      </c>
      <c r="V51" s="120">
        <v>187294</v>
      </c>
      <c r="W51" s="120">
        <v>191033</v>
      </c>
      <c r="X51" s="120">
        <v>191033</v>
      </c>
      <c r="Y51" s="120">
        <v>191033</v>
      </c>
      <c r="Z51" s="120">
        <v>191033</v>
      </c>
      <c r="AA51" s="120">
        <v>191033</v>
      </c>
      <c r="AB51" s="120">
        <v>191033</v>
      </c>
      <c r="AC51" s="120">
        <f>SUM(Q51:AB51)</f>
        <v>2269962</v>
      </c>
      <c r="AE51" s="75" t="s">
        <v>547</v>
      </c>
      <c r="AF51" s="120">
        <v>187294</v>
      </c>
      <c r="AG51" s="120">
        <v>187294</v>
      </c>
      <c r="AH51" s="120">
        <v>187294</v>
      </c>
      <c r="AI51" s="120">
        <v>187294</v>
      </c>
      <c r="AJ51" s="120">
        <v>187294</v>
      </c>
      <c r="AK51" s="120">
        <v>187294</v>
      </c>
      <c r="AL51" s="120">
        <v>191033</v>
      </c>
      <c r="AM51" s="120">
        <v>191033</v>
      </c>
      <c r="AN51" s="120">
        <v>191033</v>
      </c>
      <c r="AO51" s="120">
        <v>191033</v>
      </c>
      <c r="AP51" s="120">
        <v>191033</v>
      </c>
      <c r="AQ51" s="120">
        <v>191033</v>
      </c>
      <c r="AR51" s="120">
        <f>SUM(AF51:AQ51)</f>
        <v>2269962</v>
      </c>
    </row>
    <row r="52" spans="1:44" s="121" customFormat="1">
      <c r="A52" s="121" t="s">
        <v>541</v>
      </c>
      <c r="B52" s="121">
        <v>3.93</v>
      </c>
      <c r="C52" s="121">
        <f>B52</f>
        <v>3.93</v>
      </c>
      <c r="D52" s="121">
        <f>C52</f>
        <v>3.93</v>
      </c>
      <c r="E52" s="121">
        <v>3.97</v>
      </c>
      <c r="F52" s="121">
        <f>E52</f>
        <v>3.97</v>
      </c>
      <c r="G52" s="121">
        <f t="shared" ref="G52:M52" si="26">F52</f>
        <v>3.97</v>
      </c>
      <c r="H52" s="121">
        <v>4.05</v>
      </c>
      <c r="I52" s="121">
        <f t="shared" si="26"/>
        <v>4.05</v>
      </c>
      <c r="J52" s="121">
        <f t="shared" si="26"/>
        <v>4.05</v>
      </c>
      <c r="K52" s="121">
        <f t="shared" si="26"/>
        <v>4.05</v>
      </c>
      <c r="L52" s="121">
        <f t="shared" si="26"/>
        <v>4.05</v>
      </c>
      <c r="M52" s="121">
        <f t="shared" si="26"/>
        <v>4.05</v>
      </c>
      <c r="N52" s="120"/>
      <c r="P52" s="121" t="s">
        <v>541</v>
      </c>
      <c r="Q52" s="121">
        <v>4</v>
      </c>
      <c r="R52" s="121">
        <v>4</v>
      </c>
      <c r="S52" s="121">
        <v>4</v>
      </c>
      <c r="T52" s="121">
        <v>4</v>
      </c>
      <c r="U52" s="121">
        <v>4</v>
      </c>
      <c r="V52" s="121">
        <v>4</v>
      </c>
      <c r="W52" s="121">
        <v>4.07</v>
      </c>
      <c r="X52" s="121">
        <v>4.07</v>
      </c>
      <c r="Y52" s="121">
        <v>4.07</v>
      </c>
      <c r="Z52" s="121">
        <v>4.07</v>
      </c>
      <c r="AA52" s="121">
        <v>4.07</v>
      </c>
      <c r="AB52" s="121">
        <v>4.07</v>
      </c>
      <c r="AC52" s="120"/>
      <c r="AE52" s="121" t="s">
        <v>541</v>
      </c>
      <c r="AF52" s="121">
        <v>4</v>
      </c>
      <c r="AG52" s="121">
        <v>4</v>
      </c>
      <c r="AH52" s="121">
        <v>4</v>
      </c>
      <c r="AI52" s="121">
        <v>4</v>
      </c>
      <c r="AJ52" s="121">
        <v>4</v>
      </c>
      <c r="AK52" s="121">
        <v>4</v>
      </c>
      <c r="AL52" s="121">
        <v>4.07</v>
      </c>
      <c r="AM52" s="121">
        <v>4.07</v>
      </c>
      <c r="AN52" s="121">
        <v>4.07</v>
      </c>
      <c r="AO52" s="121">
        <v>4.07</v>
      </c>
      <c r="AP52" s="121">
        <v>4.07</v>
      </c>
      <c r="AQ52" s="121">
        <v>4.07</v>
      </c>
      <c r="AR52" s="120"/>
    </row>
    <row r="53" spans="1:44" s="121" customFormat="1">
      <c r="A53" s="121" t="s">
        <v>542</v>
      </c>
      <c r="B53" s="121">
        <v>4.93</v>
      </c>
      <c r="C53" s="121">
        <f>B53</f>
        <v>4.93</v>
      </c>
      <c r="D53" s="121">
        <f>C53</f>
        <v>4.93</v>
      </c>
      <c r="E53" s="121">
        <v>4.9800000000000004</v>
      </c>
      <c r="F53" s="121">
        <f>E53</f>
        <v>4.9800000000000004</v>
      </c>
      <c r="G53" s="121">
        <f>F53</f>
        <v>4.9800000000000004</v>
      </c>
      <c r="H53" s="121">
        <v>5.08</v>
      </c>
      <c r="I53" s="121">
        <v>5.08</v>
      </c>
      <c r="J53" s="121">
        <v>5.08</v>
      </c>
      <c r="K53" s="121">
        <v>5.08</v>
      </c>
      <c r="L53" s="121">
        <v>5.08</v>
      </c>
      <c r="M53" s="121">
        <v>5.08</v>
      </c>
      <c r="N53" s="120"/>
      <c r="P53" s="121" t="s">
        <v>542</v>
      </c>
      <c r="Q53" s="121">
        <v>5.01</v>
      </c>
      <c r="R53" s="121">
        <v>5.01</v>
      </c>
      <c r="S53" s="121">
        <v>5.01</v>
      </c>
      <c r="T53" s="121">
        <v>5.01</v>
      </c>
      <c r="U53" s="121">
        <v>5.01</v>
      </c>
      <c r="V53" s="121">
        <v>5.01</v>
      </c>
      <c r="W53" s="121">
        <v>5.1100000000000003</v>
      </c>
      <c r="X53" s="121">
        <v>5.1100000000000003</v>
      </c>
      <c r="Y53" s="121">
        <v>5.1100000000000003</v>
      </c>
      <c r="Z53" s="121">
        <v>5.1100000000000003</v>
      </c>
      <c r="AA53" s="121">
        <v>5.1100000000000003</v>
      </c>
      <c r="AB53" s="121">
        <v>5.1100000000000003</v>
      </c>
      <c r="AC53" s="120"/>
      <c r="AE53" s="121" t="s">
        <v>542</v>
      </c>
      <c r="AF53" s="121">
        <v>5.01</v>
      </c>
      <c r="AG53" s="121">
        <v>5.01</v>
      </c>
      <c r="AH53" s="121">
        <v>5.01</v>
      </c>
      <c r="AI53" s="121">
        <v>5.01</v>
      </c>
      <c r="AJ53" s="121">
        <v>5.01</v>
      </c>
      <c r="AK53" s="121">
        <v>5.01</v>
      </c>
      <c r="AL53" s="121">
        <v>5.1100000000000003</v>
      </c>
      <c r="AM53" s="121">
        <v>5.1100000000000003</v>
      </c>
      <c r="AN53" s="121">
        <v>5.1100000000000003</v>
      </c>
      <c r="AO53" s="121">
        <v>5.1100000000000003</v>
      </c>
      <c r="AP53" s="121">
        <v>5.1100000000000003</v>
      </c>
      <c r="AQ53" s="121">
        <v>5.1100000000000003</v>
      </c>
      <c r="AR53" s="120"/>
    </row>
    <row r="54" spans="1:44" s="75" customFormat="1">
      <c r="N54" s="120"/>
      <c r="AC54" s="120"/>
      <c r="AR54" s="120"/>
    </row>
    <row r="55" spans="1:44" s="75" customFormat="1">
      <c r="A55" s="75" t="s">
        <v>548</v>
      </c>
      <c r="B55" s="120">
        <f>B51</f>
        <v>184621.46</v>
      </c>
      <c r="C55" s="120">
        <f t="shared" ref="C55:M55" si="27">C51</f>
        <v>184621.46</v>
      </c>
      <c r="D55" s="120">
        <f t="shared" si="27"/>
        <v>184621.46</v>
      </c>
      <c r="E55" s="120">
        <f t="shared" si="27"/>
        <v>184621.46</v>
      </c>
      <c r="F55" s="120">
        <f t="shared" si="27"/>
        <v>184621.46</v>
      </c>
      <c r="G55" s="120">
        <f t="shared" si="27"/>
        <v>184621.46</v>
      </c>
      <c r="H55" s="120">
        <f t="shared" si="27"/>
        <v>187408.15</v>
      </c>
      <c r="I55" s="120">
        <f t="shared" si="27"/>
        <v>187408.15</v>
      </c>
      <c r="J55" s="120">
        <f t="shared" si="27"/>
        <v>187408.15</v>
      </c>
      <c r="K55" s="120">
        <f t="shared" si="27"/>
        <v>187408.15</v>
      </c>
      <c r="L55" s="120">
        <f t="shared" si="27"/>
        <v>187408.15</v>
      </c>
      <c r="M55" s="120">
        <f t="shared" si="27"/>
        <v>187408.15</v>
      </c>
      <c r="N55" s="120">
        <f t="shared" si="25"/>
        <v>2232177.6599999997</v>
      </c>
      <c r="P55" s="75" t="s">
        <v>548</v>
      </c>
      <c r="Q55" s="120">
        <f>Q51</f>
        <v>187294</v>
      </c>
      <c r="R55" s="120">
        <f t="shared" ref="R55:AB55" si="28">R51</f>
        <v>187294</v>
      </c>
      <c r="S55" s="120">
        <f t="shared" si="28"/>
        <v>187294</v>
      </c>
      <c r="T55" s="120">
        <f t="shared" si="28"/>
        <v>187294</v>
      </c>
      <c r="U55" s="120">
        <f t="shared" si="28"/>
        <v>187294</v>
      </c>
      <c r="V55" s="120">
        <f t="shared" si="28"/>
        <v>187294</v>
      </c>
      <c r="W55" s="120">
        <f t="shared" si="28"/>
        <v>191033</v>
      </c>
      <c r="X55" s="120">
        <f t="shared" si="28"/>
        <v>191033</v>
      </c>
      <c r="Y55" s="120">
        <f t="shared" si="28"/>
        <v>191033</v>
      </c>
      <c r="Z55" s="120">
        <f t="shared" si="28"/>
        <v>191033</v>
      </c>
      <c r="AA55" s="120">
        <f t="shared" si="28"/>
        <v>191033</v>
      </c>
      <c r="AB55" s="120">
        <f t="shared" si="28"/>
        <v>191033</v>
      </c>
      <c r="AC55" s="120">
        <f>SUM(Q55:AB55)</f>
        <v>2269962</v>
      </c>
      <c r="AE55" s="75" t="s">
        <v>548</v>
      </c>
      <c r="AF55" s="120">
        <f>AF51</f>
        <v>187294</v>
      </c>
      <c r="AG55" s="120">
        <f t="shared" ref="AG55:AQ55" si="29">AG51</f>
        <v>187294</v>
      </c>
      <c r="AH55" s="120">
        <f t="shared" si="29"/>
        <v>187294</v>
      </c>
      <c r="AI55" s="120">
        <f t="shared" si="29"/>
        <v>187294</v>
      </c>
      <c r="AJ55" s="120">
        <f t="shared" si="29"/>
        <v>187294</v>
      </c>
      <c r="AK55" s="120">
        <f t="shared" si="29"/>
        <v>187294</v>
      </c>
      <c r="AL55" s="120">
        <f t="shared" si="29"/>
        <v>191033</v>
      </c>
      <c r="AM55" s="120">
        <f t="shared" si="29"/>
        <v>191033</v>
      </c>
      <c r="AN55" s="120">
        <f t="shared" si="29"/>
        <v>191033</v>
      </c>
      <c r="AO55" s="120">
        <f t="shared" si="29"/>
        <v>191033</v>
      </c>
      <c r="AP55" s="120">
        <f t="shared" si="29"/>
        <v>191033</v>
      </c>
      <c r="AQ55" s="120">
        <f t="shared" si="29"/>
        <v>191033</v>
      </c>
      <c r="AR55" s="120">
        <f>SUM(AF55:AQ55)</f>
        <v>2269962</v>
      </c>
    </row>
    <row r="56" spans="1:44" s="75" customFormat="1">
      <c r="A56" s="75" t="s">
        <v>549</v>
      </c>
      <c r="B56" s="120">
        <f>B52*B48</f>
        <v>230604.54</v>
      </c>
      <c r="C56" s="120">
        <f t="shared" ref="C56:M57" si="30">C52*C48</f>
        <v>201133.47</v>
      </c>
      <c r="D56" s="120">
        <f t="shared" si="30"/>
        <v>191815.44</v>
      </c>
      <c r="E56" s="120">
        <f t="shared" si="30"/>
        <v>146762.96000000002</v>
      </c>
      <c r="F56" s="120">
        <f t="shared" si="30"/>
        <v>59653.22</v>
      </c>
      <c r="G56" s="120">
        <f t="shared" si="30"/>
        <v>52691.229500000001</v>
      </c>
      <c r="H56" s="120">
        <f t="shared" si="30"/>
        <v>40899.9375</v>
      </c>
      <c r="I56" s="120">
        <f t="shared" si="30"/>
        <v>45651.195</v>
      </c>
      <c r="J56" s="120">
        <f t="shared" si="30"/>
        <v>93502.349999999991</v>
      </c>
      <c r="K56" s="120">
        <f t="shared" si="30"/>
        <v>155771.1</v>
      </c>
      <c r="L56" s="120">
        <f t="shared" si="30"/>
        <v>183288.82499999998</v>
      </c>
      <c r="M56" s="120">
        <f t="shared" si="30"/>
        <v>214820.09999999998</v>
      </c>
      <c r="N56" s="120">
        <f t="shared" si="25"/>
        <v>1616594.3670000001</v>
      </c>
      <c r="P56" s="75" t="s">
        <v>549</v>
      </c>
      <c r="Q56" s="120">
        <f>Q52*Q48</f>
        <v>234712</v>
      </c>
      <c r="R56" s="120">
        <f t="shared" ref="R56:AB56" si="31">R52*R48</f>
        <v>204716</v>
      </c>
      <c r="S56" s="120">
        <f t="shared" si="31"/>
        <v>195232</v>
      </c>
      <c r="T56" s="120">
        <f t="shared" si="31"/>
        <v>147872</v>
      </c>
      <c r="U56" s="120">
        <f t="shared" si="31"/>
        <v>60104</v>
      </c>
      <c r="V56" s="120">
        <f t="shared" si="31"/>
        <v>53089.4</v>
      </c>
      <c r="W56" s="120">
        <f t="shared" si="31"/>
        <v>41101.912500000006</v>
      </c>
      <c r="X56" s="120">
        <f t="shared" si="31"/>
        <v>45876.633000000002</v>
      </c>
      <c r="Y56" s="120">
        <f t="shared" si="31"/>
        <v>93964.090000000011</v>
      </c>
      <c r="Z56" s="120">
        <f t="shared" si="31"/>
        <v>156540.34</v>
      </c>
      <c r="AA56" s="120">
        <f t="shared" si="31"/>
        <v>184193.95500000002</v>
      </c>
      <c r="AB56" s="120">
        <f t="shared" si="31"/>
        <v>215880.94</v>
      </c>
      <c r="AC56" s="120">
        <f>SUM(Q56:AB56)</f>
        <v>1633283.2705000001</v>
      </c>
      <c r="AE56" s="75" t="s">
        <v>549</v>
      </c>
      <c r="AF56" s="120">
        <f>AF52*AF48</f>
        <v>234712</v>
      </c>
      <c r="AG56" s="120">
        <f t="shared" ref="AG56:AQ56" si="32">AG52*AG48</f>
        <v>204716</v>
      </c>
      <c r="AH56" s="120">
        <f t="shared" si="32"/>
        <v>195232</v>
      </c>
      <c r="AI56" s="120">
        <f t="shared" si="32"/>
        <v>147872</v>
      </c>
      <c r="AJ56" s="120">
        <f t="shared" si="32"/>
        <v>60104</v>
      </c>
      <c r="AK56" s="120">
        <f t="shared" si="32"/>
        <v>53089.4</v>
      </c>
      <c r="AL56" s="120">
        <f t="shared" si="32"/>
        <v>41101.912500000006</v>
      </c>
      <c r="AM56" s="120">
        <f t="shared" si="32"/>
        <v>45876.633000000002</v>
      </c>
      <c r="AN56" s="120">
        <f t="shared" si="32"/>
        <v>93964.090000000011</v>
      </c>
      <c r="AO56" s="120">
        <f t="shared" si="32"/>
        <v>156540.34</v>
      </c>
      <c r="AP56" s="120">
        <f t="shared" si="32"/>
        <v>184193.95500000002</v>
      </c>
      <c r="AQ56" s="120">
        <f t="shared" si="32"/>
        <v>215880.94</v>
      </c>
      <c r="AR56" s="120">
        <f>SUM(AF56:AQ56)</f>
        <v>1633283.2705000001</v>
      </c>
    </row>
    <row r="57" spans="1:44" s="75" customFormat="1">
      <c r="A57" s="75" t="s">
        <v>550</v>
      </c>
      <c r="B57" s="120">
        <f>B53*B49</f>
        <v>48333.719999999994</v>
      </c>
      <c r="C57" s="120">
        <f t="shared" si="30"/>
        <v>40075.97</v>
      </c>
      <c r="D57" s="120">
        <f t="shared" si="30"/>
        <v>34929.049999999996</v>
      </c>
      <c r="E57" s="120">
        <f t="shared" si="30"/>
        <v>33037.32</v>
      </c>
      <c r="F57" s="120">
        <f t="shared" si="30"/>
        <v>21448.86</v>
      </c>
      <c r="G57" s="120">
        <f t="shared" si="30"/>
        <v>20486.973000000002</v>
      </c>
      <c r="H57" s="120">
        <f t="shared" si="30"/>
        <v>39192.708000000006</v>
      </c>
      <c r="I57" s="120">
        <f t="shared" si="30"/>
        <v>34951.415999999997</v>
      </c>
      <c r="J57" s="120">
        <f t="shared" si="30"/>
        <v>16286.48</v>
      </c>
      <c r="K57" s="120">
        <f t="shared" si="30"/>
        <v>24942.799999999999</v>
      </c>
      <c r="L57" s="120">
        <f t="shared" si="30"/>
        <v>32115.760000000002</v>
      </c>
      <c r="M57" s="120">
        <f t="shared" si="30"/>
        <v>40655.24</v>
      </c>
      <c r="N57" s="120">
        <f t="shared" si="25"/>
        <v>386456.29699999996</v>
      </c>
      <c r="P57" s="75" t="s">
        <v>550</v>
      </c>
      <c r="Q57" s="120">
        <f>Q53*Q49</f>
        <v>49118.04</v>
      </c>
      <c r="R57" s="120">
        <f t="shared" ref="R57:AB57" si="33">R53*R49</f>
        <v>40726.29</v>
      </c>
      <c r="S57" s="120">
        <f t="shared" si="33"/>
        <v>35495.85</v>
      </c>
      <c r="T57" s="120">
        <f t="shared" si="33"/>
        <v>33236.339999999997</v>
      </c>
      <c r="U57" s="120">
        <f t="shared" si="33"/>
        <v>21578.07</v>
      </c>
      <c r="V57" s="120">
        <f t="shared" si="33"/>
        <v>20610.388500000001</v>
      </c>
      <c r="W57" s="120">
        <f t="shared" si="33"/>
        <v>39424.161000000007</v>
      </c>
      <c r="X57" s="120">
        <f t="shared" si="33"/>
        <v>35157.822</v>
      </c>
      <c r="Y57" s="120">
        <f t="shared" si="33"/>
        <v>16382.660000000002</v>
      </c>
      <c r="Z57" s="120">
        <f t="shared" si="33"/>
        <v>25090.100000000002</v>
      </c>
      <c r="AA57" s="120">
        <f t="shared" si="33"/>
        <v>32305.420000000002</v>
      </c>
      <c r="AB57" s="120">
        <f t="shared" si="33"/>
        <v>40895.33</v>
      </c>
      <c r="AC57" s="120">
        <f>SUM(Q57:AB57)</f>
        <v>390020.47149999993</v>
      </c>
      <c r="AE57" s="75" t="s">
        <v>550</v>
      </c>
      <c r="AF57" s="120">
        <f>AF53*AF49</f>
        <v>49118.04</v>
      </c>
      <c r="AG57" s="120">
        <f t="shared" ref="AG57:AQ57" si="34">AG53*AG49</f>
        <v>40726.29</v>
      </c>
      <c r="AH57" s="120">
        <f t="shared" si="34"/>
        <v>35495.85</v>
      </c>
      <c r="AI57" s="120">
        <f t="shared" si="34"/>
        <v>33236.339999999997</v>
      </c>
      <c r="AJ57" s="120">
        <f t="shared" si="34"/>
        <v>21578.07</v>
      </c>
      <c r="AK57" s="120">
        <f t="shared" si="34"/>
        <v>20610.388500000001</v>
      </c>
      <c r="AL57" s="120">
        <f t="shared" si="34"/>
        <v>39424.161000000007</v>
      </c>
      <c r="AM57" s="120">
        <f t="shared" si="34"/>
        <v>35157.822</v>
      </c>
      <c r="AN57" s="120">
        <f t="shared" si="34"/>
        <v>16382.660000000002</v>
      </c>
      <c r="AO57" s="120">
        <f t="shared" si="34"/>
        <v>25090.100000000002</v>
      </c>
      <c r="AP57" s="120">
        <f t="shared" si="34"/>
        <v>32305.420000000002</v>
      </c>
      <c r="AQ57" s="120">
        <f t="shared" si="34"/>
        <v>40895.33</v>
      </c>
      <c r="AR57" s="120">
        <f>SUM(AF57:AQ57)</f>
        <v>390020.47149999993</v>
      </c>
    </row>
    <row r="58" spans="1:44" s="75" customFormat="1"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</row>
    <row r="59" spans="1:44" s="226" customFormat="1" ht="15">
      <c r="A59" s="226" t="s">
        <v>122</v>
      </c>
      <c r="B59" s="227">
        <f>B60*Factors!C11</f>
        <v>1994890.4828850192</v>
      </c>
      <c r="C59" s="227">
        <f>C60*Factors!D11</f>
        <v>1835089.6136470481</v>
      </c>
      <c r="D59" s="227">
        <f>D60*Factors!E11</f>
        <v>1775228.8104708262</v>
      </c>
      <c r="E59" s="227">
        <f>E60*Factors!F11</f>
        <v>1574835.9549946662</v>
      </c>
      <c r="F59" s="227">
        <f>F60*Factors!G11</f>
        <v>1149913.7831815721</v>
      </c>
      <c r="G59" s="227">
        <f>G60*Factors!H11</f>
        <v>1117174.3630923713</v>
      </c>
      <c r="H59" s="227">
        <f>H60*Factors!I11</f>
        <v>1160823.5861838011</v>
      </c>
      <c r="I59" s="227">
        <f>I60*Factors!J11</f>
        <v>1164649.0380978002</v>
      </c>
      <c r="J59" s="227">
        <f>J60*Factors!K11</f>
        <v>1293266.6980553358</v>
      </c>
      <c r="K59" s="227">
        <f>K60*Factors!L11</f>
        <v>1604115.2454373809</v>
      </c>
      <c r="L59" s="227">
        <f>L60*Factors!M11</f>
        <v>1757705.5780787917</v>
      </c>
      <c r="M59" s="227">
        <f>M60*Factors!N11</f>
        <v>1935222.0680927581</v>
      </c>
      <c r="N59" s="227">
        <f>SUM(B59:M59)</f>
        <v>18362915.222217374</v>
      </c>
      <c r="P59" s="226" t="s">
        <v>122</v>
      </c>
      <c r="Q59" s="227">
        <f>Q60*Factors!R11</f>
        <v>2067199.4625785653</v>
      </c>
      <c r="R59" s="227">
        <f>R60*Factors!S11</f>
        <v>1906640.2578170744</v>
      </c>
      <c r="S59" s="227">
        <f>S60*Factors!T11</f>
        <v>1849419.0716575878</v>
      </c>
      <c r="T59" s="227">
        <f>T60*Factors!U11</f>
        <v>1636599.000962446</v>
      </c>
      <c r="U59" s="227">
        <f>U60*Factors!V11</f>
        <v>1199802.6132575644</v>
      </c>
      <c r="V59" s="227">
        <f>V60*Factors!W11</f>
        <v>1168948.4352167703</v>
      </c>
      <c r="W59" s="227">
        <f>W60*Factors!X11</f>
        <v>1221212.7978015328</v>
      </c>
      <c r="X59" s="227">
        <f>X60*Factors!Y11</f>
        <v>1228452.4484984251</v>
      </c>
      <c r="Y59" s="227">
        <f>Y60*Factors!Z11</f>
        <v>1366291.8907671152</v>
      </c>
      <c r="Z59" s="227">
        <f>Z60*Factors!AA11</f>
        <v>1696238.3291901471</v>
      </c>
      <c r="AA59" s="227">
        <f>AA60*Factors!AB11</f>
        <v>1862369.7645262333</v>
      </c>
      <c r="AB59" s="227">
        <f>AB60*Factors!AC11</f>
        <v>2054583.0251665814</v>
      </c>
      <c r="AC59" s="227">
        <f>SUM(Q59:AB59)</f>
        <v>19257757.097440042</v>
      </c>
      <c r="AE59" s="226" t="s">
        <v>122</v>
      </c>
      <c r="AF59" s="227">
        <f>AF60*Factors!AG11</f>
        <v>2170559.4357074932</v>
      </c>
      <c r="AG59" s="227">
        <f>AG60*Factors!AH11</f>
        <v>2001972.2707079274</v>
      </c>
      <c r="AH59" s="227">
        <f>AH60*Factors!AI11</f>
        <v>1941890.0252404669</v>
      </c>
      <c r="AI59" s="227">
        <f>AI60*Factors!AJ11</f>
        <v>1718428.9510105681</v>
      </c>
      <c r="AJ59" s="227">
        <f>AJ60*Factors!AK11</f>
        <v>1259792.7439204424</v>
      </c>
      <c r="AK59" s="227">
        <f>AK60*Factors!AL11</f>
        <v>1227395.8569776088</v>
      </c>
      <c r="AL59" s="227">
        <f>AL60*Factors!AM11</f>
        <v>1282273.4376916094</v>
      </c>
      <c r="AM59" s="227">
        <f>AM60*Factors!AN11</f>
        <v>1289875.0709233463</v>
      </c>
      <c r="AN59" s="227">
        <f>AN60*Factors!AO11</f>
        <v>1434606.4853054709</v>
      </c>
      <c r="AO59" s="227">
        <f>AO60*Factors!AP11</f>
        <v>1781050.2456496544</v>
      </c>
      <c r="AP59" s="227">
        <f>AP60*Factors!AQ11</f>
        <v>1955488.2527525453</v>
      </c>
      <c r="AQ59" s="227">
        <f>AQ60*Factors!AR11</f>
        <v>2157312.1764249108</v>
      </c>
      <c r="AR59" s="227">
        <f>SUM(AF59:AQ59)</f>
        <v>20220644.952312041</v>
      </c>
    </row>
    <row r="60" spans="1:44" s="228" customFormat="1" ht="15.75" thickBot="1">
      <c r="A60" s="228" t="s">
        <v>123</v>
      </c>
      <c r="B60" s="229">
        <f>B55+B56+B57</f>
        <v>463559.72</v>
      </c>
      <c r="C60" s="229">
        <f t="shared" ref="C60:M60" si="35">C55+C56+C57</f>
        <v>425830.9</v>
      </c>
      <c r="D60" s="229">
        <f t="shared" si="35"/>
        <v>411365.95</v>
      </c>
      <c r="E60" s="229">
        <f t="shared" si="35"/>
        <v>364421.74000000005</v>
      </c>
      <c r="F60" s="229">
        <f t="shared" si="35"/>
        <v>265723.53999999998</v>
      </c>
      <c r="G60" s="229">
        <f t="shared" si="35"/>
        <v>257799.66249999998</v>
      </c>
      <c r="H60" s="229">
        <f t="shared" si="35"/>
        <v>267500.79550000001</v>
      </c>
      <c r="I60" s="229">
        <f t="shared" si="35"/>
        <v>268010.761</v>
      </c>
      <c r="J60" s="229">
        <f t="shared" si="35"/>
        <v>297196.98</v>
      </c>
      <c r="K60" s="229">
        <f t="shared" si="35"/>
        <v>368122.05</v>
      </c>
      <c r="L60" s="229">
        <f>L55+L56+L57</f>
        <v>402812.73499999999</v>
      </c>
      <c r="M60" s="229">
        <f t="shared" si="35"/>
        <v>442883.49</v>
      </c>
      <c r="N60" s="229">
        <f t="shared" si="25"/>
        <v>4235228.324</v>
      </c>
      <c r="P60" s="228" t="s">
        <v>123</v>
      </c>
      <c r="Q60" s="229">
        <f>Q55+Q56+Q57</f>
        <v>471124.04</v>
      </c>
      <c r="R60" s="229">
        <f t="shared" ref="R60:Z60" si="36">R55+R56+R57</f>
        <v>432736.29</v>
      </c>
      <c r="S60" s="229">
        <f t="shared" si="36"/>
        <v>418021.85</v>
      </c>
      <c r="T60" s="229">
        <f t="shared" si="36"/>
        <v>368402.33999999997</v>
      </c>
      <c r="U60" s="229">
        <f t="shared" si="36"/>
        <v>268976.07</v>
      </c>
      <c r="V60" s="229">
        <f t="shared" si="36"/>
        <v>260993.7885</v>
      </c>
      <c r="W60" s="229">
        <f t="shared" si="36"/>
        <v>271559.0735</v>
      </c>
      <c r="X60" s="229">
        <f t="shared" si="36"/>
        <v>272067.45500000002</v>
      </c>
      <c r="Y60" s="229">
        <f t="shared" si="36"/>
        <v>301379.75</v>
      </c>
      <c r="Z60" s="229">
        <f t="shared" si="36"/>
        <v>372663.43999999994</v>
      </c>
      <c r="AA60" s="229">
        <f>AA55+AA56+AA57</f>
        <v>407532.375</v>
      </c>
      <c r="AB60" s="229">
        <f>AB55+AB56+AB57</f>
        <v>447809.27</v>
      </c>
      <c r="AC60" s="229">
        <f>SUM(Q60:AB60)</f>
        <v>4293265.7420000006</v>
      </c>
      <c r="AE60" s="228" t="s">
        <v>123</v>
      </c>
      <c r="AF60" s="229">
        <f>AF55+AF56+AF57</f>
        <v>471124.04</v>
      </c>
      <c r="AG60" s="229">
        <f t="shared" ref="AG60:AO60" si="37">AG55+AG56+AG57</f>
        <v>432736.29</v>
      </c>
      <c r="AH60" s="229">
        <f t="shared" si="37"/>
        <v>418021.85</v>
      </c>
      <c r="AI60" s="229">
        <f t="shared" si="37"/>
        <v>368402.33999999997</v>
      </c>
      <c r="AJ60" s="229">
        <f t="shared" si="37"/>
        <v>268976.07</v>
      </c>
      <c r="AK60" s="229">
        <f t="shared" si="37"/>
        <v>260993.7885</v>
      </c>
      <c r="AL60" s="229">
        <f t="shared" si="37"/>
        <v>271559.0735</v>
      </c>
      <c r="AM60" s="229">
        <f t="shared" si="37"/>
        <v>272067.45500000002</v>
      </c>
      <c r="AN60" s="229">
        <f t="shared" si="37"/>
        <v>301379.75</v>
      </c>
      <c r="AO60" s="229">
        <f t="shared" si="37"/>
        <v>372663.43999999994</v>
      </c>
      <c r="AP60" s="229">
        <f>AP55+AP56+AP57</f>
        <v>407532.375</v>
      </c>
      <c r="AQ60" s="229">
        <f>AQ55+AQ56+AQ57</f>
        <v>447809.27</v>
      </c>
      <c r="AR60" s="229">
        <f>SUM(AF60:AQ60)</f>
        <v>4293265.7420000006</v>
      </c>
    </row>
    <row r="61" spans="1:44" s="90" customFormat="1" ht="7.15" customHeight="1" thickTop="1"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</row>
    <row r="62" spans="1:44" s="92" customFormat="1" ht="14.25">
      <c r="A62" s="75" t="s">
        <v>777</v>
      </c>
      <c r="B62" s="112">
        <f>B59/SUM(B48:B49)</f>
        <v>29.130143437472899</v>
      </c>
      <c r="C62" s="112">
        <f>C59/SUM(C48:C49)</f>
        <v>30.941687692167129</v>
      </c>
      <c r="D62" s="112">
        <f>D59/SUM(D48:D49)</f>
        <v>31.761201053277265</v>
      </c>
      <c r="E62" s="112">
        <f t="shared" ref="E62:M62" si="38">E59/SUM(E48:E49)</f>
        <v>36.118433901992255</v>
      </c>
      <c r="F62" s="112">
        <f t="shared" si="38"/>
        <v>59.479324635678481</v>
      </c>
      <c r="G62" s="112">
        <f t="shared" si="38"/>
        <v>64.25638512684607</v>
      </c>
      <c r="H62" s="112">
        <f t="shared" si="38"/>
        <v>65.164104681683142</v>
      </c>
      <c r="I62" s="112">
        <f t="shared" si="38"/>
        <v>64.160567543028094</v>
      </c>
      <c r="J62" s="112">
        <f t="shared" si="38"/>
        <v>49.186730234485822</v>
      </c>
      <c r="K62" s="112">
        <f t="shared" si="38"/>
        <v>36.985042087922643</v>
      </c>
      <c r="L62" s="112">
        <f t="shared" si="38"/>
        <v>34.078260866035109</v>
      </c>
      <c r="M62" s="112">
        <f t="shared" si="38"/>
        <v>31.70156553514224</v>
      </c>
      <c r="N62" s="112">
        <f>AVERAGE(B62:M62)</f>
        <v>44.413620566310932</v>
      </c>
      <c r="Q62" s="112">
        <f>Q59/Q16</f>
        <v>28.942644805367458</v>
      </c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F62" s="112">
        <f>AF59/AF16</f>
        <v>32.439015956891041</v>
      </c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</row>
    <row r="63" spans="1:44" s="92" customFormat="1" ht="13.15" customHeight="1">
      <c r="A63" s="75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</row>
    <row r="64" spans="1:44" ht="65.45" customHeight="1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</row>
    <row r="65" spans="1:44" s="75" customFormat="1" ht="18">
      <c r="A65" s="89" t="s">
        <v>776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P65" s="89" t="s">
        <v>543</v>
      </c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E65" s="89" t="s">
        <v>543</v>
      </c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</row>
    <row r="66" spans="1:44" s="75" customFormat="1" ht="21" customHeight="1">
      <c r="B66" s="88" t="s">
        <v>50</v>
      </c>
      <c r="C66" s="88" t="s">
        <v>51</v>
      </c>
      <c r="D66" s="88" t="s">
        <v>52</v>
      </c>
      <c r="E66" s="88" t="s">
        <v>53</v>
      </c>
      <c r="F66" s="88" t="s">
        <v>54</v>
      </c>
      <c r="G66" s="88" t="s">
        <v>55</v>
      </c>
      <c r="H66" s="88" t="s">
        <v>56</v>
      </c>
      <c r="I66" s="88" t="s">
        <v>57</v>
      </c>
      <c r="J66" s="88" t="s">
        <v>58</v>
      </c>
      <c r="K66" s="88" t="s">
        <v>59</v>
      </c>
      <c r="L66" s="88" t="s">
        <v>60</v>
      </c>
      <c r="M66" s="88" t="s">
        <v>61</v>
      </c>
      <c r="N66" s="123" t="s">
        <v>97</v>
      </c>
      <c r="Q66" s="88" t="s">
        <v>50</v>
      </c>
      <c r="R66" s="88" t="s">
        <v>51</v>
      </c>
      <c r="S66" s="88" t="s">
        <v>52</v>
      </c>
      <c r="T66" s="88" t="s">
        <v>53</v>
      </c>
      <c r="U66" s="88" t="s">
        <v>54</v>
      </c>
      <c r="V66" s="88" t="s">
        <v>55</v>
      </c>
      <c r="W66" s="88" t="s">
        <v>56</v>
      </c>
      <c r="X66" s="88" t="s">
        <v>57</v>
      </c>
      <c r="Y66" s="88" t="s">
        <v>58</v>
      </c>
      <c r="Z66" s="88" t="s">
        <v>59</v>
      </c>
      <c r="AA66" s="88" t="s">
        <v>60</v>
      </c>
      <c r="AB66" s="88" t="s">
        <v>61</v>
      </c>
      <c r="AC66" s="123" t="s">
        <v>97</v>
      </c>
      <c r="AF66" s="88" t="s">
        <v>50</v>
      </c>
      <c r="AG66" s="88" t="s">
        <v>51</v>
      </c>
      <c r="AH66" s="88" t="s">
        <v>52</v>
      </c>
      <c r="AI66" s="88" t="s">
        <v>53</v>
      </c>
      <c r="AJ66" s="88" t="s">
        <v>54</v>
      </c>
      <c r="AK66" s="88" t="s">
        <v>55</v>
      </c>
      <c r="AL66" s="88" t="s">
        <v>56</v>
      </c>
      <c r="AM66" s="88" t="s">
        <v>57</v>
      </c>
      <c r="AN66" s="88" t="s">
        <v>58</v>
      </c>
      <c r="AO66" s="88" t="s">
        <v>59</v>
      </c>
      <c r="AP66" s="88" t="s">
        <v>60</v>
      </c>
      <c r="AQ66" s="88" t="s">
        <v>61</v>
      </c>
      <c r="AR66" s="123" t="s">
        <v>97</v>
      </c>
    </row>
    <row r="67" spans="1:44" s="75" customFormat="1">
      <c r="A67" s="75" t="s">
        <v>553</v>
      </c>
      <c r="B67" s="120">
        <v>12342</v>
      </c>
      <c r="C67" s="120">
        <v>11005</v>
      </c>
      <c r="D67" s="120">
        <v>10085</v>
      </c>
      <c r="E67" s="120">
        <v>6437</v>
      </c>
      <c r="F67" s="120">
        <v>1288</v>
      </c>
      <c r="G67" s="120">
        <v>1211</v>
      </c>
      <c r="H67" s="120">
        <v>1128</v>
      </c>
      <c r="I67" s="120">
        <v>1133</v>
      </c>
      <c r="J67" s="120">
        <v>2000</v>
      </c>
      <c r="K67" s="120">
        <v>6000</v>
      </c>
      <c r="L67" s="120">
        <v>7500</v>
      </c>
      <c r="M67" s="120">
        <v>9000</v>
      </c>
      <c r="N67" s="120">
        <f>SUM(B67:M67)</f>
        <v>69129</v>
      </c>
      <c r="P67" s="75" t="s">
        <v>553</v>
      </c>
      <c r="Q67" s="120">
        <v>12342</v>
      </c>
      <c r="R67" s="120">
        <v>11005</v>
      </c>
      <c r="S67" s="120">
        <v>10085</v>
      </c>
      <c r="T67" s="120">
        <v>6437</v>
      </c>
      <c r="U67" s="120">
        <v>1288</v>
      </c>
      <c r="V67" s="120">
        <v>1211</v>
      </c>
      <c r="W67" s="120">
        <v>1128</v>
      </c>
      <c r="X67" s="120">
        <v>1133</v>
      </c>
      <c r="Y67" s="120">
        <v>5000</v>
      </c>
      <c r="Z67" s="120">
        <f>S67</f>
        <v>10085</v>
      </c>
      <c r="AA67" s="120">
        <f>R67</f>
        <v>11005</v>
      </c>
      <c r="AB67" s="120">
        <f>Q67</f>
        <v>12342</v>
      </c>
      <c r="AC67" s="120">
        <f>SUM(Q67:AB67)</f>
        <v>83061</v>
      </c>
      <c r="AE67" s="75" t="s">
        <v>553</v>
      </c>
      <c r="AF67" s="120">
        <v>12342</v>
      </c>
      <c r="AG67" s="120">
        <v>11005</v>
      </c>
      <c r="AH67" s="120">
        <v>10085</v>
      </c>
      <c r="AI67" s="120">
        <v>6437</v>
      </c>
      <c r="AJ67" s="120">
        <v>1288</v>
      </c>
      <c r="AK67" s="120">
        <v>1211</v>
      </c>
      <c r="AL67" s="120">
        <v>1128</v>
      </c>
      <c r="AM67" s="120">
        <v>1133</v>
      </c>
      <c r="AN67" s="120">
        <v>5000</v>
      </c>
      <c r="AO67" s="120">
        <f>AH67</f>
        <v>10085</v>
      </c>
      <c r="AP67" s="120">
        <f>AG67</f>
        <v>11005</v>
      </c>
      <c r="AQ67" s="120">
        <f>AF67</f>
        <v>12342</v>
      </c>
      <c r="AR67" s="120">
        <f>SUM(AF67:AQ67)</f>
        <v>83061</v>
      </c>
    </row>
    <row r="68" spans="1:44" s="121" customFormat="1">
      <c r="A68" s="121" t="s">
        <v>544</v>
      </c>
      <c r="B68" s="121">
        <v>18.96</v>
      </c>
      <c r="C68" s="121">
        <v>18.96</v>
      </c>
      <c r="D68" s="121">
        <v>18.96</v>
      </c>
      <c r="E68" s="121">
        <v>18.96</v>
      </c>
      <c r="F68" s="121">
        <v>18.96</v>
      </c>
      <c r="G68" s="121">
        <v>18.96</v>
      </c>
      <c r="H68" s="121">
        <v>18.96</v>
      </c>
      <c r="I68" s="121">
        <v>18.96</v>
      </c>
      <c r="J68" s="121">
        <v>18.96</v>
      </c>
      <c r="K68" s="121">
        <v>18.96</v>
      </c>
      <c r="L68" s="121">
        <v>18.96</v>
      </c>
      <c r="M68" s="121">
        <v>18.96</v>
      </c>
      <c r="P68" s="121" t="s">
        <v>544</v>
      </c>
      <c r="Q68" s="121">
        <v>18.96</v>
      </c>
      <c r="R68" s="121">
        <v>18.96</v>
      </c>
      <c r="S68" s="121">
        <v>18.96</v>
      </c>
      <c r="T68" s="121">
        <v>18.96</v>
      </c>
      <c r="U68" s="121">
        <v>18.96</v>
      </c>
      <c r="V68" s="121">
        <v>18.96</v>
      </c>
      <c r="W68" s="121">
        <v>18.96</v>
      </c>
      <c r="X68" s="121">
        <v>18.96</v>
      </c>
      <c r="Y68" s="121">
        <v>18.96</v>
      </c>
      <c r="Z68" s="121">
        <v>18.96</v>
      </c>
      <c r="AA68" s="121">
        <v>18.96</v>
      </c>
      <c r="AB68" s="121">
        <v>18.96</v>
      </c>
      <c r="AE68" s="121" t="s">
        <v>544</v>
      </c>
      <c r="AF68" s="121">
        <v>18.96</v>
      </c>
      <c r="AG68" s="121">
        <v>18.96</v>
      </c>
      <c r="AH68" s="121">
        <v>18.96</v>
      </c>
      <c r="AI68" s="121">
        <v>18.96</v>
      </c>
      <c r="AJ68" s="121">
        <v>18.96</v>
      </c>
      <c r="AK68" s="121">
        <v>18.96</v>
      </c>
      <c r="AL68" s="121">
        <v>18.96</v>
      </c>
      <c r="AM68" s="121">
        <v>18.96</v>
      </c>
      <c r="AN68" s="121">
        <v>18.96</v>
      </c>
      <c r="AO68" s="121">
        <v>18.96</v>
      </c>
      <c r="AP68" s="121">
        <v>18.96</v>
      </c>
      <c r="AQ68" s="121">
        <v>18.96</v>
      </c>
    </row>
    <row r="69" spans="1:44" s="75" customFormat="1"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</row>
    <row r="70" spans="1:44" s="75" customFormat="1">
      <c r="A70" s="75" t="s">
        <v>546</v>
      </c>
      <c r="B70" s="120">
        <f>5613.02*10</f>
        <v>56130.200000000004</v>
      </c>
      <c r="C70" s="120">
        <f>5613.02*10</f>
        <v>56130.200000000004</v>
      </c>
      <c r="D70" s="120">
        <f t="shared" ref="D70:K70" si="39">5613.02*10</f>
        <v>56130.200000000004</v>
      </c>
      <c r="E70" s="120">
        <f t="shared" si="39"/>
        <v>56130.200000000004</v>
      </c>
      <c r="F70" s="120">
        <f t="shared" si="39"/>
        <v>56130.200000000004</v>
      </c>
      <c r="G70" s="120">
        <f t="shared" si="39"/>
        <v>56130.200000000004</v>
      </c>
      <c r="H70" s="120">
        <f t="shared" si="39"/>
        <v>56130.200000000004</v>
      </c>
      <c r="I70" s="120">
        <f t="shared" si="39"/>
        <v>56130.200000000004</v>
      </c>
      <c r="J70" s="120">
        <f t="shared" si="39"/>
        <v>56130.200000000004</v>
      </c>
      <c r="K70" s="120">
        <f t="shared" si="39"/>
        <v>56130.200000000004</v>
      </c>
      <c r="L70" s="120">
        <f>5613.02*10</f>
        <v>56130.200000000004</v>
      </c>
      <c r="M70" s="120">
        <f>5613.02*10</f>
        <v>56130.200000000004</v>
      </c>
      <c r="N70" s="120">
        <f>SUM(B70:M70)</f>
        <v>673562.39999999991</v>
      </c>
      <c r="P70" s="75" t="s">
        <v>546</v>
      </c>
      <c r="Q70" s="120">
        <f>5613.02*10</f>
        <v>56130.200000000004</v>
      </c>
      <c r="R70" s="120">
        <f>5613.02*10</f>
        <v>56130.200000000004</v>
      </c>
      <c r="S70" s="120">
        <f t="shared" ref="S70:Z70" si="40">5613.02*10</f>
        <v>56130.200000000004</v>
      </c>
      <c r="T70" s="120">
        <f t="shared" si="40"/>
        <v>56130.200000000004</v>
      </c>
      <c r="U70" s="120">
        <f t="shared" si="40"/>
        <v>56130.200000000004</v>
      </c>
      <c r="V70" s="120">
        <f t="shared" si="40"/>
        <v>56130.200000000004</v>
      </c>
      <c r="W70" s="120">
        <f t="shared" si="40"/>
        <v>56130.200000000004</v>
      </c>
      <c r="X70" s="120">
        <f t="shared" si="40"/>
        <v>56130.200000000004</v>
      </c>
      <c r="Y70" s="120">
        <f t="shared" si="40"/>
        <v>56130.200000000004</v>
      </c>
      <c r="Z70" s="120">
        <f t="shared" si="40"/>
        <v>56130.200000000004</v>
      </c>
      <c r="AA70" s="120">
        <f>5613.02*10</f>
        <v>56130.200000000004</v>
      </c>
      <c r="AB70" s="120">
        <f>5613.02*10</f>
        <v>56130.200000000004</v>
      </c>
      <c r="AC70" s="120">
        <f>SUM(Q70:AB70)</f>
        <v>673562.39999999991</v>
      </c>
      <c r="AE70" s="75" t="s">
        <v>546</v>
      </c>
      <c r="AF70" s="120">
        <f>5613.02*10</f>
        <v>56130.200000000004</v>
      </c>
      <c r="AG70" s="120">
        <f>5613.02*10</f>
        <v>56130.200000000004</v>
      </c>
      <c r="AH70" s="120">
        <f t="shared" ref="AH70:AO70" si="41">5613.02*10</f>
        <v>56130.200000000004</v>
      </c>
      <c r="AI70" s="120">
        <f t="shared" si="41"/>
        <v>56130.200000000004</v>
      </c>
      <c r="AJ70" s="120">
        <f t="shared" si="41"/>
        <v>56130.200000000004</v>
      </c>
      <c r="AK70" s="120">
        <f t="shared" si="41"/>
        <v>56130.200000000004</v>
      </c>
      <c r="AL70" s="120">
        <f t="shared" si="41"/>
        <v>56130.200000000004</v>
      </c>
      <c r="AM70" s="120">
        <f t="shared" si="41"/>
        <v>56130.200000000004</v>
      </c>
      <c r="AN70" s="120">
        <f t="shared" si="41"/>
        <v>56130.200000000004</v>
      </c>
      <c r="AO70" s="120">
        <f t="shared" si="41"/>
        <v>56130.200000000004</v>
      </c>
      <c r="AP70" s="120">
        <f>5613.02*10</f>
        <v>56130.200000000004</v>
      </c>
      <c r="AQ70" s="120">
        <f>5613.02*10</f>
        <v>56130.200000000004</v>
      </c>
      <c r="AR70" s="120">
        <f>SUM(AF70:AQ70)</f>
        <v>673562.39999999991</v>
      </c>
    </row>
    <row r="71" spans="1:44" s="75" customFormat="1">
      <c r="A71" s="75" t="s">
        <v>545</v>
      </c>
      <c r="B71" s="120">
        <f>B68*B67</f>
        <v>234004.32</v>
      </c>
      <c r="C71" s="120">
        <f t="shared" ref="C71:M71" si="42">C68*C67</f>
        <v>208654.80000000002</v>
      </c>
      <c r="D71" s="120">
        <f t="shared" si="42"/>
        <v>191211.6</v>
      </c>
      <c r="E71" s="120">
        <f t="shared" si="42"/>
        <v>122045.52</v>
      </c>
      <c r="F71" s="120">
        <f t="shared" si="42"/>
        <v>24420.48</v>
      </c>
      <c r="G71" s="120">
        <f t="shared" si="42"/>
        <v>22960.560000000001</v>
      </c>
      <c r="H71" s="120">
        <f t="shared" si="42"/>
        <v>21386.880000000001</v>
      </c>
      <c r="I71" s="120">
        <f t="shared" si="42"/>
        <v>21481.68</v>
      </c>
      <c r="J71" s="120">
        <f t="shared" si="42"/>
        <v>37920</v>
      </c>
      <c r="K71" s="120">
        <f t="shared" si="42"/>
        <v>113760</v>
      </c>
      <c r="L71" s="120">
        <f>L68*L67</f>
        <v>142200</v>
      </c>
      <c r="M71" s="120">
        <f t="shared" si="42"/>
        <v>170640</v>
      </c>
      <c r="N71" s="120">
        <f>SUM(B71:M71)</f>
        <v>1310685.8400000001</v>
      </c>
      <c r="P71" s="75" t="s">
        <v>545</v>
      </c>
      <c r="Q71" s="120">
        <f>Q68*Q67</f>
        <v>234004.32</v>
      </c>
      <c r="R71" s="120">
        <f t="shared" ref="R71:Z71" si="43">R68*R67</f>
        <v>208654.80000000002</v>
      </c>
      <c r="S71" s="120">
        <f t="shared" si="43"/>
        <v>191211.6</v>
      </c>
      <c r="T71" s="120">
        <f t="shared" si="43"/>
        <v>122045.52</v>
      </c>
      <c r="U71" s="120">
        <f t="shared" si="43"/>
        <v>24420.48</v>
      </c>
      <c r="V71" s="120">
        <f t="shared" si="43"/>
        <v>22960.560000000001</v>
      </c>
      <c r="W71" s="120">
        <f t="shared" si="43"/>
        <v>21386.880000000001</v>
      </c>
      <c r="X71" s="120">
        <f t="shared" si="43"/>
        <v>21481.68</v>
      </c>
      <c r="Y71" s="120">
        <f t="shared" si="43"/>
        <v>94800</v>
      </c>
      <c r="Z71" s="120">
        <f t="shared" si="43"/>
        <v>191211.6</v>
      </c>
      <c r="AA71" s="120">
        <f>AA68*AA67</f>
        <v>208654.80000000002</v>
      </c>
      <c r="AB71" s="120">
        <f>AB68*AB67</f>
        <v>234004.32</v>
      </c>
      <c r="AC71" s="120">
        <f>SUM(Q71:AB71)</f>
        <v>1574836.5600000003</v>
      </c>
      <c r="AE71" s="75" t="s">
        <v>545</v>
      </c>
      <c r="AF71" s="120">
        <f>AF68*AF67</f>
        <v>234004.32</v>
      </c>
      <c r="AG71" s="120">
        <f t="shared" ref="AG71:AO71" si="44">AG68*AG67</f>
        <v>208654.80000000002</v>
      </c>
      <c r="AH71" s="120">
        <f t="shared" si="44"/>
        <v>191211.6</v>
      </c>
      <c r="AI71" s="120">
        <f t="shared" si="44"/>
        <v>122045.52</v>
      </c>
      <c r="AJ71" s="120">
        <f t="shared" si="44"/>
        <v>24420.48</v>
      </c>
      <c r="AK71" s="120">
        <f t="shared" si="44"/>
        <v>22960.560000000001</v>
      </c>
      <c r="AL71" s="120">
        <f t="shared" si="44"/>
        <v>21386.880000000001</v>
      </c>
      <c r="AM71" s="120">
        <f t="shared" si="44"/>
        <v>21481.68</v>
      </c>
      <c r="AN71" s="120">
        <f t="shared" si="44"/>
        <v>94800</v>
      </c>
      <c r="AO71" s="120">
        <f t="shared" si="44"/>
        <v>191211.6</v>
      </c>
      <c r="AP71" s="120">
        <f>AP68*AP67</f>
        <v>208654.80000000002</v>
      </c>
      <c r="AQ71" s="120">
        <f>AQ68*AQ67</f>
        <v>234004.32</v>
      </c>
      <c r="AR71" s="120">
        <f>SUM(AF71:AQ71)</f>
        <v>1574836.5600000003</v>
      </c>
    </row>
    <row r="72" spans="1:44" s="75" customFormat="1"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</row>
    <row r="73" spans="1:44" s="226" customFormat="1" ht="15">
      <c r="A73" s="226" t="s">
        <v>122</v>
      </c>
      <c r="B73" s="227">
        <f>B70+B71</f>
        <v>290134.52</v>
      </c>
      <c r="C73" s="227">
        <f t="shared" ref="C73:M73" si="45">C70+C71</f>
        <v>264785</v>
      </c>
      <c r="D73" s="227">
        <f t="shared" si="45"/>
        <v>247341.80000000002</v>
      </c>
      <c r="E73" s="227">
        <f t="shared" si="45"/>
        <v>178175.72</v>
      </c>
      <c r="F73" s="227">
        <f t="shared" si="45"/>
        <v>80550.680000000008</v>
      </c>
      <c r="G73" s="227">
        <f t="shared" si="45"/>
        <v>79090.760000000009</v>
      </c>
      <c r="H73" s="227">
        <f t="shared" si="45"/>
        <v>77517.08</v>
      </c>
      <c r="I73" s="227">
        <f t="shared" si="45"/>
        <v>77611.88</v>
      </c>
      <c r="J73" s="227">
        <f t="shared" si="45"/>
        <v>94050.200000000012</v>
      </c>
      <c r="K73" s="227">
        <f t="shared" si="45"/>
        <v>169890.2</v>
      </c>
      <c r="L73" s="227">
        <f t="shared" si="45"/>
        <v>198330.2</v>
      </c>
      <c r="M73" s="227">
        <f t="shared" si="45"/>
        <v>226770.2</v>
      </c>
      <c r="N73" s="227">
        <f>SUM(B73:M73)</f>
        <v>1984248.2399999998</v>
      </c>
      <c r="P73" s="226" t="s">
        <v>122</v>
      </c>
      <c r="Q73" s="227">
        <f>Q70+Q71</f>
        <v>290134.52</v>
      </c>
      <c r="R73" s="227">
        <f t="shared" ref="R73:AB73" si="46">R70+R71</f>
        <v>264785</v>
      </c>
      <c r="S73" s="227">
        <f t="shared" si="46"/>
        <v>247341.80000000002</v>
      </c>
      <c r="T73" s="227">
        <f t="shared" si="46"/>
        <v>178175.72</v>
      </c>
      <c r="U73" s="227">
        <f t="shared" si="46"/>
        <v>80550.680000000008</v>
      </c>
      <c r="V73" s="227">
        <f t="shared" si="46"/>
        <v>79090.760000000009</v>
      </c>
      <c r="W73" s="227">
        <f t="shared" si="46"/>
        <v>77517.08</v>
      </c>
      <c r="X73" s="227">
        <f t="shared" si="46"/>
        <v>77611.88</v>
      </c>
      <c r="Y73" s="227">
        <f t="shared" si="46"/>
        <v>150930.20000000001</v>
      </c>
      <c r="Z73" s="227">
        <f t="shared" si="46"/>
        <v>247341.80000000002</v>
      </c>
      <c r="AA73" s="227">
        <f t="shared" si="46"/>
        <v>264785</v>
      </c>
      <c r="AB73" s="227">
        <f t="shared" si="46"/>
        <v>290134.52</v>
      </c>
      <c r="AC73" s="227">
        <f>SUM(Q73:AB73)</f>
        <v>2248398.96</v>
      </c>
      <c r="AE73" s="226" t="s">
        <v>122</v>
      </c>
      <c r="AF73" s="227">
        <f>AF70+AF71</f>
        <v>290134.52</v>
      </c>
      <c r="AG73" s="227">
        <f t="shared" ref="AG73:AQ73" si="47">AG70+AG71</f>
        <v>264785</v>
      </c>
      <c r="AH73" s="227">
        <f t="shared" si="47"/>
        <v>247341.80000000002</v>
      </c>
      <c r="AI73" s="227">
        <f t="shared" si="47"/>
        <v>178175.72</v>
      </c>
      <c r="AJ73" s="227">
        <f t="shared" si="47"/>
        <v>80550.680000000008</v>
      </c>
      <c r="AK73" s="227">
        <f t="shared" si="47"/>
        <v>79090.760000000009</v>
      </c>
      <c r="AL73" s="227">
        <f t="shared" si="47"/>
        <v>77517.08</v>
      </c>
      <c r="AM73" s="227">
        <f t="shared" si="47"/>
        <v>77611.88</v>
      </c>
      <c r="AN73" s="227">
        <f t="shared" si="47"/>
        <v>150930.20000000001</v>
      </c>
      <c r="AO73" s="227">
        <f t="shared" si="47"/>
        <v>247341.80000000002</v>
      </c>
      <c r="AP73" s="227">
        <f t="shared" si="47"/>
        <v>264785</v>
      </c>
      <c r="AQ73" s="227">
        <f t="shared" si="47"/>
        <v>290134.52</v>
      </c>
      <c r="AR73" s="227">
        <f>SUM(AF73:AQ73)</f>
        <v>2248398.96</v>
      </c>
    </row>
    <row r="74" spans="1:44" s="228" customFormat="1" ht="15.75" thickBot="1">
      <c r="A74" s="228" t="s">
        <v>123</v>
      </c>
      <c r="B74" s="229">
        <f>B73/Factors!C11</f>
        <v>67419.579173603372</v>
      </c>
      <c r="C74" s="229">
        <f>C73/Factors!D11</f>
        <v>61443.121915127609</v>
      </c>
      <c r="D74" s="229">
        <f>D73/Factors!E11</f>
        <v>57315.425443509113</v>
      </c>
      <c r="E74" s="229">
        <f>E73/Factors!F11</f>
        <v>41230.393363969597</v>
      </c>
      <c r="F74" s="229">
        <f>F73/Factors!G11</f>
        <v>18613.753615324273</v>
      </c>
      <c r="G74" s="229">
        <f>G73/Factors!H11</f>
        <v>18251.019633523967</v>
      </c>
      <c r="H74" s="229">
        <f>H73/Factors!I11</f>
        <v>17863.076536036104</v>
      </c>
      <c r="I74" s="229">
        <f>I73/Factors!J11</f>
        <v>17860.160735988135</v>
      </c>
      <c r="J74" s="229">
        <f>J73/Factors!K11</f>
        <v>21613.048144227425</v>
      </c>
      <c r="K74" s="229">
        <f>K73/Factors!L11</f>
        <v>38987.428663118058</v>
      </c>
      <c r="L74" s="229">
        <f>L73/Factors!M11</f>
        <v>45451.258328723256</v>
      </c>
      <c r="M74" s="229">
        <f>M73/Factors!N11</f>
        <v>51897.288306028197</v>
      </c>
      <c r="N74" s="229">
        <f>SUM(B74:M74)</f>
        <v>457945.55385917902</v>
      </c>
      <c r="P74" s="228" t="s">
        <v>123</v>
      </c>
      <c r="Q74" s="229">
        <f>Q73/Factors!R11</f>
        <v>66122.959917645494</v>
      </c>
      <c r="R74" s="229">
        <f>R73/Factors!S11</f>
        <v>60096.328123710031</v>
      </c>
      <c r="S74" s="229">
        <f>S73/Factors!T11</f>
        <v>55906.353731747942</v>
      </c>
      <c r="T74" s="229">
        <f>T73/Factors!U11</f>
        <v>40107.77969471032</v>
      </c>
      <c r="U74" s="229">
        <f>U73/Factors!V11</f>
        <v>18058.141483291194</v>
      </c>
      <c r="V74" s="229">
        <f>V73/Factors!W11</f>
        <v>17658.7747293715</v>
      </c>
      <c r="W74" s="229">
        <f>W73/Factors!X11</f>
        <v>17237.345090979325</v>
      </c>
      <c r="X74" s="229">
        <f>X73/Factors!Y11</f>
        <v>17188.835184606232</v>
      </c>
      <c r="Y74" s="229">
        <f>Y73/Factors!Z11</f>
        <v>33292.524277452023</v>
      </c>
      <c r="Z74" s="229">
        <f>Z73/Factors!AA11</f>
        <v>54340.975827259012</v>
      </c>
      <c r="AA74" s="229">
        <f>AA73/Factors!AB11</f>
        <v>57941.479704931604</v>
      </c>
      <c r="AB74" s="229">
        <f>AB73/Factors!AC11</f>
        <v>63236.640238700675</v>
      </c>
      <c r="AC74" s="229">
        <f>SUM(Q74:AB74)</f>
        <v>501188.13800440537</v>
      </c>
      <c r="AE74" s="228" t="s">
        <v>123</v>
      </c>
      <c r="AF74" s="229">
        <f>AF73/Factors!AG11</f>
        <v>62974.247540614779</v>
      </c>
      <c r="AG74" s="229">
        <f>AG73/Factors!AH11</f>
        <v>57234.598213057194</v>
      </c>
      <c r="AH74" s="229">
        <f>AH73/Factors!AI11</f>
        <v>53244.146411188529</v>
      </c>
      <c r="AI74" s="229">
        <f>AI73/Factors!AJ11</f>
        <v>38197.885423533648</v>
      </c>
      <c r="AJ74" s="229">
        <f>AJ73/Factors!AK11</f>
        <v>17198.229984086855</v>
      </c>
      <c r="AK74" s="229">
        <f>AK73/Factors!AL11</f>
        <v>16817.880694639527</v>
      </c>
      <c r="AL74" s="229">
        <f>AL73/Factors!AM11</f>
        <v>16416.519134266026</v>
      </c>
      <c r="AM74" s="229">
        <f>AM73/Factors!AN11</f>
        <v>16370.319223434506</v>
      </c>
      <c r="AN74" s="229">
        <f>AN73/Factors!AO11</f>
        <v>31707.165978525736</v>
      </c>
      <c r="AO74" s="229">
        <f>AO73/Factors!AP11</f>
        <v>51753.310311675246</v>
      </c>
      <c r="AP74" s="229">
        <f>AP73/Factors!AQ11</f>
        <v>55182.361623744378</v>
      </c>
      <c r="AQ74" s="229">
        <f>AQ73/Factors!AR11</f>
        <v>60225.371655905401</v>
      </c>
      <c r="AR74" s="229">
        <f>SUM(AF74:AQ74)</f>
        <v>477322.03619467182</v>
      </c>
    </row>
    <row r="75" spans="1:44" s="75" customFormat="1" ht="13.5" thickTop="1"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</row>
    <row r="76" spans="1:44" ht="14.25">
      <c r="A76" s="75" t="str">
        <f>A62</f>
        <v>Single-component price PLN/GJ</v>
      </c>
      <c r="B76" s="120">
        <f>B73/B67</f>
        <v>23.507901474639443</v>
      </c>
      <c r="C76" s="120">
        <f t="shared" ref="C76:M76" si="48">C73/C67</f>
        <v>24.060427078600636</v>
      </c>
      <c r="D76" s="120">
        <f t="shared" si="48"/>
        <v>24.525711452652455</v>
      </c>
      <c r="E76" s="120">
        <f t="shared" si="48"/>
        <v>27.679931645176325</v>
      </c>
      <c r="F76" s="120">
        <f t="shared" si="48"/>
        <v>62.53934782608696</v>
      </c>
      <c r="G76" s="120">
        <f t="shared" si="48"/>
        <v>65.310289017341049</v>
      </c>
      <c r="H76" s="120">
        <f t="shared" si="48"/>
        <v>68.720815602836879</v>
      </c>
      <c r="I76" s="120">
        <f t="shared" si="48"/>
        <v>68.501218005295684</v>
      </c>
      <c r="J76" s="120">
        <f t="shared" si="48"/>
        <v>47.025100000000009</v>
      </c>
      <c r="K76" s="120">
        <f t="shared" si="48"/>
        <v>28.315033333333336</v>
      </c>
      <c r="L76" s="120">
        <f t="shared" si="48"/>
        <v>26.444026666666669</v>
      </c>
      <c r="M76" s="120">
        <f t="shared" si="48"/>
        <v>25.19668888888889</v>
      </c>
      <c r="N76" s="112">
        <f>AVERAGE(B76:M76)</f>
        <v>40.985540915959866</v>
      </c>
    </row>
    <row r="77" spans="1:44"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</row>
    <row r="78" spans="1:44"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</row>
    <row r="79" spans="1:44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</row>
    <row r="80" spans="1:44"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</row>
    <row r="81" spans="2:13"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</row>
    <row r="82" spans="2:13"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</row>
    <row r="83" spans="2:13"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</row>
    <row r="84" spans="2:13"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</row>
    <row r="85" spans="2:13"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</row>
    <row r="86" spans="2:13"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</row>
    <row r="87" spans="2:13"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</row>
    <row r="88" spans="2:13"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</row>
  </sheetData>
  <mergeCells count="2">
    <mergeCell ref="D7:D9"/>
    <mergeCell ref="A9:C9"/>
  </mergeCells>
  <pageMargins left="0.39370078740157483" right="0.39370078740157483" top="0.39370078740157483" bottom="0.39370078740157483" header="0.31496062992125984" footer="0.51181102362204722"/>
  <pageSetup scale="62" orientation="landscape" horizontalDpi="4294967292" r:id="rId1"/>
  <headerFooter alignWithMargins="0"/>
  <rowBreaks count="1" manualBreakCount="1">
    <brk id="45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81"/>
  <sheetViews>
    <sheetView view="pageBreakPreview" zoomScale="75" zoomScaleNormal="75" workbookViewId="0">
      <selection activeCell="A22" sqref="A22"/>
    </sheetView>
  </sheetViews>
  <sheetFormatPr defaultColWidth="8.85546875" defaultRowHeight="12.75"/>
  <cols>
    <col min="1" max="1" width="55.140625" style="108" customWidth="1"/>
    <col min="2" max="2" width="13.5703125" style="108" bestFit="1" customWidth="1"/>
    <col min="3" max="3" width="12.42578125" style="108" bestFit="1" customWidth="1"/>
    <col min="4" max="4" width="13.5703125" style="108" bestFit="1" customWidth="1"/>
    <col min="5" max="5" width="12.28515625" style="108" bestFit="1" customWidth="1"/>
    <col min="6" max="10" width="12.42578125" style="108" bestFit="1" customWidth="1"/>
    <col min="11" max="11" width="13.5703125" style="108" bestFit="1" customWidth="1"/>
    <col min="12" max="13" width="12.42578125" style="108" bestFit="1" customWidth="1"/>
    <col min="14" max="14" width="13.28515625" style="108" bestFit="1" customWidth="1"/>
    <col min="15" max="15" width="54.85546875" style="108" customWidth="1"/>
    <col min="16" max="16" width="21.85546875" style="108" customWidth="1"/>
    <col min="17" max="28" width="11.5703125" style="108" bestFit="1" customWidth="1"/>
    <col min="29" max="29" width="15.140625" style="108" customWidth="1"/>
    <col min="30" max="30" width="8.85546875" style="108"/>
    <col min="31" max="31" width="21.5703125" style="108" customWidth="1"/>
    <col min="32" max="36" width="11.5703125" style="108" bestFit="1" customWidth="1"/>
    <col min="37" max="37" width="11.140625" style="108" customWidth="1"/>
    <col min="38" max="43" width="11.5703125" style="108" bestFit="1" customWidth="1"/>
    <col min="44" max="44" width="13.42578125" style="108" bestFit="1" customWidth="1"/>
    <col min="45" max="16384" width="8.85546875" style="108"/>
  </cols>
  <sheetData>
    <row r="1" spans="1:44">
      <c r="A1" s="2" t="s">
        <v>502</v>
      </c>
      <c r="P1" s="2" t="s">
        <v>606</v>
      </c>
      <c r="AE1" s="2" t="s">
        <v>607</v>
      </c>
    </row>
    <row r="2" spans="1:44" ht="27" customHeight="1">
      <c r="A2" s="111" t="s">
        <v>1312</v>
      </c>
      <c r="P2" s="2"/>
      <c r="AE2" s="2"/>
    </row>
    <row r="3" spans="1:44" ht="18">
      <c r="A3" s="221" t="s">
        <v>1313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2"/>
    </row>
    <row r="4" spans="1:44">
      <c r="AE4" s="2"/>
    </row>
    <row r="5" spans="1:44" ht="13.5" thickBot="1">
      <c r="A5" s="108" t="s">
        <v>754</v>
      </c>
      <c r="AE5" s="2"/>
    </row>
    <row r="6" spans="1:44">
      <c r="A6" s="108" t="s">
        <v>750</v>
      </c>
      <c r="B6" s="420">
        <v>1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2"/>
    </row>
    <row r="7" spans="1:44" ht="13.5" thickBot="1">
      <c r="A7" s="108" t="s">
        <v>751</v>
      </c>
      <c r="B7" s="421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2"/>
    </row>
    <row r="8" spans="1:44">
      <c r="AE8" s="2"/>
    </row>
    <row r="9" spans="1:44" ht="24.6" customHeight="1">
      <c r="AE9" s="2"/>
    </row>
    <row r="10" spans="1:44">
      <c r="B10" s="16" t="str">
        <f>B17</f>
        <v>Jan</v>
      </c>
      <c r="C10" s="16" t="str">
        <f t="shared" ref="C10:M10" si="0">C17</f>
        <v>Feb</v>
      </c>
      <c r="D10" s="16" t="str">
        <f t="shared" si="0"/>
        <v>Mar</v>
      </c>
      <c r="E10" s="16" t="str">
        <f t="shared" si="0"/>
        <v>Apr</v>
      </c>
      <c r="F10" s="16" t="str">
        <f t="shared" si="0"/>
        <v>May</v>
      </c>
      <c r="G10" s="16" t="str">
        <f t="shared" si="0"/>
        <v>June</v>
      </c>
      <c r="H10" s="16" t="str">
        <f t="shared" si="0"/>
        <v>July</v>
      </c>
      <c r="I10" s="16" t="str">
        <f t="shared" si="0"/>
        <v>Aug</v>
      </c>
      <c r="J10" s="16" t="str">
        <f t="shared" si="0"/>
        <v>Sept</v>
      </c>
      <c r="K10" s="16" t="str">
        <f t="shared" si="0"/>
        <v>Oct</v>
      </c>
      <c r="L10" s="16" t="str">
        <f t="shared" si="0"/>
        <v>Nov</v>
      </c>
      <c r="M10" s="16" t="str">
        <f t="shared" si="0"/>
        <v>Dec</v>
      </c>
      <c r="N10" s="16" t="s">
        <v>755</v>
      </c>
      <c r="AE10" s="2"/>
    </row>
    <row r="11" spans="1:44" ht="6" customHeight="1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AE11" s="2"/>
    </row>
    <row r="12" spans="1:44" s="242" customFormat="1" ht="15">
      <c r="A12" s="239" t="s">
        <v>223</v>
      </c>
      <c r="B12" s="240">
        <f>IF($B$6=1,B32,B55)</f>
        <v>2494851.4658201998</v>
      </c>
      <c r="C12" s="240">
        <f t="shared" ref="C12:M12" si="1">IF($B$6=1,C32,C55)</f>
        <v>2259088.0037952997</v>
      </c>
      <c r="D12" s="240">
        <f t="shared" si="1"/>
        <v>2450879.3781634998</v>
      </c>
      <c r="E12" s="240">
        <f t="shared" si="1"/>
        <v>2235546.3389332998</v>
      </c>
      <c r="F12" s="240">
        <f t="shared" si="1"/>
        <v>2247544.2591056996</v>
      </c>
      <c r="G12" s="240">
        <f t="shared" si="1"/>
        <v>2198769.6915352</v>
      </c>
      <c r="H12" s="240">
        <f t="shared" si="1"/>
        <v>2424694.2520500002</v>
      </c>
      <c r="I12" s="240">
        <f t="shared" si="1"/>
        <v>2348705.2364483001</v>
      </c>
      <c r="J12" s="240">
        <f t="shared" si="1"/>
        <v>2298678.7569140499</v>
      </c>
      <c r="K12" s="240">
        <f t="shared" si="1"/>
        <v>2610856.13838665</v>
      </c>
      <c r="L12" s="240">
        <f t="shared" si="1"/>
        <v>2378626.8692485997</v>
      </c>
      <c r="M12" s="240">
        <f t="shared" si="1"/>
        <v>2429143.2367828502</v>
      </c>
      <c r="N12" s="241">
        <f>SUM(B12:M12)</f>
        <v>28377383.627183646</v>
      </c>
      <c r="P12" s="242" t="s">
        <v>223</v>
      </c>
      <c r="Q12" s="243">
        <f t="shared" ref="Q12:AB12" si="2">Q29+Q30</f>
        <v>2565994.2939999998</v>
      </c>
      <c r="R12" s="243">
        <f t="shared" si="2"/>
        <v>2323803.6634999998</v>
      </c>
      <c r="S12" s="243">
        <f t="shared" si="2"/>
        <v>2519564.1660000002</v>
      </c>
      <c r="T12" s="243">
        <f t="shared" si="2"/>
        <v>2320478.656</v>
      </c>
      <c r="U12" s="243">
        <f t="shared" si="2"/>
        <v>2333590.9919999996</v>
      </c>
      <c r="V12" s="243">
        <f t="shared" si="2"/>
        <v>2283532.5559999999</v>
      </c>
      <c r="W12" s="243">
        <f t="shared" si="2"/>
        <v>2444994.0239999997</v>
      </c>
      <c r="X12" s="243">
        <f t="shared" si="2"/>
        <v>2368146.1359999999</v>
      </c>
      <c r="Y12" s="243">
        <f t="shared" si="2"/>
        <v>2316734.656</v>
      </c>
      <c r="Z12" s="243">
        <f t="shared" si="2"/>
        <v>2650822.4279999998</v>
      </c>
      <c r="AA12" s="243">
        <f t="shared" si="2"/>
        <v>2460003.7239999999</v>
      </c>
      <c r="AB12" s="243">
        <f t="shared" si="2"/>
        <v>2511905.0919999997</v>
      </c>
      <c r="AC12" s="244">
        <f>SUM(Q12:AB12)</f>
        <v>29099570.387499996</v>
      </c>
      <c r="AE12" s="242" t="s">
        <v>223</v>
      </c>
      <c r="AF12" s="243">
        <f t="shared" ref="AF12:AQ12" si="3">AF29+AF30</f>
        <v>2565994.2939999998</v>
      </c>
      <c r="AG12" s="243">
        <f t="shared" si="3"/>
        <v>2323803.6634999998</v>
      </c>
      <c r="AH12" s="243">
        <f t="shared" si="3"/>
        <v>2519564.1660000002</v>
      </c>
      <c r="AI12" s="243">
        <f t="shared" si="3"/>
        <v>2320478.656</v>
      </c>
      <c r="AJ12" s="243">
        <f t="shared" si="3"/>
        <v>2333590.9919999996</v>
      </c>
      <c r="AK12" s="243">
        <f t="shared" si="3"/>
        <v>2283532.5559999999</v>
      </c>
      <c r="AL12" s="243">
        <f t="shared" si="3"/>
        <v>2444994.0239999997</v>
      </c>
      <c r="AM12" s="243">
        <f t="shared" si="3"/>
        <v>2368146.1359999999</v>
      </c>
      <c r="AN12" s="243">
        <f t="shared" si="3"/>
        <v>2316734.656</v>
      </c>
      <c r="AO12" s="243">
        <f t="shared" si="3"/>
        <v>2650822.4279999998</v>
      </c>
      <c r="AP12" s="243">
        <f t="shared" si="3"/>
        <v>2460003.7239999999</v>
      </c>
      <c r="AQ12" s="243">
        <f t="shared" si="3"/>
        <v>2511905.0919999997</v>
      </c>
      <c r="AR12" s="244">
        <f>SUM(AF12:AQ12)</f>
        <v>29099570.387499996</v>
      </c>
    </row>
    <row r="13" spans="1:44" s="242" customFormat="1" ht="15.75" thickBot="1">
      <c r="A13" s="245" t="s">
        <v>222</v>
      </c>
      <c r="B13" s="246">
        <f>B12*Factors!C11</f>
        <v>10736384.613780629</v>
      </c>
      <c r="C13" s="246">
        <f>C12*Factors!D11</f>
        <v>9735387.7609149497</v>
      </c>
      <c r="D13" s="246">
        <f>D12*Factors!E11</f>
        <v>10576645.157686649</v>
      </c>
      <c r="E13" s="246">
        <f>E12*Factors!F11</f>
        <v>9660836.2432187833</v>
      </c>
      <c r="F13" s="246">
        <f>F12*Factors!G11</f>
        <v>9726206.8759744018</v>
      </c>
      <c r="G13" s="246">
        <f>G12*Factors!H11</f>
        <v>9528364.4125315603</v>
      </c>
      <c r="H13" s="246">
        <f>H12*Factors!I11</f>
        <v>10521995.91333152</v>
      </c>
      <c r="I13" s="246">
        <f>I12*Factors!J11</f>
        <v>10206371.133003794</v>
      </c>
      <c r="J13" s="246">
        <f>J12*Factors!K11</f>
        <v>10002809.20029597</v>
      </c>
      <c r="K13" s="246">
        <f>K12*Factors!L11</f>
        <v>11376971.673470234</v>
      </c>
      <c r="L13" s="246">
        <f>L12*Factors!M11</f>
        <v>10379328.538970737</v>
      </c>
      <c r="M13" s="246">
        <f>M12*Factors!N11</f>
        <v>10614375.348199239</v>
      </c>
      <c r="N13" s="247">
        <f>SUM(B13:M13)</f>
        <v>123065676.87137845</v>
      </c>
      <c r="P13" s="242" t="s">
        <v>222</v>
      </c>
      <c r="Q13" s="243">
        <f>Q12*Factors!R11</f>
        <v>11259077.387637585</v>
      </c>
      <c r="R13" s="243">
        <f>R12*Factors!S11</f>
        <v>10238701.302569058</v>
      </c>
      <c r="S13" s="243">
        <f>S12*Factors!T11</f>
        <v>11147096.786604445</v>
      </c>
      <c r="T13" s="243">
        <f>T12*Factors!U11</f>
        <v>10308547.579161087</v>
      </c>
      <c r="U13" s="243">
        <f>U12*Factors!V11</f>
        <v>10409284.998758111</v>
      </c>
      <c r="V13" s="243">
        <f>V12*Factors!W11</f>
        <v>10227568.339630242</v>
      </c>
      <c r="W13" s="243">
        <f>W12*Factors!X11</f>
        <v>10995242.965641757</v>
      </c>
      <c r="X13" s="243">
        <f>X12*Factors!Y11</f>
        <v>10692770.729124084</v>
      </c>
      <c r="Y13" s="243">
        <f>Y12*Factors!Z11</f>
        <v>10502815.048296848</v>
      </c>
      <c r="Z13" s="243">
        <f>Z12*Factors!AA11</f>
        <v>12065649.92329403</v>
      </c>
      <c r="AA13" s="243">
        <f>AA12*Factors!AB11</f>
        <v>11241895.950473964</v>
      </c>
      <c r="AB13" s="243">
        <f>AB12*Factors!AC11</f>
        <v>11524811.808502087</v>
      </c>
      <c r="AC13" s="244">
        <f>SUM(Q13:AB13)</f>
        <v>130613462.81969331</v>
      </c>
      <c r="AE13" s="242" t="s">
        <v>222</v>
      </c>
      <c r="AF13" s="243">
        <f>AF12*Factors!AG11</f>
        <v>11822031.25701946</v>
      </c>
      <c r="AG13" s="243">
        <f>AG12*Factors!AH11</f>
        <v>10750636.367697509</v>
      </c>
      <c r="AH13" s="243">
        <f>AH12*Factors!AI11</f>
        <v>11704451.625934664</v>
      </c>
      <c r="AI13" s="243">
        <f>AI12*Factors!AJ11</f>
        <v>10823974.958119139</v>
      </c>
      <c r="AJ13" s="243">
        <f>AJ12*Factors!AK11</f>
        <v>10929749.248696014</v>
      </c>
      <c r="AK13" s="243">
        <f>AK12*Factors!AL11</f>
        <v>10738946.756611755</v>
      </c>
      <c r="AL13" s="243">
        <f>AL12*Factors!AM11</f>
        <v>11545005.113923844</v>
      </c>
      <c r="AM13" s="243">
        <f>AM12*Factors!AN11</f>
        <v>11227409.265580289</v>
      </c>
      <c r="AN13" s="243">
        <f>AN12*Factors!AO11</f>
        <v>11027955.80071169</v>
      </c>
      <c r="AO13" s="243">
        <f>AO12*Factors!AP11</f>
        <v>12668932.419458732</v>
      </c>
      <c r="AP13" s="243">
        <f>AP12*Factors!AQ11</f>
        <v>11803990.747997664</v>
      </c>
      <c r="AQ13" s="243">
        <f>AQ12*Factors!AR11</f>
        <v>12101052.398927193</v>
      </c>
      <c r="AR13" s="244">
        <f>SUM(AF13:AQ13)</f>
        <v>137144135.96067792</v>
      </c>
    </row>
    <row r="14" spans="1:44" ht="13.5" thickTop="1"/>
    <row r="16" spans="1:44" ht="18">
      <c r="A16" s="219" t="s">
        <v>1310</v>
      </c>
    </row>
    <row r="17" spans="1:44">
      <c r="B17" s="16" t="s">
        <v>50</v>
      </c>
      <c r="C17" s="16" t="s">
        <v>51</v>
      </c>
      <c r="D17" s="16" t="s">
        <v>52</v>
      </c>
      <c r="E17" s="16" t="s">
        <v>53</v>
      </c>
      <c r="F17" s="16" t="s">
        <v>54</v>
      </c>
      <c r="G17" s="16" t="s">
        <v>55</v>
      </c>
      <c r="H17" s="16" t="s">
        <v>56</v>
      </c>
      <c r="I17" s="16" t="s">
        <v>57</v>
      </c>
      <c r="J17" s="16" t="s">
        <v>58</v>
      </c>
      <c r="K17" s="16" t="s">
        <v>59</v>
      </c>
      <c r="L17" s="16" t="s">
        <v>60</v>
      </c>
      <c r="M17" s="16" t="s">
        <v>61</v>
      </c>
      <c r="N17" s="16" t="s">
        <v>755</v>
      </c>
      <c r="Q17" s="16" t="s">
        <v>50</v>
      </c>
      <c r="R17" s="16" t="s">
        <v>51</v>
      </c>
      <c r="S17" s="16" t="s">
        <v>52</v>
      </c>
      <c r="T17" s="16" t="s">
        <v>53</v>
      </c>
      <c r="U17" s="16" t="s">
        <v>54</v>
      </c>
      <c r="V17" s="16" t="s">
        <v>55</v>
      </c>
      <c r="W17" s="16" t="s">
        <v>56</v>
      </c>
      <c r="X17" s="16" t="s">
        <v>57</v>
      </c>
      <c r="Y17" s="16" t="s">
        <v>58</v>
      </c>
      <c r="Z17" s="16" t="s">
        <v>59</v>
      </c>
      <c r="AA17" s="16" t="s">
        <v>60</v>
      </c>
      <c r="AB17" s="16" t="s">
        <v>61</v>
      </c>
      <c r="AF17" s="16" t="s">
        <v>50</v>
      </c>
      <c r="AG17" s="16" t="s">
        <v>51</v>
      </c>
      <c r="AH17" s="16" t="s">
        <v>52</v>
      </c>
      <c r="AI17" s="16" t="s">
        <v>53</v>
      </c>
      <c r="AJ17" s="16" t="s">
        <v>54</v>
      </c>
      <c r="AK17" s="16" t="s">
        <v>55</v>
      </c>
      <c r="AL17" s="16" t="s">
        <v>56</v>
      </c>
      <c r="AM17" s="16" t="s">
        <v>57</v>
      </c>
      <c r="AN17" s="16" t="s">
        <v>58</v>
      </c>
      <c r="AO17" s="16" t="s">
        <v>59</v>
      </c>
      <c r="AP17" s="16" t="s">
        <v>60</v>
      </c>
      <c r="AQ17" s="16" t="s">
        <v>61</v>
      </c>
    </row>
    <row r="18" spans="1:44">
      <c r="A18" s="108" t="s">
        <v>756</v>
      </c>
      <c r="B18" s="108">
        <v>31</v>
      </c>
      <c r="C18" s="108">
        <v>28</v>
      </c>
      <c r="D18" s="108">
        <v>31</v>
      </c>
      <c r="E18" s="108">
        <v>30</v>
      </c>
      <c r="F18" s="108">
        <v>31</v>
      </c>
      <c r="G18" s="108">
        <v>30</v>
      </c>
      <c r="H18" s="108">
        <v>31</v>
      </c>
      <c r="I18" s="108">
        <v>31</v>
      </c>
      <c r="J18" s="108">
        <v>30</v>
      </c>
      <c r="K18" s="108">
        <v>31</v>
      </c>
      <c r="L18" s="108">
        <v>30</v>
      </c>
      <c r="M18" s="108">
        <v>31</v>
      </c>
      <c r="N18" s="108">
        <f>SUM(B18:M18)</f>
        <v>365</v>
      </c>
      <c r="Q18" s="108">
        <v>31</v>
      </c>
      <c r="R18" s="108">
        <v>28</v>
      </c>
      <c r="S18" s="108">
        <v>31</v>
      </c>
      <c r="T18" s="108">
        <v>30</v>
      </c>
      <c r="U18" s="108">
        <v>31</v>
      </c>
      <c r="V18" s="108">
        <v>30</v>
      </c>
      <c r="W18" s="108">
        <v>31</v>
      </c>
      <c r="X18" s="108">
        <v>31</v>
      </c>
      <c r="Y18" s="108">
        <v>30</v>
      </c>
      <c r="Z18" s="108">
        <v>31</v>
      </c>
      <c r="AA18" s="108">
        <v>30</v>
      </c>
      <c r="AB18" s="108">
        <v>31</v>
      </c>
      <c r="AC18" s="108">
        <f>SUM(Q18:AB18)</f>
        <v>365</v>
      </c>
      <c r="AF18" s="108">
        <v>31</v>
      </c>
      <c r="AG18" s="108">
        <v>28</v>
      </c>
      <c r="AH18" s="108">
        <v>31</v>
      </c>
      <c r="AI18" s="108">
        <v>30</v>
      </c>
      <c r="AJ18" s="108">
        <v>31</v>
      </c>
      <c r="AK18" s="108">
        <v>30</v>
      </c>
      <c r="AL18" s="108">
        <v>31</v>
      </c>
      <c r="AM18" s="108">
        <v>31</v>
      </c>
      <c r="AN18" s="108">
        <v>30</v>
      </c>
      <c r="AO18" s="108">
        <v>31</v>
      </c>
      <c r="AP18" s="108">
        <v>30</v>
      </c>
      <c r="AQ18" s="108">
        <v>31</v>
      </c>
      <c r="AR18" s="108">
        <f>SUM(AF18:AQ18)</f>
        <v>365</v>
      </c>
    </row>
    <row r="19" spans="1:44" s="125" customFormat="1">
      <c r="A19" s="108" t="s">
        <v>221</v>
      </c>
      <c r="B19" s="125">
        <v>27800</v>
      </c>
      <c r="C19" s="125">
        <v>27800</v>
      </c>
      <c r="D19" s="125">
        <v>27800</v>
      </c>
      <c r="E19" s="125">
        <v>26000</v>
      </c>
      <c r="F19" s="125">
        <v>26000</v>
      </c>
      <c r="G19" s="125">
        <v>26000</v>
      </c>
      <c r="H19" s="125">
        <v>26000</v>
      </c>
      <c r="I19" s="125">
        <v>26000</v>
      </c>
      <c r="J19" s="125">
        <v>26000</v>
      </c>
      <c r="K19" s="125">
        <v>27800</v>
      </c>
      <c r="L19" s="125">
        <v>27800</v>
      </c>
      <c r="M19" s="125">
        <v>27800</v>
      </c>
      <c r="P19" s="108" t="s">
        <v>221</v>
      </c>
      <c r="Q19" s="125">
        <v>27800</v>
      </c>
      <c r="R19" s="125">
        <v>27800</v>
      </c>
      <c r="S19" s="125">
        <v>27800</v>
      </c>
      <c r="T19" s="125">
        <v>26000</v>
      </c>
      <c r="U19" s="125">
        <v>26000</v>
      </c>
      <c r="V19" s="125">
        <v>26000</v>
      </c>
      <c r="W19" s="125">
        <v>26000</v>
      </c>
      <c r="X19" s="125">
        <v>26000</v>
      </c>
      <c r="Y19" s="125">
        <v>26000</v>
      </c>
      <c r="Z19" s="125">
        <v>27800</v>
      </c>
      <c r="AA19" s="125">
        <v>27800</v>
      </c>
      <c r="AB19" s="125">
        <v>27800</v>
      </c>
      <c r="AE19" s="108" t="s">
        <v>221</v>
      </c>
      <c r="AF19" s="125">
        <v>27800</v>
      </c>
      <c r="AG19" s="125">
        <v>27800</v>
      </c>
      <c r="AH19" s="125">
        <v>27800</v>
      </c>
      <c r="AI19" s="125">
        <v>26000</v>
      </c>
      <c r="AJ19" s="125">
        <v>26000</v>
      </c>
      <c r="AK19" s="125">
        <v>26000</v>
      </c>
      <c r="AL19" s="125">
        <v>26000</v>
      </c>
      <c r="AM19" s="125">
        <v>26000</v>
      </c>
      <c r="AN19" s="125">
        <v>26000</v>
      </c>
      <c r="AO19" s="125">
        <v>27800</v>
      </c>
      <c r="AP19" s="125">
        <v>27800</v>
      </c>
      <c r="AQ19" s="125">
        <v>27800</v>
      </c>
    </row>
    <row r="20" spans="1:44">
      <c r="A20" s="108" t="s">
        <v>133</v>
      </c>
      <c r="B20" s="108">
        <f>B18*24</f>
        <v>744</v>
      </c>
      <c r="C20" s="108">
        <f t="shared" ref="C20:M20" si="4">C18*24</f>
        <v>672</v>
      </c>
      <c r="D20" s="108">
        <f t="shared" si="4"/>
        <v>744</v>
      </c>
      <c r="E20" s="108">
        <f t="shared" si="4"/>
        <v>720</v>
      </c>
      <c r="F20" s="108">
        <f t="shared" si="4"/>
        <v>744</v>
      </c>
      <c r="G20" s="108">
        <f t="shared" si="4"/>
        <v>720</v>
      </c>
      <c r="H20" s="108">
        <f t="shared" si="4"/>
        <v>744</v>
      </c>
      <c r="I20" s="108">
        <f t="shared" si="4"/>
        <v>744</v>
      </c>
      <c r="J20" s="108">
        <f t="shared" si="4"/>
        <v>720</v>
      </c>
      <c r="K20" s="108">
        <f t="shared" si="4"/>
        <v>744</v>
      </c>
      <c r="L20" s="108">
        <f t="shared" si="4"/>
        <v>720</v>
      </c>
      <c r="M20" s="108">
        <f t="shared" si="4"/>
        <v>744</v>
      </c>
      <c r="N20" s="108">
        <f>SUM(B20:M20)</f>
        <v>8760</v>
      </c>
      <c r="P20" s="108" t="s">
        <v>133</v>
      </c>
      <c r="Q20" s="108">
        <f>Q18*24</f>
        <v>744</v>
      </c>
      <c r="R20" s="108">
        <f t="shared" ref="R20:AB20" si="5">R18*24</f>
        <v>672</v>
      </c>
      <c r="S20" s="108">
        <f t="shared" si="5"/>
        <v>744</v>
      </c>
      <c r="T20" s="108">
        <f t="shared" si="5"/>
        <v>720</v>
      </c>
      <c r="U20" s="108">
        <f t="shared" si="5"/>
        <v>744</v>
      </c>
      <c r="V20" s="108">
        <f t="shared" si="5"/>
        <v>720</v>
      </c>
      <c r="W20" s="108">
        <f t="shared" si="5"/>
        <v>744</v>
      </c>
      <c r="X20" s="108">
        <f t="shared" si="5"/>
        <v>744</v>
      </c>
      <c r="Y20" s="108">
        <f t="shared" si="5"/>
        <v>720</v>
      </c>
      <c r="Z20" s="108">
        <f t="shared" si="5"/>
        <v>744</v>
      </c>
      <c r="AA20" s="108">
        <f t="shared" si="5"/>
        <v>720</v>
      </c>
      <c r="AB20" s="108">
        <f t="shared" si="5"/>
        <v>744</v>
      </c>
      <c r="AC20" s="108">
        <f>SUM(Q20:AB20)</f>
        <v>8760</v>
      </c>
      <c r="AE20" s="108" t="s">
        <v>133</v>
      </c>
      <c r="AF20" s="108">
        <f>AF18*24</f>
        <v>744</v>
      </c>
      <c r="AG20" s="108">
        <f t="shared" ref="AG20:AQ20" si="6">AG18*24</f>
        <v>672</v>
      </c>
      <c r="AH20" s="108">
        <f t="shared" si="6"/>
        <v>744</v>
      </c>
      <c r="AI20" s="108">
        <f t="shared" si="6"/>
        <v>720</v>
      </c>
      <c r="AJ20" s="108">
        <f t="shared" si="6"/>
        <v>744</v>
      </c>
      <c r="AK20" s="108">
        <f t="shared" si="6"/>
        <v>720</v>
      </c>
      <c r="AL20" s="108">
        <f t="shared" si="6"/>
        <v>744</v>
      </c>
      <c r="AM20" s="108">
        <f t="shared" si="6"/>
        <v>744</v>
      </c>
      <c r="AN20" s="108">
        <f t="shared" si="6"/>
        <v>720</v>
      </c>
      <c r="AO20" s="108">
        <f t="shared" si="6"/>
        <v>744</v>
      </c>
      <c r="AP20" s="108">
        <f t="shared" si="6"/>
        <v>720</v>
      </c>
      <c r="AQ20" s="108">
        <f t="shared" si="6"/>
        <v>744</v>
      </c>
      <c r="AR20" s="108">
        <f>SUM(AF20:AQ20)</f>
        <v>8760</v>
      </c>
    </row>
    <row r="21" spans="1:44" ht="6.6" customHeight="1"/>
    <row r="22" spans="1:44">
      <c r="A22" s="108" t="s">
        <v>220</v>
      </c>
      <c r="B22" s="125">
        <v>15914178</v>
      </c>
      <c r="C22" s="125">
        <v>14414117</v>
      </c>
      <c r="D22" s="125">
        <v>15604015</v>
      </c>
      <c r="E22" s="125">
        <v>14244937</v>
      </c>
      <c r="F22" s="125">
        <v>14278773</v>
      </c>
      <c r="G22" s="125">
        <v>13985528</v>
      </c>
      <c r="H22" s="125">
        <v>15057000</v>
      </c>
      <c r="I22" s="125">
        <v>14538182</v>
      </c>
      <c r="J22" s="125">
        <v>14244937</v>
      </c>
      <c r="K22" s="125">
        <v>16224341</v>
      </c>
      <c r="L22" s="125">
        <v>14690444</v>
      </c>
      <c r="M22" s="125">
        <v>14983689</v>
      </c>
      <c r="N22" s="125">
        <f>SUM(B22:M22)</f>
        <v>178180141</v>
      </c>
      <c r="P22" s="108" t="s">
        <v>220</v>
      </c>
      <c r="Q22" s="125">
        <v>16040000</v>
      </c>
      <c r="R22" s="125">
        <v>14530000</v>
      </c>
      <c r="S22" s="125">
        <v>15720000</v>
      </c>
      <c r="T22" s="125">
        <v>14240000</v>
      </c>
      <c r="U22" s="125">
        <v>14280000</v>
      </c>
      <c r="V22" s="125">
        <v>13990000</v>
      </c>
      <c r="W22" s="125">
        <v>15060000</v>
      </c>
      <c r="X22" s="125">
        <v>14540000</v>
      </c>
      <c r="Y22" s="125">
        <v>14240000</v>
      </c>
      <c r="Z22" s="125">
        <v>16350000</v>
      </c>
      <c r="AA22" s="125">
        <v>15110000</v>
      </c>
      <c r="AB22" s="125">
        <v>15410000</v>
      </c>
      <c r="AC22" s="125">
        <f>SUM(Q22:AB22)</f>
        <v>179510000</v>
      </c>
      <c r="AE22" s="108" t="s">
        <v>220</v>
      </c>
      <c r="AF22" s="125">
        <v>16040000</v>
      </c>
      <c r="AG22" s="125">
        <v>14530000</v>
      </c>
      <c r="AH22" s="125">
        <v>15720000</v>
      </c>
      <c r="AI22" s="125">
        <v>14240000</v>
      </c>
      <c r="AJ22" s="125">
        <v>14280000</v>
      </c>
      <c r="AK22" s="125">
        <v>13990000</v>
      </c>
      <c r="AL22" s="125">
        <v>15060000</v>
      </c>
      <c r="AM22" s="125">
        <v>14540000</v>
      </c>
      <c r="AN22" s="125">
        <v>14240000</v>
      </c>
      <c r="AO22" s="125">
        <v>16350000</v>
      </c>
      <c r="AP22" s="125">
        <v>15110000</v>
      </c>
      <c r="AQ22" s="125">
        <v>15410000</v>
      </c>
      <c r="AR22" s="125">
        <f>SUM(AF22:AQ22)</f>
        <v>179510000</v>
      </c>
    </row>
    <row r="23" spans="1:44" ht="5.45" customHeight="1"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</row>
    <row r="24" spans="1:44">
      <c r="A24" s="108" t="s">
        <v>555</v>
      </c>
      <c r="B24" s="121">
        <v>11.54</v>
      </c>
      <c r="C24" s="121">
        <v>11.54</v>
      </c>
      <c r="D24" s="121">
        <v>11.54</v>
      </c>
      <c r="E24" s="121">
        <v>11.54</v>
      </c>
      <c r="F24" s="121">
        <v>11.54</v>
      </c>
      <c r="G24" s="121">
        <v>11.54</v>
      </c>
      <c r="H24" s="126">
        <v>11.34</v>
      </c>
      <c r="I24" s="126">
        <v>11.34</v>
      </c>
      <c r="J24" s="126">
        <v>11.34</v>
      </c>
      <c r="K24" s="126">
        <v>11.34</v>
      </c>
      <c r="L24" s="126">
        <v>11.34</v>
      </c>
      <c r="M24" s="126">
        <v>11.34</v>
      </c>
      <c r="P24" s="108" t="s">
        <v>555</v>
      </c>
      <c r="Q24" s="121">
        <v>11.54</v>
      </c>
      <c r="R24" s="121">
        <v>11.54</v>
      </c>
      <c r="S24" s="121">
        <v>11.54</v>
      </c>
      <c r="T24" s="121">
        <v>11.54</v>
      </c>
      <c r="U24" s="121">
        <v>11.54</v>
      </c>
      <c r="V24" s="121">
        <v>11.54</v>
      </c>
      <c r="W24" s="126">
        <v>11.34</v>
      </c>
      <c r="X24" s="126">
        <v>11.34</v>
      </c>
      <c r="Y24" s="126">
        <v>11.34</v>
      </c>
      <c r="Z24" s="126">
        <v>11.34</v>
      </c>
      <c r="AA24" s="126">
        <v>11.34</v>
      </c>
      <c r="AB24" s="126">
        <v>11.34</v>
      </c>
      <c r="AE24" s="108" t="s">
        <v>555</v>
      </c>
      <c r="AF24" s="121">
        <v>11.54</v>
      </c>
      <c r="AG24" s="121">
        <v>11.54</v>
      </c>
      <c r="AH24" s="121">
        <v>11.54</v>
      </c>
      <c r="AI24" s="121">
        <v>11.54</v>
      </c>
      <c r="AJ24" s="121">
        <v>11.54</v>
      </c>
      <c r="AK24" s="121">
        <v>11.54</v>
      </c>
      <c r="AL24" s="126">
        <v>11.34</v>
      </c>
      <c r="AM24" s="126">
        <v>11.34</v>
      </c>
      <c r="AN24" s="126">
        <v>11.34</v>
      </c>
      <c r="AO24" s="126">
        <v>11.34</v>
      </c>
      <c r="AP24" s="126">
        <v>11.34</v>
      </c>
      <c r="AQ24" s="126">
        <v>11.34</v>
      </c>
    </row>
    <row r="25" spans="1:44">
      <c r="A25" s="108" t="s">
        <v>554</v>
      </c>
      <c r="B25" s="121">
        <v>134.38</v>
      </c>
      <c r="C25" s="121">
        <f>B25</f>
        <v>134.38</v>
      </c>
      <c r="D25" s="121">
        <f t="shared" ref="D25:M25" si="7">C25</f>
        <v>134.38</v>
      </c>
      <c r="E25" s="121">
        <f t="shared" si="7"/>
        <v>134.38</v>
      </c>
      <c r="F25" s="121">
        <f t="shared" si="7"/>
        <v>134.38</v>
      </c>
      <c r="G25" s="121">
        <f t="shared" si="7"/>
        <v>134.38</v>
      </c>
      <c r="H25" s="121">
        <v>138.83000000000001</v>
      </c>
      <c r="I25" s="121">
        <f t="shared" si="7"/>
        <v>138.83000000000001</v>
      </c>
      <c r="J25" s="121">
        <f t="shared" si="7"/>
        <v>138.83000000000001</v>
      </c>
      <c r="K25" s="121">
        <f t="shared" si="7"/>
        <v>138.83000000000001</v>
      </c>
      <c r="L25" s="121">
        <f t="shared" si="7"/>
        <v>138.83000000000001</v>
      </c>
      <c r="M25" s="121">
        <f t="shared" si="7"/>
        <v>138.83000000000001</v>
      </c>
      <c r="P25" s="108" t="s">
        <v>554</v>
      </c>
      <c r="Q25" s="121">
        <v>137.53</v>
      </c>
      <c r="R25" s="121">
        <v>137.53</v>
      </c>
      <c r="S25" s="121">
        <v>137.53</v>
      </c>
      <c r="T25" s="126">
        <v>140.08000000000001</v>
      </c>
      <c r="U25" s="126">
        <v>140.08000000000001</v>
      </c>
      <c r="V25" s="126">
        <v>140.08000000000001</v>
      </c>
      <c r="W25" s="126">
        <v>140.08000000000001</v>
      </c>
      <c r="X25" s="126">
        <v>140.08000000000001</v>
      </c>
      <c r="Y25" s="126">
        <v>140.08000000000001</v>
      </c>
      <c r="Z25" s="126">
        <v>140.08000000000001</v>
      </c>
      <c r="AA25" s="126">
        <v>140.08000000000001</v>
      </c>
      <c r="AB25" s="126">
        <v>140.08000000000001</v>
      </c>
      <c r="AE25" s="108" t="s">
        <v>554</v>
      </c>
      <c r="AF25" s="121">
        <v>137.53</v>
      </c>
      <c r="AG25" s="121">
        <v>137.53</v>
      </c>
      <c r="AH25" s="121">
        <v>137.53</v>
      </c>
      <c r="AI25" s="126">
        <v>140.08000000000001</v>
      </c>
      <c r="AJ25" s="126">
        <v>140.08000000000001</v>
      </c>
      <c r="AK25" s="126">
        <v>140.08000000000001</v>
      </c>
      <c r="AL25" s="126">
        <v>140.08000000000001</v>
      </c>
      <c r="AM25" s="126">
        <v>140.08000000000001</v>
      </c>
      <c r="AN25" s="126">
        <v>140.08000000000001</v>
      </c>
      <c r="AO25" s="126">
        <v>140.08000000000001</v>
      </c>
      <c r="AP25" s="126">
        <v>140.08000000000001</v>
      </c>
      <c r="AQ25" s="126">
        <v>140.08000000000001</v>
      </c>
    </row>
    <row r="26" spans="1:44">
      <c r="A26" s="108" t="s">
        <v>557</v>
      </c>
      <c r="B26" s="108">
        <v>1.0549999999999999</v>
      </c>
      <c r="C26" s="108">
        <v>1.0549999999999999</v>
      </c>
      <c r="D26" s="108">
        <v>1.0549999999999999</v>
      </c>
      <c r="E26" s="108">
        <v>1.0549999999999999</v>
      </c>
      <c r="F26" s="108">
        <v>1.0549999999999999</v>
      </c>
      <c r="G26" s="108">
        <v>1.0549999999999999</v>
      </c>
      <c r="H26" s="108">
        <v>1.0549999999999999</v>
      </c>
      <c r="I26" s="108">
        <v>1.0549999999999999</v>
      </c>
      <c r="J26" s="108">
        <v>1.0549999999999999</v>
      </c>
      <c r="K26" s="108">
        <v>1.0549999999999999</v>
      </c>
      <c r="L26" s="108">
        <v>1.0549999999999999</v>
      </c>
      <c r="M26" s="108">
        <v>1.0549999999999999</v>
      </c>
      <c r="P26" s="108" t="s">
        <v>557</v>
      </c>
      <c r="Q26" s="108">
        <v>1.0549999999999999</v>
      </c>
      <c r="R26" s="108">
        <v>1.0549999999999999</v>
      </c>
      <c r="S26" s="108">
        <v>1.0549999999999999</v>
      </c>
      <c r="T26" s="108">
        <v>1.0549999999999999</v>
      </c>
      <c r="U26" s="108">
        <v>1.0549999999999999</v>
      </c>
      <c r="V26" s="108">
        <v>1.0549999999999999</v>
      </c>
      <c r="W26" s="108">
        <v>1.0549999999999999</v>
      </c>
      <c r="X26" s="108">
        <v>1.0549999999999999</v>
      </c>
      <c r="Y26" s="108">
        <v>1.0549999999999999</v>
      </c>
      <c r="Z26" s="108">
        <v>1.0549999999999999</v>
      </c>
      <c r="AA26" s="108">
        <v>1.0549999999999999</v>
      </c>
      <c r="AB26" s="108">
        <v>1.0549999999999999</v>
      </c>
      <c r="AE26" s="108" t="s">
        <v>557</v>
      </c>
      <c r="AF26" s="108">
        <v>1.0549999999999999</v>
      </c>
      <c r="AG26" s="108">
        <v>1.0549999999999999</v>
      </c>
      <c r="AH26" s="108">
        <v>1.0549999999999999</v>
      </c>
      <c r="AI26" s="108">
        <v>1.0549999999999999</v>
      </c>
      <c r="AJ26" s="108">
        <v>1.0549999999999999</v>
      </c>
      <c r="AK26" s="108">
        <v>1.0549999999999999</v>
      </c>
      <c r="AL26" s="108">
        <v>1.0549999999999999</v>
      </c>
      <c r="AM26" s="108">
        <v>1.0549999999999999</v>
      </c>
      <c r="AN26" s="108">
        <v>1.0549999999999999</v>
      </c>
      <c r="AO26" s="108">
        <v>1.0549999999999999</v>
      </c>
      <c r="AP26" s="108">
        <v>1.0549999999999999</v>
      </c>
      <c r="AQ26" s="108">
        <v>1.0549999999999999</v>
      </c>
    </row>
    <row r="27" spans="1:44">
      <c r="A27" s="108" t="s">
        <v>556</v>
      </c>
      <c r="B27" s="126">
        <f>B25*B26</f>
        <v>141.77089999999998</v>
      </c>
      <c r="C27" s="126">
        <f t="shared" ref="C27:M27" si="8">C25*C26</f>
        <v>141.77089999999998</v>
      </c>
      <c r="D27" s="126">
        <f t="shared" si="8"/>
        <v>141.77089999999998</v>
      </c>
      <c r="E27" s="126">
        <f t="shared" si="8"/>
        <v>141.77089999999998</v>
      </c>
      <c r="F27" s="126">
        <f t="shared" si="8"/>
        <v>141.77089999999998</v>
      </c>
      <c r="G27" s="126">
        <f t="shared" si="8"/>
        <v>141.77089999999998</v>
      </c>
      <c r="H27" s="126">
        <f t="shared" si="8"/>
        <v>146.46565000000001</v>
      </c>
      <c r="I27" s="126">
        <f t="shared" si="8"/>
        <v>146.46565000000001</v>
      </c>
      <c r="J27" s="126">
        <f t="shared" si="8"/>
        <v>146.46565000000001</v>
      </c>
      <c r="K27" s="126">
        <f t="shared" si="8"/>
        <v>146.46565000000001</v>
      </c>
      <c r="L27" s="126">
        <f t="shared" si="8"/>
        <v>146.46565000000001</v>
      </c>
      <c r="M27" s="126">
        <f t="shared" si="8"/>
        <v>146.46565000000001</v>
      </c>
      <c r="P27" s="108" t="s">
        <v>556</v>
      </c>
      <c r="Q27" s="126">
        <f t="shared" ref="Q27:AB27" si="9">Q25*Q26</f>
        <v>145.09414999999998</v>
      </c>
      <c r="R27" s="126">
        <f t="shared" si="9"/>
        <v>145.09414999999998</v>
      </c>
      <c r="S27" s="126">
        <f t="shared" si="9"/>
        <v>145.09414999999998</v>
      </c>
      <c r="T27" s="126">
        <f t="shared" si="9"/>
        <v>147.78440000000001</v>
      </c>
      <c r="U27" s="126">
        <f t="shared" si="9"/>
        <v>147.78440000000001</v>
      </c>
      <c r="V27" s="126">
        <f t="shared" si="9"/>
        <v>147.78440000000001</v>
      </c>
      <c r="W27" s="126">
        <f t="shared" si="9"/>
        <v>147.78440000000001</v>
      </c>
      <c r="X27" s="126">
        <f t="shared" si="9"/>
        <v>147.78440000000001</v>
      </c>
      <c r="Y27" s="126">
        <f t="shared" si="9"/>
        <v>147.78440000000001</v>
      </c>
      <c r="Z27" s="126">
        <f t="shared" si="9"/>
        <v>147.78440000000001</v>
      </c>
      <c r="AA27" s="126">
        <f t="shared" si="9"/>
        <v>147.78440000000001</v>
      </c>
      <c r="AB27" s="126">
        <f t="shared" si="9"/>
        <v>147.78440000000001</v>
      </c>
      <c r="AE27" s="108" t="s">
        <v>556</v>
      </c>
      <c r="AF27" s="126">
        <f t="shared" ref="AF27:AQ27" si="10">AF25*AF26</f>
        <v>145.09414999999998</v>
      </c>
      <c r="AG27" s="126">
        <f t="shared" si="10"/>
        <v>145.09414999999998</v>
      </c>
      <c r="AH27" s="126">
        <f t="shared" si="10"/>
        <v>145.09414999999998</v>
      </c>
      <c r="AI27" s="126">
        <f t="shared" si="10"/>
        <v>147.78440000000001</v>
      </c>
      <c r="AJ27" s="126">
        <f t="shared" si="10"/>
        <v>147.78440000000001</v>
      </c>
      <c r="AK27" s="126">
        <f t="shared" si="10"/>
        <v>147.78440000000001</v>
      </c>
      <c r="AL27" s="126">
        <f t="shared" si="10"/>
        <v>147.78440000000001</v>
      </c>
      <c r="AM27" s="126">
        <f t="shared" si="10"/>
        <v>147.78440000000001</v>
      </c>
      <c r="AN27" s="126">
        <f t="shared" si="10"/>
        <v>147.78440000000001</v>
      </c>
      <c r="AO27" s="126">
        <f t="shared" si="10"/>
        <v>147.78440000000001</v>
      </c>
      <c r="AP27" s="126">
        <f t="shared" si="10"/>
        <v>147.78440000000001</v>
      </c>
      <c r="AQ27" s="126">
        <f t="shared" si="10"/>
        <v>147.78440000000001</v>
      </c>
    </row>
    <row r="28" spans="1:44" ht="5.45" customHeight="1"/>
    <row r="29" spans="1:44" s="4" customFormat="1">
      <c r="A29" s="4" t="s">
        <v>752</v>
      </c>
      <c r="B29" s="97">
        <f>B20*B19*B24/1000</f>
        <v>238684.12799999997</v>
      </c>
      <c r="C29" s="97">
        <f t="shared" ref="C29:M29" si="11">C20*C19*C24/1000</f>
        <v>215585.66399999996</v>
      </c>
      <c r="D29" s="97">
        <f t="shared" si="11"/>
        <v>238684.12799999997</v>
      </c>
      <c r="E29" s="97">
        <f t="shared" si="11"/>
        <v>216028.79999999996</v>
      </c>
      <c r="F29" s="97">
        <f t="shared" si="11"/>
        <v>223229.75999999998</v>
      </c>
      <c r="G29" s="97">
        <f t="shared" si="11"/>
        <v>216028.79999999996</v>
      </c>
      <c r="H29" s="97">
        <f t="shared" si="11"/>
        <v>219360.96</v>
      </c>
      <c r="I29" s="97">
        <f t="shared" si="11"/>
        <v>219360.96</v>
      </c>
      <c r="J29" s="97">
        <f t="shared" si="11"/>
        <v>212284.79999999999</v>
      </c>
      <c r="K29" s="97">
        <f t="shared" si="11"/>
        <v>234547.48800000001</v>
      </c>
      <c r="L29" s="97">
        <f t="shared" si="11"/>
        <v>226981.44</v>
      </c>
      <c r="M29" s="97">
        <f t="shared" si="11"/>
        <v>234547.48800000001</v>
      </c>
      <c r="N29" s="98">
        <f>SUM(B29:M29)</f>
        <v>2695324.4159999997</v>
      </c>
      <c r="P29" s="4" t="s">
        <v>558</v>
      </c>
      <c r="Q29" s="97">
        <f>Q20*Q19*Q24/1000</f>
        <v>238684.12799999997</v>
      </c>
      <c r="R29" s="97">
        <f t="shared" ref="R29:AB29" si="12">R20*R19*R24/1000</f>
        <v>215585.66399999996</v>
      </c>
      <c r="S29" s="97">
        <f t="shared" si="12"/>
        <v>238684.12799999997</v>
      </c>
      <c r="T29" s="97">
        <f t="shared" si="12"/>
        <v>216028.79999999996</v>
      </c>
      <c r="U29" s="97">
        <f t="shared" si="12"/>
        <v>223229.75999999998</v>
      </c>
      <c r="V29" s="97">
        <f t="shared" si="12"/>
        <v>216028.79999999996</v>
      </c>
      <c r="W29" s="97">
        <f t="shared" si="12"/>
        <v>219360.96</v>
      </c>
      <c r="X29" s="97">
        <f t="shared" si="12"/>
        <v>219360.96</v>
      </c>
      <c r="Y29" s="97">
        <f t="shared" si="12"/>
        <v>212284.79999999999</v>
      </c>
      <c r="Z29" s="97">
        <f t="shared" si="12"/>
        <v>234547.48800000001</v>
      </c>
      <c r="AA29" s="97">
        <f t="shared" si="12"/>
        <v>226981.44</v>
      </c>
      <c r="AB29" s="97">
        <f t="shared" si="12"/>
        <v>234547.48800000001</v>
      </c>
      <c r="AC29" s="98">
        <f>SUM(Q29:AB29)</f>
        <v>2695324.4159999997</v>
      </c>
      <c r="AE29" s="4" t="s">
        <v>558</v>
      </c>
      <c r="AF29" s="97">
        <f>AF20*AF19*AF24/1000</f>
        <v>238684.12799999997</v>
      </c>
      <c r="AG29" s="97">
        <f t="shared" ref="AG29:AQ29" si="13">AG20*AG19*AG24/1000</f>
        <v>215585.66399999996</v>
      </c>
      <c r="AH29" s="97">
        <f t="shared" si="13"/>
        <v>238684.12799999997</v>
      </c>
      <c r="AI29" s="97">
        <f t="shared" si="13"/>
        <v>216028.79999999996</v>
      </c>
      <c r="AJ29" s="97">
        <f t="shared" si="13"/>
        <v>223229.75999999998</v>
      </c>
      <c r="AK29" s="97">
        <f t="shared" si="13"/>
        <v>216028.79999999996</v>
      </c>
      <c r="AL29" s="97">
        <f t="shared" si="13"/>
        <v>219360.96</v>
      </c>
      <c r="AM29" s="97">
        <f t="shared" si="13"/>
        <v>219360.96</v>
      </c>
      <c r="AN29" s="97">
        <f t="shared" si="13"/>
        <v>212284.79999999999</v>
      </c>
      <c r="AO29" s="97">
        <f t="shared" si="13"/>
        <v>234547.48800000001</v>
      </c>
      <c r="AP29" s="97">
        <f t="shared" si="13"/>
        <v>226981.44</v>
      </c>
      <c r="AQ29" s="97">
        <f t="shared" si="13"/>
        <v>234547.48800000001</v>
      </c>
      <c r="AR29" s="98">
        <f>SUM(AF29:AQ29)</f>
        <v>2695324.4159999997</v>
      </c>
    </row>
    <row r="30" spans="1:44" s="4" customFormat="1">
      <c r="A30" s="4" t="s">
        <v>753</v>
      </c>
      <c r="B30" s="97">
        <f>B22*B27/1000</f>
        <v>2256167.3378201998</v>
      </c>
      <c r="C30" s="97">
        <f t="shared" ref="C30:M30" si="14">C22*C27/1000</f>
        <v>2043502.3397952998</v>
      </c>
      <c r="D30" s="97">
        <f t="shared" si="14"/>
        <v>2212195.2501634997</v>
      </c>
      <c r="E30" s="97">
        <f t="shared" si="14"/>
        <v>2019517.5389332997</v>
      </c>
      <c r="F30" s="97">
        <f t="shared" si="14"/>
        <v>2024314.4991056998</v>
      </c>
      <c r="G30" s="97">
        <f t="shared" si="14"/>
        <v>1982740.8915351999</v>
      </c>
      <c r="H30" s="97">
        <f t="shared" si="14"/>
        <v>2205333.2920500003</v>
      </c>
      <c r="I30" s="97">
        <f t="shared" si="14"/>
        <v>2129344.2764483001</v>
      </c>
      <c r="J30" s="97">
        <f t="shared" si="14"/>
        <v>2086393.95691405</v>
      </c>
      <c r="K30" s="97">
        <f t="shared" si="14"/>
        <v>2376308.6503866501</v>
      </c>
      <c r="L30" s="97">
        <f t="shared" si="14"/>
        <v>2151645.4292485998</v>
      </c>
      <c r="M30" s="97">
        <f t="shared" si="14"/>
        <v>2194595.7487828503</v>
      </c>
      <c r="N30" s="98">
        <f>SUM(B30:M30)</f>
        <v>25682059.211183649</v>
      </c>
      <c r="P30" s="4" t="s">
        <v>559</v>
      </c>
      <c r="Q30" s="97">
        <f>Q22*Q27/1000</f>
        <v>2327310.1659999997</v>
      </c>
      <c r="R30" s="97">
        <f t="shared" ref="R30:AB30" si="15">R22*R27/1000</f>
        <v>2108217.9994999999</v>
      </c>
      <c r="S30" s="97">
        <f t="shared" si="15"/>
        <v>2280880.0380000002</v>
      </c>
      <c r="T30" s="97">
        <f t="shared" si="15"/>
        <v>2104449.8560000001</v>
      </c>
      <c r="U30" s="97">
        <f t="shared" si="15"/>
        <v>2110361.2319999998</v>
      </c>
      <c r="V30" s="97">
        <f t="shared" si="15"/>
        <v>2067503.7560000001</v>
      </c>
      <c r="W30" s="97">
        <f t="shared" si="15"/>
        <v>2225633.0639999998</v>
      </c>
      <c r="X30" s="97">
        <f t="shared" si="15"/>
        <v>2148785.176</v>
      </c>
      <c r="Y30" s="97">
        <f t="shared" si="15"/>
        <v>2104449.8560000001</v>
      </c>
      <c r="Z30" s="97">
        <f t="shared" si="15"/>
        <v>2416274.94</v>
      </c>
      <c r="AA30" s="97">
        <f t="shared" si="15"/>
        <v>2233022.284</v>
      </c>
      <c r="AB30" s="97">
        <f t="shared" si="15"/>
        <v>2277357.6039999998</v>
      </c>
      <c r="AC30" s="98">
        <f>SUM(Q30:AB30)</f>
        <v>26404245.971499998</v>
      </c>
      <c r="AE30" s="4" t="s">
        <v>559</v>
      </c>
      <c r="AF30" s="97">
        <f>AF22*AF27/1000</f>
        <v>2327310.1659999997</v>
      </c>
      <c r="AG30" s="97">
        <f t="shared" ref="AG30:AQ30" si="16">AG22*AG27/1000</f>
        <v>2108217.9994999999</v>
      </c>
      <c r="AH30" s="97">
        <f t="shared" si="16"/>
        <v>2280880.0380000002</v>
      </c>
      <c r="AI30" s="97">
        <f t="shared" si="16"/>
        <v>2104449.8560000001</v>
      </c>
      <c r="AJ30" s="97">
        <f t="shared" si="16"/>
        <v>2110361.2319999998</v>
      </c>
      <c r="AK30" s="97">
        <f t="shared" si="16"/>
        <v>2067503.7560000001</v>
      </c>
      <c r="AL30" s="97">
        <f t="shared" si="16"/>
        <v>2225633.0639999998</v>
      </c>
      <c r="AM30" s="97">
        <f t="shared" si="16"/>
        <v>2148785.176</v>
      </c>
      <c r="AN30" s="97">
        <f t="shared" si="16"/>
        <v>2104449.8560000001</v>
      </c>
      <c r="AO30" s="97">
        <f t="shared" si="16"/>
        <v>2416274.94</v>
      </c>
      <c r="AP30" s="97">
        <f t="shared" si="16"/>
        <v>2233022.284</v>
      </c>
      <c r="AQ30" s="97">
        <f t="shared" si="16"/>
        <v>2277357.6039999998</v>
      </c>
      <c r="AR30" s="98">
        <f>SUM(AF30:AQ30)</f>
        <v>26404245.971499998</v>
      </c>
    </row>
    <row r="31" spans="1:44" ht="6.6" customHeight="1"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</row>
    <row r="32" spans="1:44" s="248" customFormat="1" ht="15.75" thickBot="1">
      <c r="A32" s="248" t="s">
        <v>765</v>
      </c>
      <c r="B32" s="249">
        <f>B29+B30</f>
        <v>2494851.4658201998</v>
      </c>
      <c r="C32" s="249">
        <f t="shared" ref="C32:M32" si="17">C29+C30</f>
        <v>2259088.0037952997</v>
      </c>
      <c r="D32" s="249">
        <f t="shared" si="17"/>
        <v>2450879.3781634998</v>
      </c>
      <c r="E32" s="249">
        <f t="shared" si="17"/>
        <v>2235546.3389332998</v>
      </c>
      <c r="F32" s="249">
        <f t="shared" si="17"/>
        <v>2247544.2591056996</v>
      </c>
      <c r="G32" s="249">
        <f t="shared" si="17"/>
        <v>2198769.6915352</v>
      </c>
      <c r="H32" s="249">
        <f t="shared" si="17"/>
        <v>2424694.2520500002</v>
      </c>
      <c r="I32" s="249">
        <f t="shared" si="17"/>
        <v>2348705.2364483001</v>
      </c>
      <c r="J32" s="249">
        <f t="shared" si="17"/>
        <v>2298678.7569140499</v>
      </c>
      <c r="K32" s="249">
        <f t="shared" si="17"/>
        <v>2610856.13838665</v>
      </c>
      <c r="L32" s="249">
        <f t="shared" si="17"/>
        <v>2378626.8692485997</v>
      </c>
      <c r="M32" s="249">
        <f t="shared" si="17"/>
        <v>2429143.2367828502</v>
      </c>
      <c r="N32" s="250">
        <f>SUM(B32:M32)</f>
        <v>28377383.627183646</v>
      </c>
    </row>
    <row r="33" spans="1:15" ht="13.5" thickTop="1"/>
    <row r="34" spans="1:15" ht="49.1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5" ht="18">
      <c r="A35" s="219" t="s">
        <v>1311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5">
      <c r="A36" s="24"/>
      <c r="B36" s="16" t="str">
        <f>B17</f>
        <v>Jan</v>
      </c>
      <c r="C36" s="16" t="str">
        <f t="shared" ref="C36:M36" si="18">C17</f>
        <v>Feb</v>
      </c>
      <c r="D36" s="16" t="str">
        <f t="shared" si="18"/>
        <v>Mar</v>
      </c>
      <c r="E36" s="16" t="str">
        <f t="shared" si="18"/>
        <v>Apr</v>
      </c>
      <c r="F36" s="16" t="str">
        <f t="shared" si="18"/>
        <v>May</v>
      </c>
      <c r="G36" s="16" t="str">
        <f t="shared" si="18"/>
        <v>June</v>
      </c>
      <c r="H36" s="16" t="str">
        <f t="shared" si="18"/>
        <v>July</v>
      </c>
      <c r="I36" s="16" t="str">
        <f t="shared" si="18"/>
        <v>Aug</v>
      </c>
      <c r="J36" s="16" t="str">
        <f t="shared" si="18"/>
        <v>Sept</v>
      </c>
      <c r="K36" s="16" t="str">
        <f t="shared" si="18"/>
        <v>Oct</v>
      </c>
      <c r="L36" s="16" t="str">
        <f t="shared" si="18"/>
        <v>Nov</v>
      </c>
      <c r="M36" s="16" t="str">
        <f t="shared" si="18"/>
        <v>Dec</v>
      </c>
      <c r="N36" s="16" t="s">
        <v>755</v>
      </c>
    </row>
    <row r="37" spans="1:15">
      <c r="A37" s="108" t="s">
        <v>756</v>
      </c>
      <c r="B37" s="18">
        <f>B18</f>
        <v>31</v>
      </c>
      <c r="C37" s="18">
        <f t="shared" ref="C37:N37" si="19">C18</f>
        <v>28</v>
      </c>
      <c r="D37" s="18">
        <f t="shared" si="19"/>
        <v>31</v>
      </c>
      <c r="E37" s="18">
        <f t="shared" si="19"/>
        <v>30</v>
      </c>
      <c r="F37" s="18">
        <f t="shared" si="19"/>
        <v>31</v>
      </c>
      <c r="G37" s="18">
        <f t="shared" si="19"/>
        <v>30</v>
      </c>
      <c r="H37" s="18">
        <f t="shared" si="19"/>
        <v>31</v>
      </c>
      <c r="I37" s="18">
        <f t="shared" si="19"/>
        <v>31</v>
      </c>
      <c r="J37" s="18">
        <f t="shared" si="19"/>
        <v>30</v>
      </c>
      <c r="K37" s="18">
        <f t="shared" si="19"/>
        <v>31</v>
      </c>
      <c r="L37" s="18">
        <f t="shared" si="19"/>
        <v>30</v>
      </c>
      <c r="M37" s="18">
        <f t="shared" si="19"/>
        <v>31</v>
      </c>
      <c r="N37" s="18">
        <f t="shared" si="19"/>
        <v>365</v>
      </c>
      <c r="O37" s="99"/>
    </row>
    <row r="38" spans="1:15">
      <c r="A38" s="108" t="s">
        <v>221</v>
      </c>
      <c r="B38" s="18">
        <f t="shared" ref="B38:N41" si="20">B19</f>
        <v>27800</v>
      </c>
      <c r="C38" s="18">
        <f t="shared" si="20"/>
        <v>27800</v>
      </c>
      <c r="D38" s="18">
        <f t="shared" si="20"/>
        <v>27800</v>
      </c>
      <c r="E38" s="18">
        <f t="shared" si="20"/>
        <v>26000</v>
      </c>
      <c r="F38" s="18">
        <f t="shared" si="20"/>
        <v>26000</v>
      </c>
      <c r="G38" s="18">
        <f t="shared" si="20"/>
        <v>26000</v>
      </c>
      <c r="H38" s="18">
        <f t="shared" si="20"/>
        <v>26000</v>
      </c>
      <c r="I38" s="18">
        <f t="shared" si="20"/>
        <v>26000</v>
      </c>
      <c r="J38" s="18">
        <f t="shared" si="20"/>
        <v>26000</v>
      </c>
      <c r="K38" s="18">
        <f t="shared" si="20"/>
        <v>27800</v>
      </c>
      <c r="L38" s="18">
        <f t="shared" si="20"/>
        <v>27800</v>
      </c>
      <c r="M38" s="18">
        <f t="shared" si="20"/>
        <v>27800</v>
      </c>
      <c r="N38" s="18"/>
      <c r="O38" s="99"/>
    </row>
    <row r="39" spans="1:15">
      <c r="A39" s="108" t="s">
        <v>133</v>
      </c>
      <c r="B39" s="18">
        <f t="shared" si="20"/>
        <v>744</v>
      </c>
      <c r="C39" s="18">
        <f t="shared" si="20"/>
        <v>672</v>
      </c>
      <c r="D39" s="18">
        <f t="shared" si="20"/>
        <v>744</v>
      </c>
      <c r="E39" s="18">
        <f t="shared" si="20"/>
        <v>720</v>
      </c>
      <c r="F39" s="18">
        <f t="shared" si="20"/>
        <v>744</v>
      </c>
      <c r="G39" s="18">
        <f t="shared" si="20"/>
        <v>720</v>
      </c>
      <c r="H39" s="18">
        <f t="shared" si="20"/>
        <v>744</v>
      </c>
      <c r="I39" s="18">
        <f t="shared" si="20"/>
        <v>744</v>
      </c>
      <c r="J39" s="18">
        <f t="shared" si="20"/>
        <v>720</v>
      </c>
      <c r="K39" s="18">
        <f t="shared" si="20"/>
        <v>744</v>
      </c>
      <c r="L39" s="18">
        <f t="shared" si="20"/>
        <v>720</v>
      </c>
      <c r="M39" s="18">
        <f t="shared" si="20"/>
        <v>744</v>
      </c>
      <c r="N39" s="18">
        <f t="shared" si="20"/>
        <v>8760</v>
      </c>
      <c r="O39" s="99"/>
    </row>
    <row r="40" spans="1:15" ht="7.15" customHeight="1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99"/>
    </row>
    <row r="41" spans="1:15">
      <c r="A41" s="108" t="s">
        <v>220</v>
      </c>
      <c r="B41" s="18">
        <f t="shared" si="20"/>
        <v>15914178</v>
      </c>
      <c r="C41" s="18">
        <f t="shared" si="20"/>
        <v>14414117</v>
      </c>
      <c r="D41" s="18">
        <f t="shared" si="20"/>
        <v>15604015</v>
      </c>
      <c r="E41" s="18">
        <f t="shared" si="20"/>
        <v>14244937</v>
      </c>
      <c r="F41" s="18">
        <f t="shared" si="20"/>
        <v>14278773</v>
      </c>
      <c r="G41" s="18">
        <f t="shared" si="20"/>
        <v>13985528</v>
      </c>
      <c r="H41" s="18">
        <f t="shared" si="20"/>
        <v>15057000</v>
      </c>
      <c r="I41" s="18">
        <f t="shared" si="20"/>
        <v>14538182</v>
      </c>
      <c r="J41" s="18">
        <f t="shared" si="20"/>
        <v>14244937</v>
      </c>
      <c r="K41" s="18">
        <f t="shared" si="20"/>
        <v>16224341</v>
      </c>
      <c r="L41" s="18">
        <f t="shared" si="20"/>
        <v>14690444</v>
      </c>
      <c r="M41" s="18">
        <f t="shared" si="20"/>
        <v>14983689</v>
      </c>
      <c r="N41" s="18">
        <f t="shared" si="20"/>
        <v>178180141</v>
      </c>
      <c r="O41" s="99"/>
    </row>
    <row r="42" spans="1:15" ht="5.45" customHeight="1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99"/>
    </row>
    <row r="43" spans="1:15">
      <c r="A43" s="108" t="s">
        <v>759</v>
      </c>
      <c r="B43" s="100">
        <v>2.9899999999999999E-2</v>
      </c>
      <c r="C43" s="100">
        <f t="shared" ref="C43:C48" si="21">B43</f>
        <v>2.9899999999999999E-2</v>
      </c>
      <c r="D43" s="100">
        <f t="shared" ref="D43:M43" si="22">C43</f>
        <v>2.9899999999999999E-2</v>
      </c>
      <c r="E43" s="100">
        <f t="shared" si="22"/>
        <v>2.9899999999999999E-2</v>
      </c>
      <c r="F43" s="100">
        <f t="shared" si="22"/>
        <v>2.9899999999999999E-2</v>
      </c>
      <c r="G43" s="100">
        <f t="shared" si="22"/>
        <v>2.9899999999999999E-2</v>
      </c>
      <c r="H43" s="100">
        <f t="shared" si="22"/>
        <v>2.9899999999999999E-2</v>
      </c>
      <c r="I43" s="100">
        <f t="shared" si="22"/>
        <v>2.9899999999999999E-2</v>
      </c>
      <c r="J43" s="100">
        <f t="shared" si="22"/>
        <v>2.9899999999999999E-2</v>
      </c>
      <c r="K43" s="100">
        <f t="shared" si="22"/>
        <v>2.9899999999999999E-2</v>
      </c>
      <c r="L43" s="100">
        <f t="shared" si="22"/>
        <v>2.9899999999999999E-2</v>
      </c>
      <c r="M43" s="100">
        <f t="shared" si="22"/>
        <v>2.9899999999999999E-2</v>
      </c>
      <c r="N43" s="18"/>
      <c r="O43" s="99"/>
    </row>
    <row r="44" spans="1:15" s="101" customFormat="1" ht="15" customHeight="1">
      <c r="A44" s="101" t="s">
        <v>758</v>
      </c>
      <c r="B44" s="102">
        <v>6.13E-2</v>
      </c>
      <c r="C44" s="102">
        <f t="shared" si="21"/>
        <v>6.13E-2</v>
      </c>
      <c r="D44" s="102">
        <f>C44</f>
        <v>6.13E-2</v>
      </c>
      <c r="E44" s="102">
        <f t="shared" ref="E44:M44" si="23">D44</f>
        <v>6.13E-2</v>
      </c>
      <c r="F44" s="102">
        <f t="shared" si="23"/>
        <v>6.13E-2</v>
      </c>
      <c r="G44" s="102">
        <f t="shared" si="23"/>
        <v>6.13E-2</v>
      </c>
      <c r="H44" s="102">
        <f t="shared" si="23"/>
        <v>6.13E-2</v>
      </c>
      <c r="I44" s="102">
        <f t="shared" si="23"/>
        <v>6.13E-2</v>
      </c>
      <c r="J44" s="102">
        <f t="shared" si="23"/>
        <v>6.13E-2</v>
      </c>
      <c r="K44" s="102">
        <f t="shared" si="23"/>
        <v>6.13E-2</v>
      </c>
      <c r="L44" s="102">
        <f t="shared" si="23"/>
        <v>6.13E-2</v>
      </c>
      <c r="M44" s="102">
        <f t="shared" si="23"/>
        <v>6.13E-2</v>
      </c>
      <c r="N44" s="103"/>
      <c r="O44" s="104"/>
    </row>
    <row r="45" spans="1:15" s="101" customFormat="1" ht="15" customHeight="1">
      <c r="A45" s="101" t="s">
        <v>757</v>
      </c>
      <c r="B45" s="102">
        <v>0.505</v>
      </c>
      <c r="C45" s="102">
        <f t="shared" si="21"/>
        <v>0.505</v>
      </c>
      <c r="D45" s="102">
        <f>C45</f>
        <v>0.505</v>
      </c>
      <c r="E45" s="102">
        <f t="shared" ref="E45:M45" si="24">D45</f>
        <v>0.505</v>
      </c>
      <c r="F45" s="102">
        <f t="shared" si="24"/>
        <v>0.505</v>
      </c>
      <c r="G45" s="102">
        <f t="shared" si="24"/>
        <v>0.505</v>
      </c>
      <c r="H45" s="102">
        <f t="shared" si="24"/>
        <v>0.505</v>
      </c>
      <c r="I45" s="102">
        <f t="shared" si="24"/>
        <v>0.505</v>
      </c>
      <c r="J45" s="102">
        <f t="shared" si="24"/>
        <v>0.505</v>
      </c>
      <c r="K45" s="102">
        <f t="shared" si="24"/>
        <v>0.505</v>
      </c>
      <c r="L45" s="102">
        <f t="shared" si="24"/>
        <v>0.505</v>
      </c>
      <c r="M45" s="102">
        <f t="shared" si="24"/>
        <v>0.505</v>
      </c>
      <c r="N45" s="103"/>
      <c r="O45" s="104"/>
    </row>
    <row r="46" spans="1:15" s="101" customFormat="1" ht="15" customHeight="1">
      <c r="A46" s="101" t="str">
        <f>A26</f>
        <v>Calorific value factor</v>
      </c>
      <c r="B46" s="101">
        <f>B26</f>
        <v>1.0549999999999999</v>
      </c>
      <c r="C46" s="101">
        <f t="shared" si="21"/>
        <v>1.0549999999999999</v>
      </c>
      <c r="D46" s="101">
        <f t="shared" ref="D46:M46" si="25">C46</f>
        <v>1.0549999999999999</v>
      </c>
      <c r="E46" s="101">
        <f t="shared" si="25"/>
        <v>1.0549999999999999</v>
      </c>
      <c r="F46" s="101">
        <f t="shared" si="25"/>
        <v>1.0549999999999999</v>
      </c>
      <c r="G46" s="101">
        <f t="shared" si="25"/>
        <v>1.0549999999999999</v>
      </c>
      <c r="H46" s="101">
        <f t="shared" si="25"/>
        <v>1.0549999999999999</v>
      </c>
      <c r="I46" s="101">
        <f>H46</f>
        <v>1.0549999999999999</v>
      </c>
      <c r="J46" s="101">
        <f t="shared" si="25"/>
        <v>1.0549999999999999</v>
      </c>
      <c r="K46" s="101">
        <f t="shared" si="25"/>
        <v>1.0549999999999999</v>
      </c>
      <c r="L46" s="101">
        <f t="shared" si="25"/>
        <v>1.0549999999999999</v>
      </c>
      <c r="M46" s="101">
        <f t="shared" si="25"/>
        <v>1.0549999999999999</v>
      </c>
      <c r="N46" s="103"/>
      <c r="O46" s="104"/>
    </row>
    <row r="47" spans="1:15">
      <c r="A47" s="107" t="s">
        <v>760</v>
      </c>
      <c r="B47" s="100">
        <f>B44*B46</f>
        <v>6.4671499999999993E-2</v>
      </c>
      <c r="C47" s="100">
        <f t="shared" si="21"/>
        <v>6.4671499999999993E-2</v>
      </c>
      <c r="D47" s="100">
        <f t="shared" ref="D47:M47" si="26">C47</f>
        <v>6.4671499999999993E-2</v>
      </c>
      <c r="E47" s="100">
        <f t="shared" si="26"/>
        <v>6.4671499999999993E-2</v>
      </c>
      <c r="F47" s="100">
        <f t="shared" si="26"/>
        <v>6.4671499999999993E-2</v>
      </c>
      <c r="G47" s="100">
        <f t="shared" si="26"/>
        <v>6.4671499999999993E-2</v>
      </c>
      <c r="H47" s="100">
        <f t="shared" si="26"/>
        <v>6.4671499999999993E-2</v>
      </c>
      <c r="I47" s="100">
        <f t="shared" si="26"/>
        <v>6.4671499999999993E-2</v>
      </c>
      <c r="J47" s="100">
        <f t="shared" si="26"/>
        <v>6.4671499999999993E-2</v>
      </c>
      <c r="K47" s="100">
        <f t="shared" si="26"/>
        <v>6.4671499999999993E-2</v>
      </c>
      <c r="L47" s="100">
        <f t="shared" si="26"/>
        <v>6.4671499999999993E-2</v>
      </c>
      <c r="M47" s="100">
        <f t="shared" si="26"/>
        <v>6.4671499999999993E-2</v>
      </c>
      <c r="N47" s="18"/>
      <c r="O47" s="99"/>
    </row>
    <row r="48" spans="1:15">
      <c r="A48" s="108" t="s">
        <v>761</v>
      </c>
      <c r="B48" s="100">
        <f>B45*B46</f>
        <v>0.532775</v>
      </c>
      <c r="C48" s="100">
        <f t="shared" si="21"/>
        <v>0.532775</v>
      </c>
      <c r="D48" s="100">
        <f t="shared" ref="D48:M48" si="27">C48</f>
        <v>0.532775</v>
      </c>
      <c r="E48" s="100">
        <f t="shared" si="27"/>
        <v>0.532775</v>
      </c>
      <c r="F48" s="100">
        <f t="shared" si="27"/>
        <v>0.532775</v>
      </c>
      <c r="G48" s="100">
        <f t="shared" si="27"/>
        <v>0.532775</v>
      </c>
      <c r="H48" s="100">
        <f t="shared" si="27"/>
        <v>0.532775</v>
      </c>
      <c r="I48" s="100">
        <f t="shared" si="27"/>
        <v>0.532775</v>
      </c>
      <c r="J48" s="100">
        <f t="shared" si="27"/>
        <v>0.532775</v>
      </c>
      <c r="K48" s="100">
        <f t="shared" si="27"/>
        <v>0.532775</v>
      </c>
      <c r="L48" s="100">
        <f t="shared" si="27"/>
        <v>0.532775</v>
      </c>
      <c r="M48" s="100">
        <f t="shared" si="27"/>
        <v>0.532775</v>
      </c>
      <c r="N48" s="16"/>
    </row>
    <row r="49" spans="1:14" s="126" customFormat="1">
      <c r="A49" s="126" t="s">
        <v>764</v>
      </c>
      <c r="B49" s="106">
        <v>245.8</v>
      </c>
      <c r="C49" s="106">
        <f>B49</f>
        <v>245.8</v>
      </c>
      <c r="D49" s="106">
        <f t="shared" ref="D49:M49" si="28">C49</f>
        <v>245.8</v>
      </c>
      <c r="E49" s="106">
        <f t="shared" si="28"/>
        <v>245.8</v>
      </c>
      <c r="F49" s="106">
        <f t="shared" si="28"/>
        <v>245.8</v>
      </c>
      <c r="G49" s="106">
        <f t="shared" si="28"/>
        <v>245.8</v>
      </c>
      <c r="H49" s="106">
        <f t="shared" si="28"/>
        <v>245.8</v>
      </c>
      <c r="I49" s="106">
        <f t="shared" si="28"/>
        <v>245.8</v>
      </c>
      <c r="J49" s="106">
        <f t="shared" si="28"/>
        <v>245.8</v>
      </c>
      <c r="K49" s="106">
        <f t="shared" si="28"/>
        <v>245.8</v>
      </c>
      <c r="L49" s="106">
        <f t="shared" si="28"/>
        <v>245.8</v>
      </c>
      <c r="M49" s="106">
        <f t="shared" si="28"/>
        <v>245.8</v>
      </c>
      <c r="N49" s="105"/>
    </row>
    <row r="50" spans="1:14" s="126" customFormat="1"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5"/>
    </row>
    <row r="51" spans="1:14" s="126" customFormat="1">
      <c r="A51" s="126" t="s">
        <v>762</v>
      </c>
      <c r="B51" s="106">
        <f>B39*B38*B43+B49</f>
        <v>618673.48</v>
      </c>
      <c r="C51" s="106">
        <f>C39*C38*C43+C49</f>
        <v>558825.64</v>
      </c>
      <c r="D51" s="106">
        <f t="shared" ref="D51:M51" si="29">D39*D38*D43+D49</f>
        <v>618673.48</v>
      </c>
      <c r="E51" s="106">
        <f t="shared" si="29"/>
        <v>559973.80000000005</v>
      </c>
      <c r="F51" s="106">
        <f t="shared" si="29"/>
        <v>578631.4</v>
      </c>
      <c r="G51" s="106">
        <f t="shared" si="29"/>
        <v>559973.80000000005</v>
      </c>
      <c r="H51" s="106">
        <f t="shared" si="29"/>
        <v>578631.4</v>
      </c>
      <c r="I51" s="106">
        <f t="shared" si="29"/>
        <v>578631.4</v>
      </c>
      <c r="J51" s="106">
        <f t="shared" si="29"/>
        <v>559973.80000000005</v>
      </c>
      <c r="K51" s="106">
        <f t="shared" si="29"/>
        <v>618673.48</v>
      </c>
      <c r="L51" s="106">
        <f t="shared" si="29"/>
        <v>598724.20000000007</v>
      </c>
      <c r="M51" s="106">
        <f t="shared" si="29"/>
        <v>618673.48</v>
      </c>
      <c r="N51" s="105"/>
    </row>
    <row r="52" spans="1:14" s="126" customFormat="1">
      <c r="A52" s="126" t="s">
        <v>763</v>
      </c>
      <c r="B52" s="106">
        <f>B41*B48+B47*B41</f>
        <v>9507869.9464769997</v>
      </c>
      <c r="C52" s="106">
        <f t="shared" ref="C52:M52" si="30">C41*C48+C47*C41</f>
        <v>8611663.7522404995</v>
      </c>
      <c r="D52" s="106">
        <f t="shared" si="30"/>
        <v>9322564.1476975009</v>
      </c>
      <c r="E52" s="106">
        <f t="shared" si="30"/>
        <v>8510587.7533704992</v>
      </c>
      <c r="F52" s="106">
        <f t="shared" si="30"/>
        <v>8530802.9531445</v>
      </c>
      <c r="G52" s="106">
        <f t="shared" si="30"/>
        <v>8355604.7542519998</v>
      </c>
      <c r="H52" s="106">
        <f t="shared" si="30"/>
        <v>8995751.9505000003</v>
      </c>
      <c r="I52" s="106">
        <f t="shared" si="30"/>
        <v>8685785.9522629995</v>
      </c>
      <c r="J52" s="106">
        <f t="shared" si="30"/>
        <v>8510587.7533704992</v>
      </c>
      <c r="K52" s="106">
        <f t="shared" si="30"/>
        <v>9693175.7452564985</v>
      </c>
      <c r="L52" s="106">
        <f t="shared" si="30"/>
        <v>8776754.3512459993</v>
      </c>
      <c r="M52" s="106">
        <f t="shared" si="30"/>
        <v>8951952.5501384996</v>
      </c>
      <c r="N52" s="105"/>
    </row>
    <row r="53" spans="1:14"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6"/>
    </row>
    <row r="54" spans="1:14" s="254" customFormat="1" ht="15">
      <c r="A54" s="251" t="s">
        <v>766</v>
      </c>
      <c r="B54" s="252">
        <f>B51+B52</f>
        <v>10126543.426477</v>
      </c>
      <c r="C54" s="252">
        <f t="shared" ref="C54:M54" si="31">C51+C52</f>
        <v>9170489.3922405001</v>
      </c>
      <c r="D54" s="252">
        <f t="shared" si="31"/>
        <v>9941237.6276975013</v>
      </c>
      <c r="E54" s="252">
        <f t="shared" si="31"/>
        <v>9070561.5533705</v>
      </c>
      <c r="F54" s="252">
        <f t="shared" si="31"/>
        <v>9109434.3531445004</v>
      </c>
      <c r="G54" s="252">
        <f t="shared" si="31"/>
        <v>8915578.5542520005</v>
      </c>
      <c r="H54" s="252">
        <f t="shared" si="31"/>
        <v>9574383.3505000006</v>
      </c>
      <c r="I54" s="252">
        <f t="shared" si="31"/>
        <v>9264417.3522629999</v>
      </c>
      <c r="J54" s="252">
        <f t="shared" si="31"/>
        <v>9070561.5533705</v>
      </c>
      <c r="K54" s="252">
        <f t="shared" si="31"/>
        <v>10311849.225256499</v>
      </c>
      <c r="L54" s="252">
        <f t="shared" si="31"/>
        <v>9375478.5512459986</v>
      </c>
      <c r="M54" s="252">
        <f t="shared" si="31"/>
        <v>9570626.0301385</v>
      </c>
      <c r="N54" s="253">
        <f>SUM(B54:M54)</f>
        <v>113501160.96995652</v>
      </c>
    </row>
    <row r="55" spans="1:14" s="258" customFormat="1" ht="15.75" thickBot="1">
      <c r="A55" s="255" t="s">
        <v>767</v>
      </c>
      <c r="B55" s="256">
        <f>B54/Factors!C11</f>
        <v>2353140.5235623075</v>
      </c>
      <c r="C55" s="256">
        <f>C54/Factors!D11</f>
        <v>2128003.843680033</v>
      </c>
      <c r="D55" s="256">
        <f>D54/Factors!E11</f>
        <v>2303639.1910566813</v>
      </c>
      <c r="E55" s="256">
        <f>E54/Factors!F11</f>
        <v>2098955.0140589573</v>
      </c>
      <c r="F55" s="256">
        <f>F54/Factors!G11</f>
        <v>2105019.6798388609</v>
      </c>
      <c r="G55" s="256">
        <f>G54/Factors!H11</f>
        <v>2057362.9490711489</v>
      </c>
      <c r="H55" s="256">
        <f>H54/Factors!I11</f>
        <v>2206325.9164990643</v>
      </c>
      <c r="I55" s="256">
        <f>I54/Factors!J11</f>
        <v>2131941.4377888385</v>
      </c>
      <c r="J55" s="256">
        <f>J54/Factors!K11</f>
        <v>2084445.1532072751</v>
      </c>
      <c r="K55" s="256">
        <f>K54/Factors!L11</f>
        <v>2366425.4092026316</v>
      </c>
      <c r="L55" s="256">
        <f>L54/Factors!M11</f>
        <v>2148574.9401154537</v>
      </c>
      <c r="M55" s="256">
        <f>M54/Factors!N11</f>
        <v>2190276.9338972927</v>
      </c>
      <c r="N55" s="257">
        <f>SUM(B55:M55)</f>
        <v>26174110.991978541</v>
      </c>
    </row>
    <row r="56" spans="1:14" ht="13.5" thickTop="1">
      <c r="A56" s="28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24"/>
    </row>
    <row r="57" spans="1:14">
      <c r="A57" s="28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24"/>
    </row>
    <row r="58" spans="1:14">
      <c r="A58" s="29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24"/>
    </row>
    <row r="59" spans="1:14" ht="13.5">
      <c r="A59" s="30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24"/>
    </row>
    <row r="60" spans="1:14">
      <c r="A60" s="2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</row>
    <row r="61" spans="1:14">
      <c r="A61" s="31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4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</row>
    <row r="63" spans="1:14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</row>
    <row r="64" spans="1:1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  <row r="65" spans="1:14">
      <c r="A65" s="32"/>
      <c r="B65" s="3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</row>
    <row r="66" spans="1:14">
      <c r="A66" s="32"/>
      <c r="B66" s="3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</row>
    <row r="67" spans="1:14">
      <c r="A67" s="32"/>
      <c r="B67" s="3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 spans="1:14">
      <c r="A68" s="32"/>
      <c r="B68" s="3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 spans="1:14">
      <c r="A69" s="32"/>
      <c r="B69" s="3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 spans="1:14">
      <c r="A70" s="32"/>
      <c r="B70" s="32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 spans="1:14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</row>
    <row r="72" spans="1:14">
      <c r="A72" s="32"/>
      <c r="B72" s="32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</row>
    <row r="73" spans="1:14">
      <c r="A73" s="29"/>
      <c r="B73" s="29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 spans="1:14">
      <c r="A74" s="33"/>
      <c r="B74" s="3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>
      <c r="A75" s="33"/>
      <c r="B75" s="3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</row>
    <row r="76" spans="1:14" ht="14.25">
      <c r="A76" s="34"/>
      <c r="B76" s="3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 spans="1:14" ht="14.25">
      <c r="A77" s="34"/>
      <c r="B77" s="3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1:14" ht="14.25">
      <c r="A78" s="34"/>
      <c r="B78" s="3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</row>
    <row r="79" spans="1:1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</row>
    <row r="80" spans="1:14" ht="14.25">
      <c r="A80" s="34"/>
      <c r="B80" s="3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</row>
    <row r="81" spans="1:14" ht="14.25">
      <c r="A81" s="34"/>
      <c r="B81" s="3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</sheetData>
  <mergeCells count="1">
    <mergeCell ref="B6:B7"/>
  </mergeCells>
  <pageMargins left="0.39370078740157483" right="0.39370078740157483" top="0.39370078740157483" bottom="0.39370078740157483" header="0.51181102362204722" footer="0.51181102362204722"/>
  <pageSetup scale="60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S163"/>
  <sheetViews>
    <sheetView view="pageBreakPreview" topLeftCell="B1" zoomScale="75" zoomScaleNormal="75" workbookViewId="0">
      <selection activeCell="C7" sqref="C7:C13"/>
    </sheetView>
  </sheetViews>
  <sheetFormatPr defaultRowHeight="12.75"/>
  <cols>
    <col min="1" max="1" width="0" hidden="1" customWidth="1"/>
    <col min="2" max="2" width="34.7109375" customWidth="1"/>
    <col min="3" max="14" width="10.42578125" bestFit="1" customWidth="1"/>
    <col min="15" max="15" width="19.5703125" customWidth="1"/>
    <col min="17" max="17" width="24.28515625" customWidth="1"/>
    <col min="30" max="30" width="10.42578125" customWidth="1"/>
    <col min="32" max="32" width="24.5703125" customWidth="1"/>
    <col min="45" max="45" width="10.85546875" customWidth="1"/>
  </cols>
  <sheetData>
    <row r="1" spans="1:45">
      <c r="B1" s="2" t="s">
        <v>609</v>
      </c>
      <c r="Q1" s="2" t="s">
        <v>610</v>
      </c>
      <c r="AF1" s="2" t="s">
        <v>610</v>
      </c>
    </row>
    <row r="2" spans="1:45" ht="20.25">
      <c r="B2" s="111" t="s">
        <v>1314</v>
      </c>
      <c r="Q2" s="2"/>
      <c r="AF2" s="2"/>
    </row>
    <row r="3" spans="1:45" ht="18">
      <c r="B3" s="218" t="s">
        <v>1315</v>
      </c>
    </row>
    <row r="4" spans="1:45" ht="30" customHeight="1">
      <c r="Q4" t="s">
        <v>129</v>
      </c>
      <c r="AF4" t="s">
        <v>129</v>
      </c>
    </row>
    <row r="5" spans="1:45">
      <c r="C5" s="16" t="s">
        <v>50</v>
      </c>
      <c r="D5" s="16" t="s">
        <v>51</v>
      </c>
      <c r="E5" s="16" t="s">
        <v>52</v>
      </c>
      <c r="F5" s="16" t="s">
        <v>53</v>
      </c>
      <c r="G5" s="16" t="s">
        <v>54</v>
      </c>
      <c r="H5" s="16" t="s">
        <v>55</v>
      </c>
      <c r="I5" s="16" t="s">
        <v>56</v>
      </c>
      <c r="J5" s="16" t="s">
        <v>57</v>
      </c>
      <c r="K5" s="16" t="s">
        <v>58</v>
      </c>
      <c r="L5" s="16" t="s">
        <v>59</v>
      </c>
      <c r="M5" s="16" t="s">
        <v>60</v>
      </c>
      <c r="N5" s="16" t="s">
        <v>61</v>
      </c>
      <c r="O5" s="1" t="s">
        <v>97</v>
      </c>
      <c r="R5" s="16" t="s">
        <v>50</v>
      </c>
      <c r="S5" s="16" t="s">
        <v>51</v>
      </c>
      <c r="T5" s="16" t="s">
        <v>52</v>
      </c>
      <c r="U5" s="16" t="s">
        <v>53</v>
      </c>
      <c r="V5" s="16" t="s">
        <v>54</v>
      </c>
      <c r="W5" s="16" t="s">
        <v>55</v>
      </c>
      <c r="X5" s="16" t="s">
        <v>56</v>
      </c>
      <c r="Y5" s="16" t="s">
        <v>57</v>
      </c>
      <c r="Z5" s="16" t="s">
        <v>58</v>
      </c>
      <c r="AA5" s="16" t="s">
        <v>59</v>
      </c>
      <c r="AB5" s="16" t="s">
        <v>60</v>
      </c>
      <c r="AC5" s="16" t="s">
        <v>61</v>
      </c>
      <c r="AD5" t="s">
        <v>596</v>
      </c>
      <c r="AG5" s="16" t="s">
        <v>50</v>
      </c>
      <c r="AH5" s="16" t="s">
        <v>51</v>
      </c>
      <c r="AI5" s="16" t="s">
        <v>52</v>
      </c>
      <c r="AJ5" s="16" t="s">
        <v>53</v>
      </c>
      <c r="AK5" s="16" t="s">
        <v>54</v>
      </c>
      <c r="AL5" s="16" t="s">
        <v>55</v>
      </c>
      <c r="AM5" s="16" t="s">
        <v>56</v>
      </c>
      <c r="AN5" s="16" t="s">
        <v>57</v>
      </c>
      <c r="AO5" s="16" t="s">
        <v>58</v>
      </c>
      <c r="AP5" s="16" t="s">
        <v>59</v>
      </c>
      <c r="AQ5" s="16" t="s">
        <v>60</v>
      </c>
      <c r="AR5" s="16" t="s">
        <v>61</v>
      </c>
      <c r="AS5" t="s">
        <v>596</v>
      </c>
    </row>
    <row r="6" spans="1:45" ht="5.45" customHeight="1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5">
      <c r="A7" s="56" t="s">
        <v>231</v>
      </c>
      <c r="B7" s="57" t="s">
        <v>1316</v>
      </c>
      <c r="C7" s="17">
        <v>29358</v>
      </c>
      <c r="D7" s="17">
        <f>C7</f>
        <v>29358</v>
      </c>
      <c r="E7" s="17">
        <f t="shared" ref="E7:N7" si="0">D7</f>
        <v>29358</v>
      </c>
      <c r="F7" s="17">
        <f t="shared" si="0"/>
        <v>29358</v>
      </c>
      <c r="G7" s="17">
        <f t="shared" si="0"/>
        <v>29358</v>
      </c>
      <c r="H7" s="17">
        <f t="shared" si="0"/>
        <v>29358</v>
      </c>
      <c r="I7" s="17">
        <f t="shared" si="0"/>
        <v>29358</v>
      </c>
      <c r="J7" s="17">
        <f t="shared" si="0"/>
        <v>29358</v>
      </c>
      <c r="K7" s="17">
        <f t="shared" si="0"/>
        <v>29358</v>
      </c>
      <c r="L7" s="17">
        <f t="shared" si="0"/>
        <v>29358</v>
      </c>
      <c r="M7" s="17">
        <f t="shared" si="0"/>
        <v>29358</v>
      </c>
      <c r="N7" s="17">
        <f t="shared" si="0"/>
        <v>29358</v>
      </c>
      <c r="O7" s="3">
        <f t="shared" ref="O7:O12" si="1">SUM(C7:N7)</f>
        <v>352296</v>
      </c>
      <c r="P7" s="3"/>
      <c r="Q7" s="57" t="s">
        <v>232</v>
      </c>
      <c r="R7" s="17">
        <v>36442</v>
      </c>
      <c r="S7" s="17">
        <v>36442</v>
      </c>
      <c r="T7" s="17">
        <v>36442</v>
      </c>
      <c r="U7" s="17">
        <v>36442</v>
      </c>
      <c r="V7" s="17">
        <v>36442</v>
      </c>
      <c r="W7" s="17">
        <v>36442</v>
      </c>
      <c r="X7" s="17">
        <v>36442</v>
      </c>
      <c r="Y7" s="17">
        <v>36442</v>
      </c>
      <c r="Z7" s="17">
        <v>36442</v>
      </c>
      <c r="AA7" s="17">
        <v>36442</v>
      </c>
      <c r="AB7" s="17">
        <v>36442</v>
      </c>
      <c r="AC7" s="17">
        <v>36442</v>
      </c>
      <c r="AD7" s="3">
        <f t="shared" ref="AD7:AD13" si="2">SUM(R7:AC7)</f>
        <v>437304</v>
      </c>
      <c r="AF7" s="57" t="s">
        <v>232</v>
      </c>
      <c r="AG7" s="17">
        <v>36442</v>
      </c>
      <c r="AH7" s="17">
        <v>36442</v>
      </c>
      <c r="AI7" s="17">
        <v>36442</v>
      </c>
      <c r="AJ7" s="17">
        <v>36442</v>
      </c>
      <c r="AK7" s="17">
        <v>36442</v>
      </c>
      <c r="AL7" s="17">
        <v>36442</v>
      </c>
      <c r="AM7" s="17">
        <v>36442</v>
      </c>
      <c r="AN7" s="17">
        <v>36442</v>
      </c>
      <c r="AO7" s="17">
        <v>36442</v>
      </c>
      <c r="AP7" s="17">
        <v>36442</v>
      </c>
      <c r="AQ7" s="17">
        <v>36442</v>
      </c>
      <c r="AR7" s="17">
        <v>36442</v>
      </c>
      <c r="AS7" s="3">
        <f t="shared" ref="AS7:AS13" si="3">SUM(AG7:AR7)</f>
        <v>437304</v>
      </c>
    </row>
    <row r="8" spans="1:45">
      <c r="A8" s="56" t="s">
        <v>234</v>
      </c>
      <c r="B8" s="57" t="s">
        <v>568</v>
      </c>
      <c r="C8" s="17">
        <v>125000</v>
      </c>
      <c r="D8" s="3">
        <v>115000</v>
      </c>
      <c r="E8" s="3">
        <f t="shared" ref="E8:M8" si="4">D8</f>
        <v>115000</v>
      </c>
      <c r="F8" s="3">
        <v>120000</v>
      </c>
      <c r="G8" s="3">
        <f t="shared" si="4"/>
        <v>120000</v>
      </c>
      <c r="H8" s="3">
        <v>130000</v>
      </c>
      <c r="I8" s="3">
        <f t="shared" si="4"/>
        <v>130000</v>
      </c>
      <c r="J8" s="3">
        <f t="shared" si="4"/>
        <v>130000</v>
      </c>
      <c r="K8" s="3">
        <f t="shared" si="4"/>
        <v>130000</v>
      </c>
      <c r="L8" s="3">
        <v>125000</v>
      </c>
      <c r="M8" s="3">
        <f t="shared" si="4"/>
        <v>125000</v>
      </c>
      <c r="N8" s="3">
        <v>120000</v>
      </c>
      <c r="O8" s="3">
        <f t="shared" si="1"/>
        <v>1485000</v>
      </c>
      <c r="P8" s="3"/>
      <c r="Q8" s="57" t="s">
        <v>235</v>
      </c>
      <c r="R8" s="17">
        <f>C8*Factors!$R$16</f>
        <v>130000</v>
      </c>
      <c r="S8" s="17">
        <f>D8*Factors!$R$16</f>
        <v>119600</v>
      </c>
      <c r="T8" s="17">
        <f>E8*Factors!$R$16</f>
        <v>119600</v>
      </c>
      <c r="U8" s="17">
        <f>F8*Factors!$R$16</f>
        <v>124800</v>
      </c>
      <c r="V8" s="17">
        <f>G8*Factors!$R$16</f>
        <v>124800</v>
      </c>
      <c r="W8" s="17">
        <f>H8*Factors!$R$16</f>
        <v>135200</v>
      </c>
      <c r="X8" s="17">
        <f>I8*Factors!$R$16</f>
        <v>135200</v>
      </c>
      <c r="Y8" s="17">
        <f>J8*Factors!$R$16</f>
        <v>135200</v>
      </c>
      <c r="Z8" s="17">
        <f>K8*Factors!$R$16</f>
        <v>135200</v>
      </c>
      <c r="AA8" s="17">
        <f>L8*Factors!$R$16</f>
        <v>130000</v>
      </c>
      <c r="AB8" s="17">
        <f>M8*Factors!$R$16</f>
        <v>130000</v>
      </c>
      <c r="AC8" s="17">
        <f>N8*Factors!$R$16</f>
        <v>124800</v>
      </c>
      <c r="AD8" s="3">
        <f t="shared" si="2"/>
        <v>1544400</v>
      </c>
      <c r="AF8" s="57" t="s">
        <v>235</v>
      </c>
      <c r="AG8" s="17">
        <f>R8*Factors!$AG$16</f>
        <v>137800</v>
      </c>
      <c r="AH8" s="17">
        <f>S8*Factors!$AG$16</f>
        <v>126776</v>
      </c>
      <c r="AI8" s="17">
        <f>T8*Factors!$AG$16</f>
        <v>126776</v>
      </c>
      <c r="AJ8" s="17">
        <f>U8*Factors!$AG$16</f>
        <v>132288</v>
      </c>
      <c r="AK8" s="17">
        <f>V8*Factors!$AG$16</f>
        <v>132288</v>
      </c>
      <c r="AL8" s="17">
        <f>W8*Factors!$AG$16</f>
        <v>143312</v>
      </c>
      <c r="AM8" s="17">
        <f>X8*Factors!$AG$16</f>
        <v>143312</v>
      </c>
      <c r="AN8" s="17">
        <f>Y8*Factors!$AG$16</f>
        <v>143312</v>
      </c>
      <c r="AO8" s="17">
        <f>Z8*Factors!$AG$16</f>
        <v>143312</v>
      </c>
      <c r="AP8" s="17">
        <f>AA8*Factors!$AG$16</f>
        <v>137800</v>
      </c>
      <c r="AQ8" s="17">
        <f>AB8*Factors!$AG$16</f>
        <v>137800</v>
      </c>
      <c r="AR8" s="17">
        <f>AC8*Factors!$AG$16</f>
        <v>132288</v>
      </c>
      <c r="AS8" s="3">
        <f t="shared" si="3"/>
        <v>1637064</v>
      </c>
    </row>
    <row r="9" spans="1:45">
      <c r="A9" s="56" t="s">
        <v>236</v>
      </c>
      <c r="B9" s="57" t="s">
        <v>1317</v>
      </c>
      <c r="C9" s="17">
        <v>20000</v>
      </c>
      <c r="D9" s="3">
        <f t="shared" ref="D9:N9" si="5">C9</f>
        <v>20000</v>
      </c>
      <c r="E9" s="3">
        <f t="shared" si="5"/>
        <v>20000</v>
      </c>
      <c r="F9" s="3">
        <f t="shared" si="5"/>
        <v>20000</v>
      </c>
      <c r="G9" s="3">
        <f t="shared" si="5"/>
        <v>20000</v>
      </c>
      <c r="H9" s="3">
        <f t="shared" si="5"/>
        <v>20000</v>
      </c>
      <c r="I9" s="3">
        <f t="shared" si="5"/>
        <v>20000</v>
      </c>
      <c r="J9" s="3">
        <f t="shared" si="5"/>
        <v>20000</v>
      </c>
      <c r="K9" s="3">
        <f t="shared" si="5"/>
        <v>20000</v>
      </c>
      <c r="L9" s="3">
        <f t="shared" si="5"/>
        <v>20000</v>
      </c>
      <c r="M9" s="3">
        <f t="shared" si="5"/>
        <v>20000</v>
      </c>
      <c r="N9" s="3">
        <f t="shared" si="5"/>
        <v>20000</v>
      </c>
      <c r="O9" s="3">
        <f t="shared" si="1"/>
        <v>240000</v>
      </c>
      <c r="P9" s="3"/>
      <c r="Q9" s="57" t="s">
        <v>237</v>
      </c>
      <c r="R9" s="17">
        <f>C9*Factors!$R$16</f>
        <v>20800</v>
      </c>
      <c r="S9" s="17">
        <f>D9*Factors!$R$16</f>
        <v>20800</v>
      </c>
      <c r="T9" s="17">
        <f>E9*Factors!$R$16</f>
        <v>20800</v>
      </c>
      <c r="U9" s="17">
        <f>F9*Factors!$R$16</f>
        <v>20800</v>
      </c>
      <c r="V9" s="17">
        <f>G9*Factors!$R$16</f>
        <v>20800</v>
      </c>
      <c r="W9" s="17">
        <f>H9*Factors!$R$16</f>
        <v>20800</v>
      </c>
      <c r="X9" s="17">
        <f>I9*Factors!$R$16</f>
        <v>20800</v>
      </c>
      <c r="Y9" s="17">
        <f>J9*Factors!$R$16</f>
        <v>20800</v>
      </c>
      <c r="Z9" s="17">
        <f>K9*Factors!$R$16</f>
        <v>20800</v>
      </c>
      <c r="AA9" s="17">
        <f>L9*Factors!$R$16</f>
        <v>20800</v>
      </c>
      <c r="AB9" s="17">
        <f>M9*Factors!$R$16</f>
        <v>20800</v>
      </c>
      <c r="AC9" s="17">
        <f>N9*Factors!$R$16</f>
        <v>20800</v>
      </c>
      <c r="AD9" s="3">
        <f t="shared" si="2"/>
        <v>249600</v>
      </c>
      <c r="AF9" s="57" t="s">
        <v>237</v>
      </c>
      <c r="AG9" s="17">
        <f>R9*Factors!$AG$16</f>
        <v>22048</v>
      </c>
      <c r="AH9" s="17">
        <f>S9*Factors!$AG$16</f>
        <v>22048</v>
      </c>
      <c r="AI9" s="17">
        <f>T9*Factors!$AG$16</f>
        <v>22048</v>
      </c>
      <c r="AJ9" s="17">
        <f>U9*Factors!$AG$16</f>
        <v>22048</v>
      </c>
      <c r="AK9" s="17">
        <f>V9*Factors!$AG$16</f>
        <v>22048</v>
      </c>
      <c r="AL9" s="17">
        <f>W9*Factors!$AG$16</f>
        <v>22048</v>
      </c>
      <c r="AM9" s="17">
        <f>X9*Factors!$AG$16</f>
        <v>22048</v>
      </c>
      <c r="AN9" s="17">
        <f>Y9*Factors!$AG$16</f>
        <v>22048</v>
      </c>
      <c r="AO9" s="17">
        <f>Z9*Factors!$AG$16</f>
        <v>22048</v>
      </c>
      <c r="AP9" s="17">
        <f>AA9*Factors!$AG$16</f>
        <v>22048</v>
      </c>
      <c r="AQ9" s="17">
        <f>AB9*Factors!$AG$16</f>
        <v>22048</v>
      </c>
      <c r="AR9" s="17">
        <f>AC9*Factors!$AG$16</f>
        <v>22048</v>
      </c>
      <c r="AS9" s="3">
        <f t="shared" si="3"/>
        <v>264576</v>
      </c>
    </row>
    <row r="10" spans="1:45">
      <c r="A10" s="56" t="s">
        <v>238</v>
      </c>
      <c r="B10" s="57" t="s">
        <v>1318</v>
      </c>
      <c r="C10" s="17">
        <v>10000</v>
      </c>
      <c r="D10" s="3">
        <f t="shared" ref="D10:N10" si="6">C10</f>
        <v>10000</v>
      </c>
      <c r="E10" s="3">
        <f t="shared" si="6"/>
        <v>10000</v>
      </c>
      <c r="F10" s="3">
        <f t="shared" si="6"/>
        <v>10000</v>
      </c>
      <c r="G10" s="3">
        <f t="shared" si="6"/>
        <v>10000</v>
      </c>
      <c r="H10" s="3">
        <f t="shared" si="6"/>
        <v>10000</v>
      </c>
      <c r="I10" s="3">
        <f t="shared" si="6"/>
        <v>10000</v>
      </c>
      <c r="J10" s="3">
        <f t="shared" si="6"/>
        <v>10000</v>
      </c>
      <c r="K10" s="3">
        <f t="shared" si="6"/>
        <v>10000</v>
      </c>
      <c r="L10" s="3">
        <f t="shared" si="6"/>
        <v>10000</v>
      </c>
      <c r="M10" s="3">
        <f t="shared" si="6"/>
        <v>10000</v>
      </c>
      <c r="N10" s="3">
        <f t="shared" si="6"/>
        <v>10000</v>
      </c>
      <c r="O10" s="3">
        <f t="shared" si="1"/>
        <v>120000</v>
      </c>
      <c r="P10" s="3"/>
      <c r="Q10" s="57" t="s">
        <v>239</v>
      </c>
      <c r="R10" s="17">
        <f>C10*Factors!$R$16</f>
        <v>10400</v>
      </c>
      <c r="S10" s="17">
        <f>D10*Factors!$R$16</f>
        <v>10400</v>
      </c>
      <c r="T10" s="17">
        <f>E10*Factors!$R$16</f>
        <v>10400</v>
      </c>
      <c r="U10" s="17">
        <f>F10*Factors!$R$16</f>
        <v>10400</v>
      </c>
      <c r="V10" s="17">
        <f>G10*Factors!$R$16</f>
        <v>10400</v>
      </c>
      <c r="W10" s="17">
        <f>H10*Factors!$R$16</f>
        <v>10400</v>
      </c>
      <c r="X10" s="17">
        <f>I10*Factors!$R$16</f>
        <v>10400</v>
      </c>
      <c r="Y10" s="17">
        <f>J10*Factors!$R$16</f>
        <v>10400</v>
      </c>
      <c r="Z10" s="17">
        <f>K10*Factors!$R$16</f>
        <v>10400</v>
      </c>
      <c r="AA10" s="17">
        <f>L10*Factors!$R$16</f>
        <v>10400</v>
      </c>
      <c r="AB10" s="17">
        <f>M10*Factors!$R$16</f>
        <v>10400</v>
      </c>
      <c r="AC10" s="17">
        <f>N10*Factors!$R$16</f>
        <v>10400</v>
      </c>
      <c r="AD10" s="3">
        <f t="shared" si="2"/>
        <v>124800</v>
      </c>
      <c r="AF10" s="57" t="s">
        <v>239</v>
      </c>
      <c r="AG10" s="17">
        <f>R10*Factors!$AG$16</f>
        <v>11024</v>
      </c>
      <c r="AH10" s="17">
        <f>S10*Factors!$AG$16</f>
        <v>11024</v>
      </c>
      <c r="AI10" s="17">
        <f>T10*Factors!$AG$16</f>
        <v>11024</v>
      </c>
      <c r="AJ10" s="17">
        <f>U10*Factors!$AG$16</f>
        <v>11024</v>
      </c>
      <c r="AK10" s="17">
        <f>V10*Factors!$AG$16</f>
        <v>11024</v>
      </c>
      <c r="AL10" s="17">
        <f>W10*Factors!$AG$16</f>
        <v>11024</v>
      </c>
      <c r="AM10" s="17">
        <f>X10*Factors!$AG$16</f>
        <v>11024</v>
      </c>
      <c r="AN10" s="17">
        <f>Y10*Factors!$AG$16</f>
        <v>11024</v>
      </c>
      <c r="AO10" s="17">
        <f>Z10*Factors!$AG$16</f>
        <v>11024</v>
      </c>
      <c r="AP10" s="17">
        <f>AA10*Factors!$AG$16</f>
        <v>11024</v>
      </c>
      <c r="AQ10" s="17">
        <f>AB10*Factors!$AG$16</f>
        <v>11024</v>
      </c>
      <c r="AR10" s="17">
        <f>AC10*Factors!$AG$16</f>
        <v>11024</v>
      </c>
      <c r="AS10" s="3">
        <f t="shared" si="3"/>
        <v>132288</v>
      </c>
    </row>
    <row r="11" spans="1:45">
      <c r="A11" s="56" t="s">
        <v>240</v>
      </c>
      <c r="B11" s="57" t="s">
        <v>1319</v>
      </c>
      <c r="C11" s="17">
        <v>4500</v>
      </c>
      <c r="D11" s="3">
        <f t="shared" ref="D11:N12" si="7">C11</f>
        <v>4500</v>
      </c>
      <c r="E11" s="3">
        <f t="shared" si="7"/>
        <v>4500</v>
      </c>
      <c r="F11" s="3">
        <f t="shared" si="7"/>
        <v>4500</v>
      </c>
      <c r="G11" s="3">
        <f t="shared" si="7"/>
        <v>4500</v>
      </c>
      <c r="H11" s="3">
        <f t="shared" si="7"/>
        <v>4500</v>
      </c>
      <c r="I11" s="3">
        <f t="shared" si="7"/>
        <v>4500</v>
      </c>
      <c r="J11" s="3">
        <f t="shared" si="7"/>
        <v>4500</v>
      </c>
      <c r="K11" s="3">
        <f t="shared" si="7"/>
        <v>4500</v>
      </c>
      <c r="L11" s="3">
        <f t="shared" si="7"/>
        <v>4500</v>
      </c>
      <c r="M11" s="3">
        <f t="shared" si="7"/>
        <v>4500</v>
      </c>
      <c r="N11" s="3">
        <f t="shared" si="7"/>
        <v>4500</v>
      </c>
      <c r="O11" s="3">
        <f t="shared" si="1"/>
        <v>54000</v>
      </c>
      <c r="P11" s="3"/>
      <c r="Q11" s="57" t="s">
        <v>241</v>
      </c>
      <c r="R11" s="17">
        <f>C11*Factors!$R$16</f>
        <v>4680</v>
      </c>
      <c r="S11" s="17">
        <f>D11*Factors!$R$16</f>
        <v>4680</v>
      </c>
      <c r="T11" s="17">
        <f>E11*Factors!$R$16</f>
        <v>4680</v>
      </c>
      <c r="U11" s="17">
        <f>F11*Factors!$R$16</f>
        <v>4680</v>
      </c>
      <c r="V11" s="17">
        <f>G11*Factors!$R$16</f>
        <v>4680</v>
      </c>
      <c r="W11" s="17">
        <f>H11*Factors!$R$16</f>
        <v>4680</v>
      </c>
      <c r="X11" s="17">
        <f>I11*Factors!$R$16</f>
        <v>4680</v>
      </c>
      <c r="Y11" s="17">
        <f>J11*Factors!$R$16</f>
        <v>4680</v>
      </c>
      <c r="Z11" s="17">
        <f>K11*Factors!$R$16</f>
        <v>4680</v>
      </c>
      <c r="AA11" s="17">
        <f>L11*Factors!$R$16</f>
        <v>4680</v>
      </c>
      <c r="AB11" s="17">
        <f>M11*Factors!$R$16</f>
        <v>4680</v>
      </c>
      <c r="AC11" s="17">
        <f>N11*Factors!$R$16</f>
        <v>4680</v>
      </c>
      <c r="AD11" s="3">
        <f t="shared" si="2"/>
        <v>56160</v>
      </c>
      <c r="AF11" s="57" t="s">
        <v>241</v>
      </c>
      <c r="AG11" s="17">
        <f>R11*Factors!$AG$16</f>
        <v>4960.8</v>
      </c>
      <c r="AH11" s="17">
        <f>S11*Factors!$AG$16</f>
        <v>4960.8</v>
      </c>
      <c r="AI11" s="17">
        <f>T11*Factors!$AG$16</f>
        <v>4960.8</v>
      </c>
      <c r="AJ11" s="17">
        <f>U11*Factors!$AG$16</f>
        <v>4960.8</v>
      </c>
      <c r="AK11" s="17">
        <f>V11*Factors!$AG$16</f>
        <v>4960.8</v>
      </c>
      <c r="AL11" s="17">
        <f>W11*Factors!$AG$16</f>
        <v>4960.8</v>
      </c>
      <c r="AM11" s="17">
        <f>X11*Factors!$AG$16</f>
        <v>4960.8</v>
      </c>
      <c r="AN11" s="17">
        <f>Y11*Factors!$AG$16</f>
        <v>4960.8</v>
      </c>
      <c r="AO11" s="17">
        <f>Z11*Factors!$AG$16</f>
        <v>4960.8</v>
      </c>
      <c r="AP11" s="17">
        <f>AA11*Factors!$AG$16</f>
        <v>4960.8</v>
      </c>
      <c r="AQ11" s="17">
        <f>AB11*Factors!$AG$16</f>
        <v>4960.8</v>
      </c>
      <c r="AR11" s="17">
        <f>AC11*Factors!$AG$16</f>
        <v>4960.8</v>
      </c>
      <c r="AS11" s="3">
        <f t="shared" si="3"/>
        <v>59529.600000000013</v>
      </c>
    </row>
    <row r="12" spans="1:45">
      <c r="A12" s="56" t="s">
        <v>246</v>
      </c>
      <c r="B12" s="57" t="s">
        <v>1320</v>
      </c>
      <c r="C12" s="17">
        <v>3200</v>
      </c>
      <c r="D12" s="3">
        <f t="shared" si="7"/>
        <v>3200</v>
      </c>
      <c r="E12" s="3">
        <f t="shared" si="7"/>
        <v>3200</v>
      </c>
      <c r="F12" s="3">
        <f t="shared" si="7"/>
        <v>3200</v>
      </c>
      <c r="G12" s="3">
        <f t="shared" si="7"/>
        <v>3200</v>
      </c>
      <c r="H12" s="3">
        <f t="shared" si="7"/>
        <v>3200</v>
      </c>
      <c r="I12" s="3">
        <f t="shared" si="7"/>
        <v>3200</v>
      </c>
      <c r="J12" s="3">
        <f t="shared" si="7"/>
        <v>3200</v>
      </c>
      <c r="K12" s="3">
        <f t="shared" si="7"/>
        <v>3200</v>
      </c>
      <c r="L12" s="3">
        <f t="shared" si="7"/>
        <v>3200</v>
      </c>
      <c r="M12" s="3">
        <f t="shared" si="7"/>
        <v>3200</v>
      </c>
      <c r="N12" s="3">
        <f t="shared" si="7"/>
        <v>3200</v>
      </c>
      <c r="O12" s="3">
        <f t="shared" si="1"/>
        <v>38400</v>
      </c>
      <c r="P12" s="3"/>
      <c r="Q12" s="57" t="s">
        <v>247</v>
      </c>
      <c r="R12" s="17">
        <f>C12*Factors!$R$16</f>
        <v>3328</v>
      </c>
      <c r="S12" s="17">
        <f>D12*Factors!$R$16</f>
        <v>3328</v>
      </c>
      <c r="T12" s="17">
        <f>E12*Factors!$R$16</f>
        <v>3328</v>
      </c>
      <c r="U12" s="17">
        <f>F12*Factors!$R$16</f>
        <v>3328</v>
      </c>
      <c r="V12" s="17">
        <f>G12*Factors!$R$16</f>
        <v>3328</v>
      </c>
      <c r="W12" s="17">
        <f>H12*Factors!$R$16</f>
        <v>3328</v>
      </c>
      <c r="X12" s="17">
        <f>I12*Factors!$R$16</f>
        <v>3328</v>
      </c>
      <c r="Y12" s="17">
        <f>J12*Factors!$R$16</f>
        <v>3328</v>
      </c>
      <c r="Z12" s="17">
        <f>K12*Factors!$R$16</f>
        <v>3328</v>
      </c>
      <c r="AA12" s="17">
        <f>L12*Factors!$R$16</f>
        <v>3328</v>
      </c>
      <c r="AB12" s="17">
        <f>M12*Factors!$R$16</f>
        <v>3328</v>
      </c>
      <c r="AC12" s="17">
        <f>N12*Factors!$R$16</f>
        <v>3328</v>
      </c>
      <c r="AD12" s="3">
        <f t="shared" si="2"/>
        <v>39936</v>
      </c>
      <c r="AF12" s="57" t="s">
        <v>247</v>
      </c>
      <c r="AG12" s="17">
        <f>R12*Factors!$AG$16</f>
        <v>3527.6800000000003</v>
      </c>
      <c r="AH12" s="17">
        <f>S12*Factors!$AG$16</f>
        <v>3527.6800000000003</v>
      </c>
      <c r="AI12" s="17">
        <f>T12*Factors!$AG$16</f>
        <v>3527.6800000000003</v>
      </c>
      <c r="AJ12" s="17">
        <f>U12*Factors!$AG$16</f>
        <v>3527.6800000000003</v>
      </c>
      <c r="AK12" s="17">
        <f>V12*Factors!$AG$16</f>
        <v>3527.6800000000003</v>
      </c>
      <c r="AL12" s="17">
        <f>W12*Factors!$AG$16</f>
        <v>3527.6800000000003</v>
      </c>
      <c r="AM12" s="17">
        <f>X12*Factors!$AG$16</f>
        <v>3527.6800000000003</v>
      </c>
      <c r="AN12" s="17">
        <f>Y12*Factors!$AG$16</f>
        <v>3527.6800000000003</v>
      </c>
      <c r="AO12" s="17">
        <f>Z12*Factors!$AG$16</f>
        <v>3527.6800000000003</v>
      </c>
      <c r="AP12" s="17">
        <f>AA12*Factors!$AG$16</f>
        <v>3527.6800000000003</v>
      </c>
      <c r="AQ12" s="17">
        <f>AB12*Factors!$AG$16</f>
        <v>3527.6800000000003</v>
      </c>
      <c r="AR12" s="17">
        <f>AC12*Factors!$AG$16</f>
        <v>3527.6800000000003</v>
      </c>
      <c r="AS12" s="3">
        <f t="shared" si="3"/>
        <v>42332.160000000003</v>
      </c>
    </row>
    <row r="13" spans="1:45" s="4" customFormat="1">
      <c r="A13" s="4" t="s">
        <v>233</v>
      </c>
      <c r="B13" s="4" t="s">
        <v>1321</v>
      </c>
      <c r="C13" s="76">
        <v>36443.449999999997</v>
      </c>
      <c r="D13" s="97">
        <f t="shared" ref="D13:N13" si="8">C13</f>
        <v>36443.449999999997</v>
      </c>
      <c r="E13" s="97">
        <f t="shared" si="8"/>
        <v>36443.449999999997</v>
      </c>
      <c r="F13" s="97">
        <f t="shared" si="8"/>
        <v>36443.449999999997</v>
      </c>
      <c r="G13" s="97">
        <f t="shared" si="8"/>
        <v>36443.449999999997</v>
      </c>
      <c r="H13" s="97">
        <f t="shared" si="8"/>
        <v>36443.449999999997</v>
      </c>
      <c r="I13" s="97">
        <f t="shared" si="8"/>
        <v>36443.449999999997</v>
      </c>
      <c r="J13" s="97">
        <f t="shared" si="8"/>
        <v>36443.449999999997</v>
      </c>
      <c r="K13" s="97">
        <f t="shared" si="8"/>
        <v>36443.449999999997</v>
      </c>
      <c r="L13" s="97">
        <f t="shared" si="8"/>
        <v>36443.449999999997</v>
      </c>
      <c r="M13" s="97">
        <f t="shared" si="8"/>
        <v>36443.449999999997</v>
      </c>
      <c r="N13" s="97">
        <f t="shared" si="8"/>
        <v>36443.449999999997</v>
      </c>
      <c r="O13" s="3">
        <f>SUM(C13:N13)</f>
        <v>437321.40000000008</v>
      </c>
      <c r="R13" s="76">
        <v>36443.449999999997</v>
      </c>
      <c r="S13" s="97">
        <f t="shared" ref="S13:AC13" si="9">R13</f>
        <v>36443.449999999997</v>
      </c>
      <c r="T13" s="97">
        <f t="shared" si="9"/>
        <v>36443.449999999997</v>
      </c>
      <c r="U13" s="97">
        <f t="shared" si="9"/>
        <v>36443.449999999997</v>
      </c>
      <c r="V13" s="97">
        <f t="shared" si="9"/>
        <v>36443.449999999997</v>
      </c>
      <c r="W13" s="97">
        <f t="shared" si="9"/>
        <v>36443.449999999997</v>
      </c>
      <c r="X13" s="97">
        <f t="shared" si="9"/>
        <v>36443.449999999997</v>
      </c>
      <c r="Y13" s="97">
        <f t="shared" si="9"/>
        <v>36443.449999999997</v>
      </c>
      <c r="Z13" s="97">
        <f t="shared" si="9"/>
        <v>36443.449999999997</v>
      </c>
      <c r="AA13" s="97">
        <f t="shared" si="9"/>
        <v>36443.449999999997</v>
      </c>
      <c r="AB13" s="97">
        <f t="shared" si="9"/>
        <v>36443.449999999997</v>
      </c>
      <c r="AC13" s="97">
        <f t="shared" si="9"/>
        <v>36443.449999999997</v>
      </c>
      <c r="AD13" s="3">
        <f t="shared" si="2"/>
        <v>437321.40000000008</v>
      </c>
      <c r="AG13" s="76">
        <v>36443.449999999997</v>
      </c>
      <c r="AH13" s="97">
        <f t="shared" ref="AH13:AR13" si="10">AG13</f>
        <v>36443.449999999997</v>
      </c>
      <c r="AI13" s="97">
        <f t="shared" si="10"/>
        <v>36443.449999999997</v>
      </c>
      <c r="AJ13" s="97">
        <f t="shared" si="10"/>
        <v>36443.449999999997</v>
      </c>
      <c r="AK13" s="97">
        <f t="shared" si="10"/>
        <v>36443.449999999997</v>
      </c>
      <c r="AL13" s="97">
        <f t="shared" si="10"/>
        <v>36443.449999999997</v>
      </c>
      <c r="AM13" s="97">
        <f t="shared" si="10"/>
        <v>36443.449999999997</v>
      </c>
      <c r="AN13" s="97">
        <f t="shared" si="10"/>
        <v>36443.449999999997</v>
      </c>
      <c r="AO13" s="97">
        <f t="shared" si="10"/>
        <v>36443.449999999997</v>
      </c>
      <c r="AP13" s="97">
        <f t="shared" si="10"/>
        <v>36443.449999999997</v>
      </c>
      <c r="AQ13" s="97">
        <f t="shared" si="10"/>
        <v>36443.449999999997</v>
      </c>
      <c r="AR13" s="97">
        <f t="shared" si="10"/>
        <v>36443.449999999997</v>
      </c>
      <c r="AS13" s="3">
        <f t="shared" si="3"/>
        <v>437321.40000000008</v>
      </c>
    </row>
    <row r="14" spans="1:45" s="4" customFormat="1" ht="13.5" thickBot="1">
      <c r="B14" s="41" t="s">
        <v>97</v>
      </c>
      <c r="C14" s="209">
        <f>SUM(C7:C13)</f>
        <v>228501.45</v>
      </c>
      <c r="D14" s="209">
        <f t="shared" ref="D14:O14" si="11">SUM(D7:D13)</f>
        <v>218501.45</v>
      </c>
      <c r="E14" s="209">
        <f t="shared" si="11"/>
        <v>218501.45</v>
      </c>
      <c r="F14" s="209">
        <f t="shared" si="11"/>
        <v>223501.45</v>
      </c>
      <c r="G14" s="209">
        <f t="shared" si="11"/>
        <v>223501.45</v>
      </c>
      <c r="H14" s="209">
        <f t="shared" si="11"/>
        <v>233501.45</v>
      </c>
      <c r="I14" s="209">
        <f t="shared" si="11"/>
        <v>233501.45</v>
      </c>
      <c r="J14" s="209">
        <f t="shared" si="11"/>
        <v>233501.45</v>
      </c>
      <c r="K14" s="209">
        <f t="shared" si="11"/>
        <v>233501.45</v>
      </c>
      <c r="L14" s="209">
        <f t="shared" si="11"/>
        <v>228501.45</v>
      </c>
      <c r="M14" s="209">
        <f t="shared" si="11"/>
        <v>228501.45</v>
      </c>
      <c r="N14" s="209">
        <f t="shared" si="11"/>
        <v>223501.45</v>
      </c>
      <c r="O14" s="209">
        <f t="shared" si="11"/>
        <v>2727017.4</v>
      </c>
      <c r="R14" s="76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3"/>
      <c r="AG14" s="76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3"/>
    </row>
    <row r="15" spans="1:45" s="4" customFormat="1" ht="44.45" customHeight="1" thickTop="1"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</row>
    <row r="16" spans="1:45" s="4" customFormat="1">
      <c r="B16" s="57" t="s">
        <v>595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</row>
    <row r="17" spans="1:45" ht="13.5" thickBot="1">
      <c r="A17" s="54" t="s">
        <v>248</v>
      </c>
      <c r="B17" s="41" t="s">
        <v>97</v>
      </c>
      <c r="C17" s="211">
        <v>6800</v>
      </c>
      <c r="D17" s="210">
        <f t="shared" ref="D17:N17" si="12">C17</f>
        <v>6800</v>
      </c>
      <c r="E17" s="210">
        <f t="shared" si="12"/>
        <v>6800</v>
      </c>
      <c r="F17" s="210">
        <f t="shared" si="12"/>
        <v>6800</v>
      </c>
      <c r="G17" s="210">
        <f t="shared" si="12"/>
        <v>6800</v>
      </c>
      <c r="H17" s="210">
        <f t="shared" si="12"/>
        <v>6800</v>
      </c>
      <c r="I17" s="210">
        <f t="shared" si="12"/>
        <v>6800</v>
      </c>
      <c r="J17" s="210">
        <f t="shared" si="12"/>
        <v>6800</v>
      </c>
      <c r="K17" s="210">
        <f t="shared" si="12"/>
        <v>6800</v>
      </c>
      <c r="L17" s="210">
        <f t="shared" si="12"/>
        <v>6800</v>
      </c>
      <c r="M17" s="210">
        <f t="shared" si="12"/>
        <v>6800</v>
      </c>
      <c r="N17" s="210">
        <f t="shared" si="12"/>
        <v>6800</v>
      </c>
      <c r="O17" s="210">
        <f>SUM(C17:N17)</f>
        <v>81600</v>
      </c>
      <c r="P17" s="3"/>
      <c r="Q17" s="55" t="s">
        <v>249</v>
      </c>
      <c r="R17" s="17">
        <f>C17*Factors!$R$16</f>
        <v>7072</v>
      </c>
      <c r="S17" s="17">
        <f>D17*Factors!$R$16</f>
        <v>7072</v>
      </c>
      <c r="T17" s="17">
        <f>E17*Factors!$R$16</f>
        <v>7072</v>
      </c>
      <c r="U17" s="17">
        <f>F17*Factors!$R$16</f>
        <v>7072</v>
      </c>
      <c r="V17" s="17">
        <f>G17*Factors!$R$16</f>
        <v>7072</v>
      </c>
      <c r="W17" s="17">
        <f>H17*Factors!$R$16</f>
        <v>7072</v>
      </c>
      <c r="X17" s="17">
        <f>I17*Factors!$R$16</f>
        <v>7072</v>
      </c>
      <c r="Y17" s="17">
        <f>J17*Factors!$R$16</f>
        <v>7072</v>
      </c>
      <c r="Z17" s="17">
        <f>K17*Factors!$R$16</f>
        <v>7072</v>
      </c>
      <c r="AA17" s="17">
        <f>L17*Factors!$R$16</f>
        <v>7072</v>
      </c>
      <c r="AB17" s="17">
        <f>M17*Factors!$R$16</f>
        <v>7072</v>
      </c>
      <c r="AC17" s="17">
        <f>N17*Factors!$R$16</f>
        <v>7072</v>
      </c>
      <c r="AD17" s="3">
        <f>SUM(R17:AC17)</f>
        <v>84864</v>
      </c>
      <c r="AF17" s="55" t="s">
        <v>249</v>
      </c>
      <c r="AG17" s="17">
        <f>R17*Factors!$AG$16</f>
        <v>7496.3200000000006</v>
      </c>
      <c r="AH17" s="17">
        <f>S17*Factors!$AG$16</f>
        <v>7496.3200000000006</v>
      </c>
      <c r="AI17" s="17">
        <f>T17*Factors!$AG$16</f>
        <v>7496.3200000000006</v>
      </c>
      <c r="AJ17" s="17">
        <f>U17*Factors!$AG$16</f>
        <v>7496.3200000000006</v>
      </c>
      <c r="AK17" s="17">
        <f>V17*Factors!$AG$16</f>
        <v>7496.3200000000006</v>
      </c>
      <c r="AL17" s="17">
        <f>W17*Factors!$AG$16</f>
        <v>7496.3200000000006</v>
      </c>
      <c r="AM17" s="17">
        <f>X17*Factors!$AG$16</f>
        <v>7496.3200000000006</v>
      </c>
      <c r="AN17" s="17">
        <f>Y17*Factors!$AG$16</f>
        <v>7496.3200000000006</v>
      </c>
      <c r="AO17" s="17">
        <f>Z17*Factors!$AG$16</f>
        <v>7496.3200000000006</v>
      </c>
      <c r="AP17" s="17">
        <f>AA17*Factors!$AG$16</f>
        <v>7496.3200000000006</v>
      </c>
      <c r="AQ17" s="17">
        <f>AB17*Factors!$AG$16</f>
        <v>7496.3200000000006</v>
      </c>
      <c r="AR17" s="17">
        <f>AC17*Factors!$AG$16</f>
        <v>7496.3200000000006</v>
      </c>
      <c r="AS17" s="3">
        <f>SUM(AG17:AR17)</f>
        <v>89955.840000000026</v>
      </c>
    </row>
    <row r="18" spans="1:45" ht="13.5" thickTop="1">
      <c r="C18" s="1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45">
      <c r="C19" s="1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45">
      <c r="C20" s="1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4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4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4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45">
      <c r="C24" s="1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4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4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3"/>
      <c r="P26" s="3"/>
      <c r="Q26" s="3"/>
      <c r="R26" s="3"/>
      <c r="S26" s="3"/>
    </row>
    <row r="27" spans="1:4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4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4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45">
      <c r="O30" s="3"/>
      <c r="P30" s="3"/>
      <c r="Q30" s="3"/>
      <c r="R30" s="3"/>
      <c r="S30" s="3"/>
    </row>
    <row r="31" spans="1:45">
      <c r="O31" s="3"/>
      <c r="P31" s="3"/>
      <c r="Q31" s="3"/>
      <c r="R31" s="3"/>
      <c r="S31" s="3"/>
    </row>
    <row r="32" spans="1:45">
      <c r="O32" s="3"/>
      <c r="P32" s="3"/>
      <c r="Q32" s="3"/>
      <c r="R32" s="3"/>
      <c r="S32" s="3"/>
    </row>
    <row r="33" spans="3:19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3:19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3:19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3:19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3:19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3:19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3:19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3:19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3:19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3:19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3:19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3:19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3:19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3:19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3:19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3:19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3:19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3:19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3:19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3:19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3:19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3:19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3:19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3:19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3:19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3:19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3:19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3:19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3:19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3:19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3:19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3:19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3:19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3:19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3:19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3:19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3:19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3:19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3:19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3:19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3:19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3:19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3:19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3:19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3:19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3:19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3:19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3:19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3:19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3:19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3:19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3:19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3:19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3:19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3:19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3:19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3:19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3:19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3:19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3:19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3:19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3:19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3:19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3:19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3:19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3:19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3:19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3:19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3:19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3:19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3:19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3:19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3:19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3:19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3:19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3:19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3:19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3:19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3:19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3:19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3:19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3:19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3:19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3:19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3:19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3:19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3:19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3:19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3:19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3:19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3:19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3:19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3:19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3:19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3:19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3:19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3:19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3:19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3:19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3:19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3:19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3:19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3:19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3:19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3:19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3:19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3:19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3:19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3:19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3:19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3:19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3:19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3:19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3:19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3:19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3:19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3:19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3:19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3:19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3:19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3:19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3:19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3:19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3:19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3:19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3:19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3:19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3:19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3:19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3:19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3:19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Q62"/>
  <sheetViews>
    <sheetView view="pageBreakPreview" zoomScale="75" zoomScaleNormal="75" workbookViewId="0">
      <pane xSplit="2" ySplit="5" topLeftCell="F29" activePane="bottomRight" state="frozen"/>
      <selection activeCell="C66" sqref="C66"/>
      <selection pane="topRight" activeCell="C66" sqref="C66"/>
      <selection pane="bottomLeft" activeCell="C66" sqref="C66"/>
      <selection pane="bottomRight" sqref="A1:IV65536"/>
    </sheetView>
  </sheetViews>
  <sheetFormatPr defaultRowHeight="12.75"/>
  <cols>
    <col min="1" max="1" width="0" hidden="1" customWidth="1"/>
    <col min="2" max="2" width="31.5703125" style="20" customWidth="1"/>
    <col min="3" max="14" width="8.7109375" bestFit="1" customWidth="1"/>
    <col min="15" max="15" width="20.7109375" customWidth="1"/>
    <col min="29" max="29" width="10.85546875" customWidth="1"/>
    <col min="31" max="31" width="11.28515625" customWidth="1"/>
    <col min="43" max="43" width="10.5703125" customWidth="1"/>
  </cols>
  <sheetData>
    <row r="1" spans="1:43">
      <c r="B1" s="133" t="s">
        <v>502</v>
      </c>
      <c r="L1" s="21"/>
      <c r="Q1" t="s">
        <v>612</v>
      </c>
      <c r="AE1" t="s">
        <v>613</v>
      </c>
    </row>
    <row r="2" spans="1:43" ht="20.25">
      <c r="B2" s="259" t="s">
        <v>0</v>
      </c>
      <c r="L2" s="21"/>
    </row>
    <row r="3" spans="1:43" ht="18">
      <c r="B3" s="260" t="s">
        <v>1</v>
      </c>
    </row>
    <row r="4" spans="1:43" ht="16.899999999999999" customHeight="1" thickBot="1"/>
    <row r="5" spans="1:43">
      <c r="C5" s="16" t="s">
        <v>50</v>
      </c>
      <c r="D5" s="16" t="s">
        <v>51</v>
      </c>
      <c r="E5" s="16" t="s">
        <v>52</v>
      </c>
      <c r="F5" s="16" t="s">
        <v>53</v>
      </c>
      <c r="G5" s="16" t="s">
        <v>54</v>
      </c>
      <c r="H5" s="16" t="s">
        <v>55</v>
      </c>
      <c r="I5" s="16" t="s">
        <v>56</v>
      </c>
      <c r="J5" s="16" t="s">
        <v>57</v>
      </c>
      <c r="K5" s="16" t="s">
        <v>58</v>
      </c>
      <c r="L5" s="16" t="s">
        <v>59</v>
      </c>
      <c r="M5" s="16" t="s">
        <v>60</v>
      </c>
      <c r="N5" s="16" t="s">
        <v>61</v>
      </c>
      <c r="O5" s="45" t="s">
        <v>97</v>
      </c>
      <c r="Q5" s="16" t="s">
        <v>50</v>
      </c>
      <c r="R5" s="16" t="s">
        <v>51</v>
      </c>
      <c r="S5" s="16" t="s">
        <v>52</v>
      </c>
      <c r="T5" s="16" t="s">
        <v>53</v>
      </c>
      <c r="U5" s="16" t="s">
        <v>54</v>
      </c>
      <c r="V5" s="16" t="s">
        <v>55</v>
      </c>
      <c r="W5" s="16" t="s">
        <v>56</v>
      </c>
      <c r="X5" s="16" t="s">
        <v>57</v>
      </c>
      <c r="Y5" s="16" t="s">
        <v>58</v>
      </c>
      <c r="Z5" s="16" t="s">
        <v>59</v>
      </c>
      <c r="AA5" s="16" t="s">
        <v>60</v>
      </c>
      <c r="AB5" s="16" t="s">
        <v>61</v>
      </c>
      <c r="AC5" s="79" t="s">
        <v>97</v>
      </c>
      <c r="AE5" s="16" t="s">
        <v>50</v>
      </c>
      <c r="AF5" s="16" t="s">
        <v>51</v>
      </c>
      <c r="AG5" s="16" t="s">
        <v>52</v>
      </c>
      <c r="AH5" s="16" t="s">
        <v>53</v>
      </c>
      <c r="AI5" s="16" t="s">
        <v>54</v>
      </c>
      <c r="AJ5" s="16" t="s">
        <v>55</v>
      </c>
      <c r="AK5" s="16" t="s">
        <v>56</v>
      </c>
      <c r="AL5" s="16" t="s">
        <v>57</v>
      </c>
      <c r="AM5" s="16" t="s">
        <v>58</v>
      </c>
      <c r="AN5" s="16" t="s">
        <v>59</v>
      </c>
      <c r="AO5" s="16" t="s">
        <v>60</v>
      </c>
      <c r="AP5" s="16" t="s">
        <v>61</v>
      </c>
      <c r="AQ5" s="79" t="s">
        <v>97</v>
      </c>
    </row>
    <row r="6" spans="1:43" ht="15">
      <c r="B6" s="261" t="s">
        <v>527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20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80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80"/>
    </row>
    <row r="7" spans="1:43">
      <c r="O7" s="20"/>
      <c r="AC7" s="80"/>
      <c r="AQ7" s="80"/>
    </row>
    <row r="8" spans="1:43">
      <c r="B8" s="133" t="s">
        <v>146</v>
      </c>
      <c r="O8" s="20"/>
      <c r="AC8" s="80"/>
      <c r="AQ8" s="80"/>
    </row>
    <row r="9" spans="1:43" s="9" customFormat="1">
      <c r="B9" s="113" t="s">
        <v>150</v>
      </c>
      <c r="C9" s="17">
        <v>90000</v>
      </c>
      <c r="D9" s="17">
        <v>90000</v>
      </c>
      <c r="E9" s="17">
        <v>95000</v>
      </c>
      <c r="F9" s="17">
        <v>100000</v>
      </c>
      <c r="G9" s="17">
        <v>100000</v>
      </c>
      <c r="H9" s="17">
        <v>110000</v>
      </c>
      <c r="I9" s="17">
        <v>110000</v>
      </c>
      <c r="J9" s="17">
        <v>115000</v>
      </c>
      <c r="K9" s="17">
        <v>110000</v>
      </c>
      <c r="L9" s="17">
        <v>110000</v>
      </c>
      <c r="M9" s="17">
        <v>100000</v>
      </c>
      <c r="N9" s="17">
        <v>90000</v>
      </c>
      <c r="O9" s="39">
        <f>SUM(C9:N9)</f>
        <v>1220000</v>
      </c>
      <c r="Q9" s="17">
        <v>90000</v>
      </c>
      <c r="R9" s="17">
        <v>90000</v>
      </c>
      <c r="S9" s="17">
        <v>95000</v>
      </c>
      <c r="T9" s="17">
        <v>100000</v>
      </c>
      <c r="U9" s="17">
        <v>100000</v>
      </c>
      <c r="V9" s="17">
        <v>110000</v>
      </c>
      <c r="W9" s="17">
        <v>110000</v>
      </c>
      <c r="X9" s="17">
        <v>115000</v>
      </c>
      <c r="Y9" s="17">
        <v>110000</v>
      </c>
      <c r="Z9" s="17">
        <v>110000</v>
      </c>
      <c r="AA9" s="17">
        <v>100000</v>
      </c>
      <c r="AB9" s="17">
        <v>90000</v>
      </c>
      <c r="AC9" s="81">
        <f>SUM(Q9:AB9)</f>
        <v>1220000</v>
      </c>
      <c r="AE9" s="17">
        <v>90000</v>
      </c>
      <c r="AF9" s="17">
        <v>90000</v>
      </c>
      <c r="AG9" s="17">
        <v>95000</v>
      </c>
      <c r="AH9" s="17">
        <v>100000</v>
      </c>
      <c r="AI9" s="17">
        <v>100000</v>
      </c>
      <c r="AJ9" s="17">
        <v>110000</v>
      </c>
      <c r="AK9" s="17">
        <v>110000</v>
      </c>
      <c r="AL9" s="17">
        <v>115000</v>
      </c>
      <c r="AM9" s="17">
        <v>110000</v>
      </c>
      <c r="AN9" s="17">
        <v>110000</v>
      </c>
      <c r="AO9" s="17">
        <v>100000</v>
      </c>
      <c r="AP9" s="17">
        <v>90000</v>
      </c>
      <c r="AQ9" s="81">
        <f>SUM(AE9:AP9)</f>
        <v>1220000</v>
      </c>
    </row>
    <row r="10" spans="1:43" s="9" customFormat="1">
      <c r="B10" s="113" t="s">
        <v>149</v>
      </c>
      <c r="C10" s="9">
        <v>0.18840000000000001</v>
      </c>
      <c r="D10" s="9">
        <v>0.18840000000000001</v>
      </c>
      <c r="E10" s="9">
        <v>0.18840000000000001</v>
      </c>
      <c r="F10" s="9">
        <v>0.18840000000000001</v>
      </c>
      <c r="G10" s="9">
        <v>0.18840000000000001</v>
      </c>
      <c r="H10" s="9">
        <v>0.18840000000000001</v>
      </c>
      <c r="I10" s="9">
        <v>0.19270000000000001</v>
      </c>
      <c r="J10" s="9">
        <v>0.19270000000000001</v>
      </c>
      <c r="K10" s="9">
        <v>0.19270000000000001</v>
      </c>
      <c r="L10" s="9">
        <v>0.19270000000000001</v>
      </c>
      <c r="M10" s="9">
        <v>0.19270000000000001</v>
      </c>
      <c r="N10" s="9">
        <v>0.19270000000000001</v>
      </c>
      <c r="O10" s="39"/>
      <c r="Q10" s="9">
        <v>0.18840000000000001</v>
      </c>
      <c r="R10" s="9">
        <v>0.18840000000000001</v>
      </c>
      <c r="S10" s="9">
        <v>0.18840000000000001</v>
      </c>
      <c r="T10" s="9">
        <v>0.18840000000000001</v>
      </c>
      <c r="U10" s="9">
        <v>0.18840000000000001</v>
      </c>
      <c r="V10" s="9">
        <v>0.18840000000000001</v>
      </c>
      <c r="W10" s="9">
        <v>0.19270000000000001</v>
      </c>
      <c r="X10" s="9">
        <v>0.19270000000000001</v>
      </c>
      <c r="Y10" s="9">
        <v>0.19270000000000001</v>
      </c>
      <c r="Z10" s="9">
        <v>0.19270000000000001</v>
      </c>
      <c r="AA10" s="9">
        <v>0.19270000000000001</v>
      </c>
      <c r="AB10" s="9">
        <v>0.19270000000000001</v>
      </c>
      <c r="AC10" s="81"/>
      <c r="AE10" s="9">
        <v>0.18840000000000001</v>
      </c>
      <c r="AF10" s="9">
        <v>0.18840000000000001</v>
      </c>
      <c r="AG10" s="9">
        <v>0.18840000000000001</v>
      </c>
      <c r="AH10" s="9">
        <v>0.18840000000000001</v>
      </c>
      <c r="AI10" s="9">
        <v>0.18840000000000001</v>
      </c>
      <c r="AJ10" s="9">
        <v>0.18840000000000001</v>
      </c>
      <c r="AK10" s="9">
        <v>0.19270000000000001</v>
      </c>
      <c r="AL10" s="9">
        <v>0.19270000000000001</v>
      </c>
      <c r="AM10" s="9">
        <v>0.19270000000000001</v>
      </c>
      <c r="AN10" s="9">
        <v>0.19270000000000001</v>
      </c>
      <c r="AO10" s="9">
        <v>0.19270000000000001</v>
      </c>
      <c r="AP10" s="9">
        <v>0.19270000000000001</v>
      </c>
      <c r="AQ10" s="81"/>
    </row>
    <row r="11" spans="1:43" s="9" customFormat="1">
      <c r="B11" s="200" t="s">
        <v>151</v>
      </c>
      <c r="C11" s="231">
        <f>C9*C10</f>
        <v>16956</v>
      </c>
      <c r="D11" s="231">
        <f t="shared" ref="D11:N11" si="0">D9*D10</f>
        <v>16956</v>
      </c>
      <c r="E11" s="231">
        <f t="shared" si="0"/>
        <v>17898</v>
      </c>
      <c r="F11" s="231">
        <f t="shared" si="0"/>
        <v>18840</v>
      </c>
      <c r="G11" s="231">
        <f t="shared" si="0"/>
        <v>18840</v>
      </c>
      <c r="H11" s="231">
        <f t="shared" si="0"/>
        <v>20724</v>
      </c>
      <c r="I11" s="231">
        <f t="shared" si="0"/>
        <v>21197</v>
      </c>
      <c r="J11" s="231">
        <f t="shared" si="0"/>
        <v>22160.5</v>
      </c>
      <c r="K11" s="231">
        <f t="shared" si="0"/>
        <v>21197</v>
      </c>
      <c r="L11" s="231">
        <f t="shared" si="0"/>
        <v>21197</v>
      </c>
      <c r="M11" s="231">
        <f t="shared" si="0"/>
        <v>19270</v>
      </c>
      <c r="N11" s="231">
        <f t="shared" si="0"/>
        <v>17343</v>
      </c>
      <c r="O11" s="231">
        <f>SUM(C11:N11)</f>
        <v>232578.5</v>
      </c>
      <c r="Q11" s="67">
        <f t="shared" ref="Q11:AB11" si="1">Q9*Q10</f>
        <v>16956</v>
      </c>
      <c r="R11" s="67">
        <f t="shared" si="1"/>
        <v>16956</v>
      </c>
      <c r="S11" s="67">
        <f t="shared" si="1"/>
        <v>17898</v>
      </c>
      <c r="T11" s="67">
        <f t="shared" si="1"/>
        <v>18840</v>
      </c>
      <c r="U11" s="67">
        <f t="shared" si="1"/>
        <v>18840</v>
      </c>
      <c r="V11" s="67">
        <f t="shared" si="1"/>
        <v>20724</v>
      </c>
      <c r="W11" s="67">
        <f t="shared" si="1"/>
        <v>21197</v>
      </c>
      <c r="X11" s="67">
        <f t="shared" si="1"/>
        <v>22160.5</v>
      </c>
      <c r="Y11" s="67">
        <f t="shared" si="1"/>
        <v>21197</v>
      </c>
      <c r="Z11" s="67">
        <f t="shared" si="1"/>
        <v>21197</v>
      </c>
      <c r="AA11" s="67">
        <f t="shared" si="1"/>
        <v>19270</v>
      </c>
      <c r="AB11" s="67">
        <f t="shared" si="1"/>
        <v>17343</v>
      </c>
      <c r="AC11" s="84">
        <f>SUM(Q11:AB11)</f>
        <v>232578.5</v>
      </c>
      <c r="AE11" s="67">
        <f t="shared" ref="AE11:AP11" si="2">AE9*AE10</f>
        <v>16956</v>
      </c>
      <c r="AF11" s="67">
        <f t="shared" si="2"/>
        <v>16956</v>
      </c>
      <c r="AG11" s="67">
        <f t="shared" si="2"/>
        <v>17898</v>
      </c>
      <c r="AH11" s="67">
        <f t="shared" si="2"/>
        <v>18840</v>
      </c>
      <c r="AI11" s="67">
        <f t="shared" si="2"/>
        <v>18840</v>
      </c>
      <c r="AJ11" s="67">
        <f t="shared" si="2"/>
        <v>20724</v>
      </c>
      <c r="AK11" s="67">
        <f t="shared" si="2"/>
        <v>21197</v>
      </c>
      <c r="AL11" s="67">
        <f t="shared" si="2"/>
        <v>22160.5</v>
      </c>
      <c r="AM11" s="67">
        <f t="shared" si="2"/>
        <v>21197</v>
      </c>
      <c r="AN11" s="67">
        <f t="shared" si="2"/>
        <v>21197</v>
      </c>
      <c r="AO11" s="67">
        <f t="shared" si="2"/>
        <v>19270</v>
      </c>
      <c r="AP11" s="67">
        <f t="shared" si="2"/>
        <v>17343</v>
      </c>
      <c r="AQ11" s="84">
        <f>SUM(AE11:AP11)</f>
        <v>232578.5</v>
      </c>
    </row>
    <row r="12" spans="1:43" s="70" customFormat="1" ht="13.5" thickBot="1">
      <c r="A12" s="54" t="s">
        <v>242</v>
      </c>
      <c r="B12" s="116" t="s">
        <v>152</v>
      </c>
      <c r="C12" s="264">
        <f>C11*Factors!C11</f>
        <v>72968.727800160006</v>
      </c>
      <c r="D12" s="264">
        <f>D11*Factors!D11</f>
        <v>73070.741200320001</v>
      </c>
      <c r="E12" s="264">
        <f>E11*Factors!E11</f>
        <v>77237.907633840005</v>
      </c>
      <c r="F12" s="264">
        <f>F11*Factors!F11</f>
        <v>81416.408889600018</v>
      </c>
      <c r="G12" s="264">
        <f>G11*Factors!G11</f>
        <v>81529.757112000021</v>
      </c>
      <c r="H12" s="264">
        <f>H11*Factors!H11</f>
        <v>89807.415867840027</v>
      </c>
      <c r="I12" s="264">
        <f>I11*Factors!I11</f>
        <v>91984.689280440027</v>
      </c>
      <c r="J12" s="264">
        <f>J11*Factors!J11</f>
        <v>96299.137066240044</v>
      </c>
      <c r="K12" s="264">
        <f>K11*Factors!K11</f>
        <v>92239.746846280046</v>
      </c>
      <c r="L12" s="264">
        <f>L11*Factors!L11</f>
        <v>92367.275629200056</v>
      </c>
      <c r="M12" s="264">
        <f>M11*Factors!M11</f>
        <v>84086.185829200054</v>
      </c>
      <c r="N12" s="264">
        <f>N11*Factors!N11</f>
        <v>75781.908977760046</v>
      </c>
      <c r="O12" s="264">
        <f>SUM(C12:N12)</f>
        <v>1008789.9021328803</v>
      </c>
      <c r="Q12" s="78">
        <f>Q11*Factors!Q11</f>
        <v>74090.875201920047</v>
      </c>
      <c r="R12" s="78">
        <f>R11*Factors!R11</f>
        <v>74399.587181928044</v>
      </c>
      <c r="S12" s="78">
        <f>S11*Factors!S11</f>
        <v>78858.760226488055</v>
      </c>
      <c r="T12" s="78">
        <f>T11*Factors!T11</f>
        <v>83352.234602160053</v>
      </c>
      <c r="U12" s="78">
        <f>U11*Factors!U11</f>
        <v>83695.247913280051</v>
      </c>
      <c r="V12" s="78">
        <f>V11*Factors!V11</f>
        <v>92442.087346840053</v>
      </c>
      <c r="W12" s="78">
        <f>W11*Factors!W11</f>
        <v>94937.891524916049</v>
      </c>
      <c r="X12" s="78">
        <f>X11*Factors!X11</f>
        <v>99656.718727466374</v>
      </c>
      <c r="Y12" s="78">
        <f>Y11*Factors!Y11</f>
        <v>95709.744301541374</v>
      </c>
      <c r="Z12" s="78">
        <f>Z11*Factors!Z11</f>
        <v>96095.670689854043</v>
      </c>
      <c r="AA12" s="78">
        <f>AA11*Factors!AA11</f>
        <v>87710.542798333365</v>
      </c>
      <c r="AB12" s="78">
        <f>AB11*Factors!AB11</f>
        <v>79255.246472574028</v>
      </c>
      <c r="AC12" s="82">
        <f>SUM(Q12:AB12)</f>
        <v>1040204.6069873016</v>
      </c>
      <c r="AE12" s="78">
        <f>AE11*Factors!AG11</f>
        <v>78119.566541024426</v>
      </c>
      <c r="AF12" s="78">
        <f>AF11*Factors!AH11</f>
        <v>78443.714120032833</v>
      </c>
      <c r="AG12" s="78">
        <f>AG11*Factors!AI11</f>
        <v>83143.854015654637</v>
      </c>
      <c r="AH12" s="78">
        <f>AH11*Factors!AJ11</f>
        <v>87880.010308944038</v>
      </c>
      <c r="AI12" s="78">
        <f>AI11*Factors!AK11</f>
        <v>88240.174285620029</v>
      </c>
      <c r="AJ12" s="78">
        <f>AJ11*Factors!AL11</f>
        <v>97460.372088525633</v>
      </c>
      <c r="AK12" s="78">
        <f>AK11*Factors!AM11</f>
        <v>100090.00880889014</v>
      </c>
      <c r="AL12" s="78">
        <f>AL11*Factors!AN11</f>
        <v>105063.19658555565</v>
      </c>
      <c r="AM12" s="78">
        <f>AM11*Factors!AO11</f>
        <v>100900.45422434674</v>
      </c>
      <c r="AN12" s="78">
        <f>AN11*Factors!AP11</f>
        <v>101305.67693207505</v>
      </c>
      <c r="AO12" s="78">
        <f>AO11*Factors!AQ11</f>
        <v>92464.45421800304</v>
      </c>
      <c r="AP12" s="78">
        <f>AP11*Factors!AR11</f>
        <v>83549.554647980432</v>
      </c>
      <c r="AQ12" s="82">
        <f>SUM(AE12:AP12)</f>
        <v>1096661.0367766528</v>
      </c>
    </row>
    <row r="13" spans="1:43" s="9" customFormat="1" ht="13.5" thickTop="1">
      <c r="B13" s="113"/>
      <c r="I13"/>
      <c r="O13" s="113"/>
      <c r="AC13" s="83"/>
      <c r="AQ13" s="83"/>
    </row>
    <row r="14" spans="1:43" s="9" customFormat="1">
      <c r="B14" s="200" t="s">
        <v>147</v>
      </c>
      <c r="O14" s="113"/>
      <c r="AC14" s="83"/>
      <c r="AQ14" s="83"/>
    </row>
    <row r="15" spans="1:43" s="9" customFormat="1">
      <c r="B15" s="113" t="s">
        <v>524</v>
      </c>
      <c r="C15" s="69">
        <v>78.357142857142861</v>
      </c>
      <c r="D15" s="69">
        <v>78.357142857142861</v>
      </c>
      <c r="E15" s="69">
        <v>78.357142857142861</v>
      </c>
      <c r="F15" s="69">
        <v>78.357142857142861</v>
      </c>
      <c r="G15" s="69">
        <v>78.357142857142861</v>
      </c>
      <c r="H15" s="69">
        <v>78.357142857142861</v>
      </c>
      <c r="I15" s="69">
        <v>78.357142857142861</v>
      </c>
      <c r="J15" s="69">
        <v>78.357142857142861</v>
      </c>
      <c r="K15" s="69">
        <v>78.357142857142861</v>
      </c>
      <c r="L15" s="69">
        <v>78.357142857142861</v>
      </c>
      <c r="M15" s="69">
        <v>78.357142857142861</v>
      </c>
      <c r="N15" s="69">
        <v>78.357142857142861</v>
      </c>
      <c r="O15" s="39">
        <f>SUM(C15:N15)</f>
        <v>940.28571428571456</v>
      </c>
      <c r="Q15" s="69">
        <v>78.357142857142861</v>
      </c>
      <c r="R15" s="69">
        <v>78.357142857142861</v>
      </c>
      <c r="S15" s="69">
        <v>78.357142857142861</v>
      </c>
      <c r="T15" s="69">
        <v>78.357142857142861</v>
      </c>
      <c r="U15" s="69">
        <v>78.357142857142861</v>
      </c>
      <c r="V15" s="69">
        <v>78.357142857142861</v>
      </c>
      <c r="W15" s="69">
        <v>78.357142857142861</v>
      </c>
      <c r="X15" s="69">
        <v>78.357142857142861</v>
      </c>
      <c r="Y15" s="69">
        <v>78.357142857142861</v>
      </c>
      <c r="Z15" s="69">
        <v>78.357142857142861</v>
      </c>
      <c r="AA15" s="69">
        <v>78.357142857142861</v>
      </c>
      <c r="AB15" s="69">
        <v>78.357142857142861</v>
      </c>
      <c r="AC15" s="81">
        <f>SUM(Q15:AB15)</f>
        <v>940.28571428571456</v>
      </c>
      <c r="AE15" s="69">
        <v>78.357142857142861</v>
      </c>
      <c r="AF15" s="69">
        <v>78.357142857142861</v>
      </c>
      <c r="AG15" s="69">
        <v>78.357142857142861</v>
      </c>
      <c r="AH15" s="69">
        <v>78.357142857142861</v>
      </c>
      <c r="AI15" s="69">
        <v>78.357142857142861</v>
      </c>
      <c r="AJ15" s="69">
        <v>78.357142857142861</v>
      </c>
      <c r="AK15" s="69">
        <v>78.357142857142861</v>
      </c>
      <c r="AL15" s="69">
        <v>78.357142857142861</v>
      </c>
      <c r="AM15" s="69">
        <v>78.357142857142861</v>
      </c>
      <c r="AN15" s="69">
        <v>78.357142857142861</v>
      </c>
      <c r="AO15" s="69">
        <v>78.357142857142861</v>
      </c>
      <c r="AP15" s="69">
        <v>78.357142857142861</v>
      </c>
      <c r="AQ15" s="81">
        <f>SUM(AE15:AP15)</f>
        <v>940.28571428571456</v>
      </c>
    </row>
    <row r="16" spans="1:43" s="9" customFormat="1">
      <c r="B16" s="113" t="s">
        <v>149</v>
      </c>
      <c r="C16" s="9">
        <v>0.58860000000000001</v>
      </c>
      <c r="D16" s="9">
        <v>0.58860000000000001</v>
      </c>
      <c r="E16" s="9">
        <v>0.58860000000000001</v>
      </c>
      <c r="F16" s="9">
        <v>0.58860000000000001</v>
      </c>
      <c r="G16" s="9">
        <v>0.58860000000000001</v>
      </c>
      <c r="H16" s="9">
        <v>0.58860000000000001</v>
      </c>
      <c r="I16" s="9">
        <v>0.60209999999999997</v>
      </c>
      <c r="J16" s="9">
        <v>0.60209999999999997</v>
      </c>
      <c r="K16" s="9">
        <v>0.60209999999999997</v>
      </c>
      <c r="L16" s="9">
        <v>0.60209999999999997</v>
      </c>
      <c r="M16" s="9">
        <v>0.60209999999999997</v>
      </c>
      <c r="N16" s="9">
        <v>0.60209999999999997</v>
      </c>
      <c r="O16" s="39"/>
      <c r="Q16" s="9">
        <v>0.58860000000000001</v>
      </c>
      <c r="R16" s="9">
        <v>0.58860000000000001</v>
      </c>
      <c r="S16" s="9">
        <v>0.58860000000000001</v>
      </c>
      <c r="T16" s="9">
        <v>0.58860000000000001</v>
      </c>
      <c r="U16" s="9">
        <v>0.58860000000000001</v>
      </c>
      <c r="V16" s="9">
        <v>0.58860000000000001</v>
      </c>
      <c r="W16" s="9">
        <v>0.60209999999999997</v>
      </c>
      <c r="X16" s="9">
        <v>0.60209999999999997</v>
      </c>
      <c r="Y16" s="9">
        <v>0.60209999999999997</v>
      </c>
      <c r="Z16" s="9">
        <v>0.60209999999999997</v>
      </c>
      <c r="AA16" s="9">
        <v>0.60209999999999997</v>
      </c>
      <c r="AB16" s="9">
        <v>0.60209999999999997</v>
      </c>
      <c r="AC16" s="81"/>
      <c r="AE16" s="9">
        <v>0.58860000000000001</v>
      </c>
      <c r="AF16" s="9">
        <v>0.58860000000000001</v>
      </c>
      <c r="AG16" s="9">
        <v>0.58860000000000001</v>
      </c>
      <c r="AH16" s="9">
        <v>0.58860000000000001</v>
      </c>
      <c r="AI16" s="9">
        <v>0.58860000000000001</v>
      </c>
      <c r="AJ16" s="9">
        <v>0.58860000000000001</v>
      </c>
      <c r="AK16" s="9">
        <v>0.60209999999999997</v>
      </c>
      <c r="AL16" s="9">
        <v>0.60209999999999997</v>
      </c>
      <c r="AM16" s="9">
        <v>0.60209999999999997</v>
      </c>
      <c r="AN16" s="9">
        <v>0.60209999999999997</v>
      </c>
      <c r="AO16" s="9">
        <v>0.60209999999999997</v>
      </c>
      <c r="AP16" s="9">
        <v>0.60209999999999997</v>
      </c>
      <c r="AQ16" s="81"/>
    </row>
    <row r="17" spans="1:43" s="9" customFormat="1">
      <c r="B17" s="200" t="s">
        <v>151</v>
      </c>
      <c r="C17" s="231">
        <f t="shared" ref="C17:N17" si="3">C15*C16</f>
        <v>46.121014285714288</v>
      </c>
      <c r="D17" s="231">
        <f t="shared" si="3"/>
        <v>46.121014285714288</v>
      </c>
      <c r="E17" s="231">
        <f t="shared" si="3"/>
        <v>46.121014285714288</v>
      </c>
      <c r="F17" s="231">
        <f t="shared" si="3"/>
        <v>46.121014285714288</v>
      </c>
      <c r="G17" s="231">
        <f t="shared" si="3"/>
        <v>46.121014285714288</v>
      </c>
      <c r="H17" s="231">
        <f t="shared" si="3"/>
        <v>46.121014285714288</v>
      </c>
      <c r="I17" s="231">
        <f t="shared" si="3"/>
        <v>47.178835714285711</v>
      </c>
      <c r="J17" s="231">
        <f t="shared" si="3"/>
        <v>47.178835714285711</v>
      </c>
      <c r="K17" s="231">
        <f t="shared" si="3"/>
        <v>47.178835714285711</v>
      </c>
      <c r="L17" s="231">
        <f t="shared" si="3"/>
        <v>47.178835714285711</v>
      </c>
      <c r="M17" s="231">
        <f t="shared" si="3"/>
        <v>47.178835714285711</v>
      </c>
      <c r="N17" s="231">
        <f t="shared" si="3"/>
        <v>47.178835714285711</v>
      </c>
      <c r="O17" s="231">
        <f>SUM(C17:N17)</f>
        <v>559.79909999999995</v>
      </c>
      <c r="Q17" s="67">
        <f t="shared" ref="Q17:AB17" si="4">Q15*Q16</f>
        <v>46.121014285714288</v>
      </c>
      <c r="R17" s="67">
        <f t="shared" si="4"/>
        <v>46.121014285714288</v>
      </c>
      <c r="S17" s="67">
        <f t="shared" si="4"/>
        <v>46.121014285714288</v>
      </c>
      <c r="T17" s="67">
        <f t="shared" si="4"/>
        <v>46.121014285714288</v>
      </c>
      <c r="U17" s="67">
        <f t="shared" si="4"/>
        <v>46.121014285714288</v>
      </c>
      <c r="V17" s="67">
        <f t="shared" si="4"/>
        <v>46.121014285714288</v>
      </c>
      <c r="W17" s="67">
        <f t="shared" si="4"/>
        <v>47.178835714285711</v>
      </c>
      <c r="X17" s="67">
        <f t="shared" si="4"/>
        <v>47.178835714285711</v>
      </c>
      <c r="Y17" s="67">
        <f t="shared" si="4"/>
        <v>47.178835714285711</v>
      </c>
      <c r="Z17" s="67">
        <f t="shared" si="4"/>
        <v>47.178835714285711</v>
      </c>
      <c r="AA17" s="67">
        <f t="shared" si="4"/>
        <v>47.178835714285711</v>
      </c>
      <c r="AB17" s="67">
        <f t="shared" si="4"/>
        <v>47.178835714285711</v>
      </c>
      <c r="AC17" s="84">
        <f>SUM(Q17:AB17)</f>
        <v>559.79909999999995</v>
      </c>
      <c r="AE17" s="67">
        <f t="shared" ref="AE17:AP17" si="5">AE15*AE16</f>
        <v>46.121014285714288</v>
      </c>
      <c r="AF17" s="67">
        <f t="shared" si="5"/>
        <v>46.121014285714288</v>
      </c>
      <c r="AG17" s="67">
        <f t="shared" si="5"/>
        <v>46.121014285714288</v>
      </c>
      <c r="AH17" s="67">
        <f t="shared" si="5"/>
        <v>46.121014285714288</v>
      </c>
      <c r="AI17" s="67">
        <f t="shared" si="5"/>
        <v>46.121014285714288</v>
      </c>
      <c r="AJ17" s="67">
        <f t="shared" si="5"/>
        <v>46.121014285714288</v>
      </c>
      <c r="AK17" s="67">
        <f t="shared" si="5"/>
        <v>47.178835714285711</v>
      </c>
      <c r="AL17" s="67">
        <f t="shared" si="5"/>
        <v>47.178835714285711</v>
      </c>
      <c r="AM17" s="67">
        <f t="shared" si="5"/>
        <v>47.178835714285711</v>
      </c>
      <c r="AN17" s="67">
        <f t="shared" si="5"/>
        <v>47.178835714285711</v>
      </c>
      <c r="AO17" s="67">
        <f t="shared" si="5"/>
        <v>47.178835714285711</v>
      </c>
      <c r="AP17" s="67">
        <f t="shared" si="5"/>
        <v>47.178835714285711</v>
      </c>
      <c r="AQ17" s="84">
        <f>SUM(AE17:AP17)</f>
        <v>559.79909999999995</v>
      </c>
    </row>
    <row r="18" spans="1:43" s="70" customFormat="1" ht="13.5" thickBot="1">
      <c r="A18" s="74" t="s">
        <v>243</v>
      </c>
      <c r="B18" s="116" t="s">
        <v>152</v>
      </c>
      <c r="C18" s="264">
        <f>C17*Factors!C11</f>
        <v>198.47792741693658</v>
      </c>
      <c r="D18" s="264">
        <f>D17*Factors!D11</f>
        <v>198.7554080424446</v>
      </c>
      <c r="E18" s="264">
        <f>E17*Factors!E11</f>
        <v>199.03288866795262</v>
      </c>
      <c r="F18" s="264">
        <f>F17*Factors!F11</f>
        <v>199.31036929346061</v>
      </c>
      <c r="G18" s="264">
        <f>G17*Factors!G11</f>
        <v>199.58784991896863</v>
      </c>
      <c r="H18" s="264">
        <f>H17*Factors!H11</f>
        <v>199.86533054447665</v>
      </c>
      <c r="I18" s="264">
        <f>I17*Factors!I11</f>
        <v>204.73324261883749</v>
      </c>
      <c r="J18" s="264">
        <f>J17*Factors!J11</f>
        <v>205.01708747887551</v>
      </c>
      <c r="K18" s="264">
        <f>K17*Factors!K11</f>
        <v>205.30093233891353</v>
      </c>
      <c r="L18" s="264">
        <f>L17*Factors!L11</f>
        <v>205.58477719895154</v>
      </c>
      <c r="M18" s="264">
        <f>M17*Factors!M11</f>
        <v>205.86862205898953</v>
      </c>
      <c r="N18" s="264">
        <f>N17*Factors!N11</f>
        <v>206.15246691902755</v>
      </c>
      <c r="O18" s="264">
        <f>SUM(C18:N18)</f>
        <v>2427.6869024978346</v>
      </c>
      <c r="Q18" s="78">
        <f>Q17*Factors!Q11</f>
        <v>201.53021429752471</v>
      </c>
      <c r="R18" s="78">
        <f>R17*Factors!R11</f>
        <v>202.36992352376441</v>
      </c>
      <c r="S18" s="78">
        <f>S17*Factors!S11</f>
        <v>203.20963275000409</v>
      </c>
      <c r="T18" s="78">
        <f>T17*Factors!T11</f>
        <v>204.04934197624377</v>
      </c>
      <c r="U18" s="78">
        <f>U17*Factors!U11</f>
        <v>204.88905120248344</v>
      </c>
      <c r="V18" s="78">
        <f>V17*Factors!V11</f>
        <v>205.72876042872312</v>
      </c>
      <c r="W18" s="78">
        <f>W17*Factors!W11</f>
        <v>211.3062785920032</v>
      </c>
      <c r="X18" s="78">
        <f>X17*Factors!X11</f>
        <v>212.16524720416581</v>
      </c>
      <c r="Y18" s="78">
        <f>Y17*Factors!Y11</f>
        <v>213.02421581632842</v>
      </c>
      <c r="Z18" s="78">
        <f>Z17*Factors!Z11</f>
        <v>213.88318442849103</v>
      </c>
      <c r="AA18" s="78">
        <f>AA17*Factors!AA11</f>
        <v>214.74215304065365</v>
      </c>
      <c r="AB18" s="78">
        <f>AB17*Factors!AB11</f>
        <v>215.60112165281626</v>
      </c>
      <c r="AC18" s="82">
        <f>SUM(Q18:AB18)</f>
        <v>2502.4991249132017</v>
      </c>
      <c r="AE18" s="78">
        <f>AE17*Factors!AG11</f>
        <v>212.48841969995254</v>
      </c>
      <c r="AF18" s="78">
        <f>AF17*Factors!AH11</f>
        <v>213.37011438750423</v>
      </c>
      <c r="AG18" s="78">
        <f>AG17*Factors!AI11</f>
        <v>214.25180907505589</v>
      </c>
      <c r="AH18" s="78">
        <f>AH17*Factors!AJ11</f>
        <v>215.13350376260757</v>
      </c>
      <c r="AI18" s="78">
        <f>AI17*Factors!AK11</f>
        <v>216.01519845015923</v>
      </c>
      <c r="AJ18" s="78">
        <f>AJ17*Factors!AL11</f>
        <v>216.89689313771092</v>
      </c>
      <c r="AK18" s="78">
        <f>AK17*Factors!AM11</f>
        <v>222.77350956437408</v>
      </c>
      <c r="AL18" s="78">
        <f>AL17*Factors!AN11</f>
        <v>223.67542660714483</v>
      </c>
      <c r="AM18" s="78">
        <f>AM17*Factors!AO11</f>
        <v>224.57734364991558</v>
      </c>
      <c r="AN18" s="78">
        <f>AN17*Factors!AP11</f>
        <v>225.47926069268632</v>
      </c>
      <c r="AO18" s="78">
        <f>AO17*Factors!AQ11</f>
        <v>226.38117773545707</v>
      </c>
      <c r="AP18" s="78">
        <f>AP17*Factors!AR11</f>
        <v>227.28309477822782</v>
      </c>
      <c r="AQ18" s="82">
        <f>SUM(AE18:AP18)</f>
        <v>2638.3257515407963</v>
      </c>
    </row>
    <row r="19" spans="1:43" s="9" customFormat="1" ht="13.5" thickTop="1">
      <c r="B19" s="11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1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83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83"/>
    </row>
    <row r="20" spans="1:43" s="9" customFormat="1">
      <c r="B20" s="200" t="s">
        <v>148</v>
      </c>
      <c r="I20"/>
      <c r="O20" s="113"/>
      <c r="AC20" s="83"/>
      <c r="AQ20" s="83"/>
    </row>
    <row r="21" spans="1:43" s="9" customFormat="1">
      <c r="B21" s="113" t="s">
        <v>153</v>
      </c>
      <c r="O21" s="113"/>
      <c r="AC21" s="83"/>
      <c r="AQ21" s="83"/>
    </row>
    <row r="22" spans="1:43" s="9" customFormat="1">
      <c r="B22" s="113" t="s">
        <v>535</v>
      </c>
      <c r="C22" s="17">
        <v>2500</v>
      </c>
      <c r="D22" s="17">
        <v>2500</v>
      </c>
      <c r="E22" s="17">
        <v>2500</v>
      </c>
      <c r="F22" s="17">
        <v>2500</v>
      </c>
      <c r="G22" s="17">
        <v>3000</v>
      </c>
      <c r="H22" s="17">
        <v>3000</v>
      </c>
      <c r="I22" s="17">
        <v>2900</v>
      </c>
      <c r="J22" s="17">
        <v>2900</v>
      </c>
      <c r="K22" s="17">
        <v>2900</v>
      </c>
      <c r="L22" s="17">
        <v>2900</v>
      </c>
      <c r="M22" s="17">
        <v>2500</v>
      </c>
      <c r="N22" s="17">
        <v>2500</v>
      </c>
      <c r="O22" s="39">
        <f>SUM(C22:N22)</f>
        <v>32600</v>
      </c>
      <c r="P22" s="113"/>
      <c r="Q22" s="17">
        <v>2500</v>
      </c>
      <c r="R22" s="17">
        <v>2500</v>
      </c>
      <c r="S22" s="17">
        <v>2500</v>
      </c>
      <c r="T22" s="17">
        <v>2500</v>
      </c>
      <c r="U22" s="17">
        <v>3000</v>
      </c>
      <c r="V22" s="17">
        <v>3000</v>
      </c>
      <c r="W22" s="17">
        <v>2900</v>
      </c>
      <c r="X22" s="17">
        <v>2900</v>
      </c>
      <c r="Y22" s="17">
        <v>2900</v>
      </c>
      <c r="Z22" s="17">
        <v>2900</v>
      </c>
      <c r="AA22" s="17">
        <v>2500</v>
      </c>
      <c r="AB22" s="17">
        <v>2500</v>
      </c>
      <c r="AC22" s="81">
        <f>SUM(Q22:AB22)</f>
        <v>32600</v>
      </c>
      <c r="AE22" s="17">
        <v>2500</v>
      </c>
      <c r="AF22" s="17">
        <v>2500</v>
      </c>
      <c r="AG22" s="17">
        <v>2500</v>
      </c>
      <c r="AH22" s="17">
        <v>2500</v>
      </c>
      <c r="AI22" s="17">
        <v>3000</v>
      </c>
      <c r="AJ22" s="17">
        <v>3000</v>
      </c>
      <c r="AK22" s="17">
        <v>2900</v>
      </c>
      <c r="AL22" s="17">
        <v>2900</v>
      </c>
      <c r="AM22" s="17">
        <v>2900</v>
      </c>
      <c r="AN22" s="17">
        <v>2900</v>
      </c>
      <c r="AO22" s="17">
        <v>2500</v>
      </c>
      <c r="AP22" s="17">
        <v>2500</v>
      </c>
      <c r="AQ22" s="81">
        <f>SUM(AE22:AP22)</f>
        <v>32600</v>
      </c>
    </row>
    <row r="23" spans="1:43" s="9" customFormat="1">
      <c r="B23" s="113" t="s">
        <v>536</v>
      </c>
      <c r="C23" s="9">
        <v>4.4028999999999998</v>
      </c>
      <c r="D23" s="9">
        <v>4.4028999999999998</v>
      </c>
      <c r="E23" s="9">
        <v>4.4028999999999998</v>
      </c>
      <c r="F23" s="9">
        <v>4.4028999999999998</v>
      </c>
      <c r="G23" s="9">
        <v>4.4028999999999998</v>
      </c>
      <c r="H23" s="9">
        <v>4.4028999999999998</v>
      </c>
      <c r="I23" s="9">
        <v>4.5034999999999998</v>
      </c>
      <c r="J23" s="9">
        <v>4.5034999999999998</v>
      </c>
      <c r="K23" s="9">
        <v>4.5034999999999998</v>
      </c>
      <c r="L23" s="9">
        <v>4.5034999999999998</v>
      </c>
      <c r="M23" s="9">
        <v>4.5034999999999998</v>
      </c>
      <c r="N23" s="9">
        <v>4.5034999999999998</v>
      </c>
      <c r="O23" s="39"/>
      <c r="P23" s="113"/>
      <c r="Q23" s="9">
        <v>4.4028999999999998</v>
      </c>
      <c r="R23" s="9">
        <v>4.4028999999999998</v>
      </c>
      <c r="S23" s="9">
        <v>4.4028999999999998</v>
      </c>
      <c r="T23" s="9">
        <v>4.4028999999999998</v>
      </c>
      <c r="U23" s="9">
        <v>4.4028999999999998</v>
      </c>
      <c r="V23" s="9">
        <v>4.4028999999999998</v>
      </c>
      <c r="W23" s="9">
        <v>4.5034999999999998</v>
      </c>
      <c r="X23" s="9">
        <v>4.5034999999999998</v>
      </c>
      <c r="Y23" s="9">
        <v>4.5034999999999998</v>
      </c>
      <c r="Z23" s="9">
        <v>4.5034999999999998</v>
      </c>
      <c r="AA23" s="9">
        <v>4.5034999999999998</v>
      </c>
      <c r="AB23" s="9">
        <v>4.5034999999999998</v>
      </c>
      <c r="AC23" s="81"/>
      <c r="AE23" s="9">
        <v>4.4028999999999998</v>
      </c>
      <c r="AF23" s="9">
        <v>4.4028999999999998</v>
      </c>
      <c r="AG23" s="9">
        <v>4.4028999999999998</v>
      </c>
      <c r="AH23" s="9">
        <v>4.4028999999999998</v>
      </c>
      <c r="AI23" s="9">
        <v>4.4028999999999998</v>
      </c>
      <c r="AJ23" s="9">
        <v>4.4028999999999998</v>
      </c>
      <c r="AK23" s="9">
        <v>4.5034999999999998</v>
      </c>
      <c r="AL23" s="9">
        <v>4.5034999999999998</v>
      </c>
      <c r="AM23" s="9">
        <v>4.5034999999999998</v>
      </c>
      <c r="AN23" s="9">
        <v>4.5034999999999998</v>
      </c>
      <c r="AO23" s="9">
        <v>4.5034999999999998</v>
      </c>
      <c r="AP23" s="9">
        <v>4.5034999999999998</v>
      </c>
      <c r="AQ23" s="81"/>
    </row>
    <row r="24" spans="1:43" s="9" customFormat="1">
      <c r="B24" s="200" t="s">
        <v>151</v>
      </c>
      <c r="C24" s="231">
        <f t="shared" ref="C24:N24" si="6">C22*C23</f>
        <v>11007.25</v>
      </c>
      <c r="D24" s="231">
        <f t="shared" si="6"/>
        <v>11007.25</v>
      </c>
      <c r="E24" s="231">
        <f t="shared" si="6"/>
        <v>11007.25</v>
      </c>
      <c r="F24" s="231">
        <f t="shared" si="6"/>
        <v>11007.25</v>
      </c>
      <c r="G24" s="231">
        <f t="shared" si="6"/>
        <v>13208.699999999999</v>
      </c>
      <c r="H24" s="231">
        <f t="shared" si="6"/>
        <v>13208.699999999999</v>
      </c>
      <c r="I24" s="231">
        <f t="shared" si="6"/>
        <v>13060.15</v>
      </c>
      <c r="J24" s="231">
        <f t="shared" si="6"/>
        <v>13060.15</v>
      </c>
      <c r="K24" s="231">
        <f t="shared" si="6"/>
        <v>13060.15</v>
      </c>
      <c r="L24" s="231">
        <f t="shared" si="6"/>
        <v>13060.15</v>
      </c>
      <c r="M24" s="231">
        <f t="shared" si="6"/>
        <v>11258.75</v>
      </c>
      <c r="N24" s="231">
        <f t="shared" si="6"/>
        <v>11258.75</v>
      </c>
      <c r="O24" s="231">
        <f>SUM(C24:N24)</f>
        <v>145204.49999999997</v>
      </c>
      <c r="P24" s="113"/>
      <c r="Q24" s="67">
        <f t="shared" ref="Q24:AB24" si="7">Q22*Q23</f>
        <v>11007.25</v>
      </c>
      <c r="R24" s="67">
        <f t="shared" si="7"/>
        <v>11007.25</v>
      </c>
      <c r="S24" s="67">
        <f t="shared" si="7"/>
        <v>11007.25</v>
      </c>
      <c r="T24" s="67">
        <f t="shared" si="7"/>
        <v>11007.25</v>
      </c>
      <c r="U24" s="67">
        <f t="shared" si="7"/>
        <v>13208.699999999999</v>
      </c>
      <c r="V24" s="67">
        <f t="shared" si="7"/>
        <v>13208.699999999999</v>
      </c>
      <c r="W24" s="67">
        <f t="shared" si="7"/>
        <v>13060.15</v>
      </c>
      <c r="X24" s="67">
        <f t="shared" si="7"/>
        <v>13060.15</v>
      </c>
      <c r="Y24" s="67">
        <f t="shared" si="7"/>
        <v>13060.15</v>
      </c>
      <c r="Z24" s="67">
        <f t="shared" si="7"/>
        <v>13060.15</v>
      </c>
      <c r="AA24" s="67">
        <f t="shared" si="7"/>
        <v>11258.75</v>
      </c>
      <c r="AB24" s="67">
        <f t="shared" si="7"/>
        <v>11258.75</v>
      </c>
      <c r="AC24" s="84">
        <f>SUM(Q24:AB24)</f>
        <v>145204.49999999997</v>
      </c>
      <c r="AE24" s="67">
        <f t="shared" ref="AE24:AP24" si="8">AE22*AE23</f>
        <v>11007.25</v>
      </c>
      <c r="AF24" s="67">
        <f t="shared" si="8"/>
        <v>11007.25</v>
      </c>
      <c r="AG24" s="67">
        <f t="shared" si="8"/>
        <v>11007.25</v>
      </c>
      <c r="AH24" s="67">
        <f t="shared" si="8"/>
        <v>11007.25</v>
      </c>
      <c r="AI24" s="67">
        <f t="shared" si="8"/>
        <v>13208.699999999999</v>
      </c>
      <c r="AJ24" s="67">
        <f t="shared" si="8"/>
        <v>13208.699999999999</v>
      </c>
      <c r="AK24" s="67">
        <f t="shared" si="8"/>
        <v>13060.15</v>
      </c>
      <c r="AL24" s="67">
        <f t="shared" si="8"/>
        <v>13060.15</v>
      </c>
      <c r="AM24" s="67">
        <f t="shared" si="8"/>
        <v>13060.15</v>
      </c>
      <c r="AN24" s="67">
        <f t="shared" si="8"/>
        <v>13060.15</v>
      </c>
      <c r="AO24" s="67">
        <f t="shared" si="8"/>
        <v>11258.75</v>
      </c>
      <c r="AP24" s="67">
        <f t="shared" si="8"/>
        <v>11258.75</v>
      </c>
      <c r="AQ24" s="84">
        <f>SUM(AE24:AP24)</f>
        <v>145204.49999999997</v>
      </c>
    </row>
    <row r="25" spans="1:43" s="70" customFormat="1" ht="13.5" thickBot="1">
      <c r="A25" s="74" t="s">
        <v>300</v>
      </c>
      <c r="B25" s="116" t="s">
        <v>152</v>
      </c>
      <c r="C25" s="264">
        <f>C24*Factors!C11</f>
        <v>47368.779728609996</v>
      </c>
      <c r="D25" s="264">
        <f>D24*Factors!D11</f>
        <v>47435.003307220002</v>
      </c>
      <c r="E25" s="264">
        <f>E24*Factors!E11</f>
        <v>47501.226885830009</v>
      </c>
      <c r="F25" s="264">
        <f>F24*Factors!F11</f>
        <v>47567.450464440008</v>
      </c>
      <c r="G25" s="264">
        <f>G24*Factors!G11</f>
        <v>57160.40885166001</v>
      </c>
      <c r="H25" s="264">
        <f>H24*Factors!H11</f>
        <v>57239.87714599201</v>
      </c>
      <c r="I25" s="264">
        <f>I24*Factors!I11</f>
        <v>56674.710558378021</v>
      </c>
      <c r="J25" s="264">
        <f>J24*Factors!J11</f>
        <v>56753.285122432026</v>
      </c>
      <c r="K25" s="264">
        <f>K24*Factors!K11</f>
        <v>56831.859686486023</v>
      </c>
      <c r="L25" s="264">
        <f>L24*Factors!L11</f>
        <v>56910.434250540027</v>
      </c>
      <c r="M25" s="264">
        <f>M24*Factors!M11</f>
        <v>49128.455874650033</v>
      </c>
      <c r="N25" s="264">
        <f>N24*Factors!N11</f>
        <v>49196.192567800033</v>
      </c>
      <c r="O25" s="264">
        <f>SUM(C25:N25)</f>
        <v>629767.6844440382</v>
      </c>
      <c r="P25" s="116"/>
      <c r="Q25" s="78">
        <f>Q24*Factors!R11</f>
        <v>48297.644256208863</v>
      </c>
      <c r="R25" s="78">
        <f>R24*Factors!S11</f>
        <v>48498.049419097697</v>
      </c>
      <c r="S25" s="78">
        <f>S24*Factors!T11</f>
        <v>48698.454581986531</v>
      </c>
      <c r="T25" s="78">
        <f>T24*Factors!U11</f>
        <v>48898.859744875357</v>
      </c>
      <c r="U25" s="78">
        <f>U24*Factors!V11</f>
        <v>58919.117889317029</v>
      </c>
      <c r="V25" s="78">
        <f>V24*Factors!W11</f>
        <v>59159.604084783627</v>
      </c>
      <c r="W25" s="78">
        <f>W24*Factors!X11</f>
        <v>58732.054560525263</v>
      </c>
      <c r="X25" s="78">
        <f>X24*Factors!Y11</f>
        <v>58969.83615793629</v>
      </c>
      <c r="Y25" s="78">
        <f>Y24*Factors!Z11</f>
        <v>59207.617755347324</v>
      </c>
      <c r="Z25" s="78">
        <f>Z24*Factors!AA11</f>
        <v>59445.399352758352</v>
      </c>
      <c r="AA25" s="78">
        <f>AA24*Factors!AB11</f>
        <v>51451.018060490853</v>
      </c>
      <c r="AB25" s="78">
        <f>AB24*Factors!AC11</f>
        <v>51656.00219619002</v>
      </c>
      <c r="AC25" s="82">
        <f>SUM(Q25:AB25)</f>
        <v>651933.65805951727</v>
      </c>
      <c r="AE25" s="78">
        <f>AE24*Factors!AG11</f>
        <v>50712.526469019293</v>
      </c>
      <c r="AF25" s="78">
        <f>AF24*Factors!AH11</f>
        <v>50922.951890052565</v>
      </c>
      <c r="AG25" s="78">
        <f>AG24*Factors!AI11</f>
        <v>51133.377311085846</v>
      </c>
      <c r="AH25" s="78">
        <f>AH24*Factors!AJ11</f>
        <v>51343.802732119118</v>
      </c>
      <c r="AI25" s="78">
        <f>AI24*Factors!AK11</f>
        <v>61865.073783782871</v>
      </c>
      <c r="AJ25" s="78">
        <f>AJ24*Factors!AL11</f>
        <v>62117.584289022801</v>
      </c>
      <c r="AK25" s="78">
        <f>AK24*Factors!AM11</f>
        <v>61668.65728855152</v>
      </c>
      <c r="AL25" s="78">
        <f>AL24*Factors!AN11</f>
        <v>61918.327965833101</v>
      </c>
      <c r="AM25" s="78">
        <f>AM24*Factors!AO11</f>
        <v>62167.99864311469</v>
      </c>
      <c r="AN25" s="78">
        <f>AN24*Factors!AP11</f>
        <v>62417.669320396271</v>
      </c>
      <c r="AO25" s="78">
        <f>AO24*Factors!AQ11</f>
        <v>54023.568963515398</v>
      </c>
      <c r="AP25" s="78">
        <f>AP24*Factors!AR11</f>
        <v>54238.802305999525</v>
      </c>
      <c r="AQ25" s="82">
        <f>SUM(AE25:AP25)</f>
        <v>684530.34096249298</v>
      </c>
    </row>
    <row r="26" spans="1:43" s="9" customFormat="1" ht="13.5" thickTop="1">
      <c r="B26" s="113"/>
      <c r="O26" s="113"/>
      <c r="AC26" s="83"/>
      <c r="AQ26" s="83"/>
    </row>
    <row r="27" spans="1:43" s="9" customFormat="1">
      <c r="B27" s="113"/>
      <c r="O27" s="113"/>
      <c r="AC27" s="83"/>
      <c r="AQ27" s="83"/>
    </row>
    <row r="28" spans="1:43" s="9" customFormat="1">
      <c r="B28" s="202" t="s">
        <v>525</v>
      </c>
      <c r="C28" s="265">
        <v>250</v>
      </c>
      <c r="D28" s="265">
        <v>250</v>
      </c>
      <c r="E28" s="265">
        <v>250</v>
      </c>
      <c r="F28" s="265">
        <v>250</v>
      </c>
      <c r="G28" s="265">
        <v>250</v>
      </c>
      <c r="H28" s="265">
        <v>250</v>
      </c>
      <c r="I28" s="265">
        <v>250</v>
      </c>
      <c r="J28" s="265">
        <v>250</v>
      </c>
      <c r="K28" s="265">
        <v>250</v>
      </c>
      <c r="L28" s="265">
        <v>250</v>
      </c>
      <c r="M28" s="265">
        <v>250</v>
      </c>
      <c r="N28" s="265">
        <v>250</v>
      </c>
      <c r="O28" s="231">
        <f>SUM(C28:N28)</f>
        <v>3000</v>
      </c>
      <c r="Q28" s="70">
        <v>250</v>
      </c>
      <c r="R28" s="70">
        <v>250</v>
      </c>
      <c r="S28" s="70">
        <v>250</v>
      </c>
      <c r="T28" s="70">
        <v>250</v>
      </c>
      <c r="U28" s="70">
        <v>250</v>
      </c>
      <c r="V28" s="70">
        <v>250</v>
      </c>
      <c r="W28" s="70">
        <v>250</v>
      </c>
      <c r="X28" s="70">
        <v>250</v>
      </c>
      <c r="Y28" s="70">
        <v>250</v>
      </c>
      <c r="Z28" s="70">
        <v>250</v>
      </c>
      <c r="AA28" s="70">
        <v>250</v>
      </c>
      <c r="AB28" s="70">
        <v>250</v>
      </c>
      <c r="AC28" s="84">
        <f>SUM(Q28:AB28)</f>
        <v>3000</v>
      </c>
      <c r="AE28" s="70">
        <v>250</v>
      </c>
      <c r="AF28" s="70">
        <v>250</v>
      </c>
      <c r="AG28" s="70">
        <v>250</v>
      </c>
      <c r="AH28" s="70">
        <v>250</v>
      </c>
      <c r="AI28" s="70">
        <v>250</v>
      </c>
      <c r="AJ28" s="70">
        <v>250</v>
      </c>
      <c r="AK28" s="70">
        <v>250</v>
      </c>
      <c r="AL28" s="70">
        <v>250</v>
      </c>
      <c r="AM28" s="70">
        <v>250</v>
      </c>
      <c r="AN28" s="70">
        <v>250</v>
      </c>
      <c r="AO28" s="70">
        <v>250</v>
      </c>
      <c r="AP28" s="70">
        <v>250</v>
      </c>
      <c r="AQ28" s="84">
        <f>SUM(AE28:AP28)</f>
        <v>3000</v>
      </c>
    </row>
    <row r="29" spans="1:43" s="70" customFormat="1" ht="13.5" thickBot="1">
      <c r="A29" s="74" t="s">
        <v>301</v>
      </c>
      <c r="B29" s="200" t="s">
        <v>152</v>
      </c>
      <c r="C29" s="233">
        <f>C28*Factors!C11</f>
        <v>1075.85409</v>
      </c>
      <c r="D29" s="233">
        <f>D28*Factors!D11</f>
        <v>1077.3581799999999</v>
      </c>
      <c r="E29" s="233">
        <f>E28*Factors!E11</f>
        <v>1078.8622700000001</v>
      </c>
      <c r="F29" s="233">
        <f>F28*Factors!F11</f>
        <v>1080.3663600000002</v>
      </c>
      <c r="G29" s="233">
        <f>G28*Factors!G11</f>
        <v>1081.8704500000003</v>
      </c>
      <c r="H29" s="233">
        <f>H28*Factors!H11</f>
        <v>1083.3745400000003</v>
      </c>
      <c r="I29" s="233">
        <f>I28*Factors!I11</f>
        <v>1084.8786300000004</v>
      </c>
      <c r="J29" s="233">
        <f>J28*Factors!J11</f>
        <v>1086.3827200000005</v>
      </c>
      <c r="K29" s="233">
        <f>K28*Factors!K11</f>
        <v>1087.8868100000004</v>
      </c>
      <c r="L29" s="233">
        <f>L28*Factors!L11</f>
        <v>1089.3909000000006</v>
      </c>
      <c r="M29" s="233">
        <f>M28*Factors!M11</f>
        <v>1090.8949900000007</v>
      </c>
      <c r="N29" s="233">
        <f>N28*Factors!N11</f>
        <v>1092.3990800000008</v>
      </c>
      <c r="O29" s="233">
        <f>SUM(C29:N29)</f>
        <v>13009.519020000003</v>
      </c>
      <c r="Q29" s="67">
        <f>Q28*Factors!R11</f>
        <v>1096.9507428333341</v>
      </c>
      <c r="R29" s="67">
        <f>R28*Factors!S11</f>
        <v>1101.5024056666673</v>
      </c>
      <c r="S29" s="67">
        <f>S28*Factors!T11</f>
        <v>1106.0540685000005</v>
      </c>
      <c r="T29" s="67">
        <f>T28*Factors!U11</f>
        <v>1110.605731333334</v>
      </c>
      <c r="U29" s="67">
        <f>U28*Factors!V11</f>
        <v>1115.1573941666672</v>
      </c>
      <c r="V29" s="67">
        <f>V28*Factors!W11</f>
        <v>1119.7090570000005</v>
      </c>
      <c r="W29" s="67">
        <f>W28*Factors!X11</f>
        <v>1124.260719833334</v>
      </c>
      <c r="X29" s="67">
        <f>X28*Factors!Y11</f>
        <v>1128.8123826666672</v>
      </c>
      <c r="Y29" s="67">
        <f>Y28*Factors!Z11</f>
        <v>1133.3640455000004</v>
      </c>
      <c r="Z29" s="67">
        <f>Z28*Factors!AA11</f>
        <v>1137.9157083333337</v>
      </c>
      <c r="AA29" s="67">
        <f>AA28*Factors!AB11</f>
        <v>1142.4673711666671</v>
      </c>
      <c r="AB29" s="67">
        <f>AB28*Factors!AC11</f>
        <v>1147.0190340000004</v>
      </c>
      <c r="AC29" s="84">
        <f>SUM(Q29:AB29)</f>
        <v>13463.818661000007</v>
      </c>
      <c r="AE29" s="67">
        <f>AE28*Factors!AG11</f>
        <v>1151.7982799750005</v>
      </c>
      <c r="AF29" s="67">
        <f>AF28*Factors!AH11</f>
        <v>1156.5775259500003</v>
      </c>
      <c r="AG29" s="67">
        <f>AG28*Factors!AI11</f>
        <v>1161.3567719250004</v>
      </c>
      <c r="AH29" s="67">
        <f>AH28*Factors!AJ11</f>
        <v>1166.1360179000005</v>
      </c>
      <c r="AI29" s="67">
        <f>AI28*Factors!AK11</f>
        <v>1170.9152638750004</v>
      </c>
      <c r="AJ29" s="67">
        <f>AJ28*Factors!AL11</f>
        <v>1175.6945098500005</v>
      </c>
      <c r="AK29" s="67">
        <f>AK28*Factors!AM11</f>
        <v>1180.4737558250006</v>
      </c>
      <c r="AL29" s="67">
        <f>AL28*Factors!AN11</f>
        <v>1185.2530018000004</v>
      </c>
      <c r="AM29" s="67">
        <f>AM28*Factors!AO11</f>
        <v>1190.0322477750005</v>
      </c>
      <c r="AN29" s="67">
        <f>AN28*Factors!AP11</f>
        <v>1194.8114937500004</v>
      </c>
      <c r="AO29" s="67">
        <f>AO28*Factors!AQ11</f>
        <v>1199.5907397250005</v>
      </c>
      <c r="AP29" s="67">
        <f>AP28*Factors!AR11</f>
        <v>1204.3699857000006</v>
      </c>
      <c r="AQ29" s="84">
        <f>SUM(AE29:AP29)</f>
        <v>14137.009594050005</v>
      </c>
    </row>
    <row r="30" spans="1:43" s="75" customFormat="1" ht="13.5" thickTop="1">
      <c r="A30" s="66"/>
      <c r="B30" s="26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115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85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85"/>
    </row>
    <row r="31" spans="1:43">
      <c r="A31" s="56"/>
      <c r="B31" s="59"/>
      <c r="O31" s="20"/>
      <c r="AC31" s="80"/>
      <c r="AQ31" s="80"/>
    </row>
    <row r="32" spans="1:43" ht="15">
      <c r="B32" s="73" t="s">
        <v>528</v>
      </c>
      <c r="O32" s="20"/>
      <c r="AC32" s="80"/>
      <c r="AQ32" s="80"/>
    </row>
    <row r="33" spans="1:43">
      <c r="A33" s="56"/>
      <c r="B33" s="59"/>
      <c r="O33" s="20"/>
      <c r="AC33" s="80"/>
      <c r="AQ33" s="80"/>
    </row>
    <row r="34" spans="1:43">
      <c r="B34" s="200" t="s">
        <v>529</v>
      </c>
      <c r="O34" s="20"/>
      <c r="AC34" s="80"/>
      <c r="AQ34" s="80"/>
    </row>
    <row r="35" spans="1:43">
      <c r="A35" s="56"/>
      <c r="B35" s="20" t="s">
        <v>523</v>
      </c>
      <c r="C35" s="3">
        <v>4000</v>
      </c>
      <c r="D35" s="3">
        <v>3000</v>
      </c>
      <c r="E35" s="3">
        <v>3700</v>
      </c>
      <c r="F35" s="3">
        <v>2500</v>
      </c>
      <c r="G35" s="3">
        <v>500</v>
      </c>
      <c r="H35" s="3">
        <v>500</v>
      </c>
      <c r="I35" s="3">
        <v>500</v>
      </c>
      <c r="J35" s="3">
        <v>500</v>
      </c>
      <c r="K35" s="3">
        <v>1000</v>
      </c>
      <c r="L35" s="3">
        <v>2000</v>
      </c>
      <c r="M35" s="3">
        <v>2500</v>
      </c>
      <c r="N35" s="3">
        <v>3500</v>
      </c>
      <c r="O35" s="20"/>
      <c r="Q35" s="3">
        <v>4000</v>
      </c>
      <c r="R35" s="3">
        <v>3000</v>
      </c>
      <c r="S35" s="3">
        <v>3700</v>
      </c>
      <c r="T35" s="3">
        <v>2500</v>
      </c>
      <c r="U35" s="3">
        <v>500</v>
      </c>
      <c r="V35" s="3">
        <v>500</v>
      </c>
      <c r="W35" s="3">
        <v>500</v>
      </c>
      <c r="X35" s="3">
        <v>500</v>
      </c>
      <c r="Y35" s="3">
        <v>1000</v>
      </c>
      <c r="Z35" s="3">
        <v>2000</v>
      </c>
      <c r="AA35" s="3">
        <v>2500</v>
      </c>
      <c r="AB35" s="3">
        <v>3500</v>
      </c>
      <c r="AC35" s="80"/>
      <c r="AE35" s="3">
        <v>4000</v>
      </c>
      <c r="AF35" s="3">
        <v>3000</v>
      </c>
      <c r="AG35" s="3">
        <v>3700</v>
      </c>
      <c r="AH35" s="3">
        <v>2500</v>
      </c>
      <c r="AI35" s="3">
        <v>500</v>
      </c>
      <c r="AJ35" s="3">
        <v>500</v>
      </c>
      <c r="AK35" s="3">
        <v>500</v>
      </c>
      <c r="AL35" s="3">
        <v>500</v>
      </c>
      <c r="AM35" s="3">
        <v>1000</v>
      </c>
      <c r="AN35" s="3">
        <v>2000</v>
      </c>
      <c r="AO35" s="3">
        <v>2500</v>
      </c>
      <c r="AP35" s="3">
        <v>3500</v>
      </c>
      <c r="AQ35" s="80"/>
    </row>
    <row r="36" spans="1:43">
      <c r="A36" s="56"/>
      <c r="B36" s="263" t="s">
        <v>149</v>
      </c>
      <c r="C36" s="5">
        <v>0.41199999999999998</v>
      </c>
      <c r="D36" s="5">
        <f>C36</f>
        <v>0.41199999999999998</v>
      </c>
      <c r="E36" s="5">
        <f>D36</f>
        <v>0.41199999999999998</v>
      </c>
      <c r="F36" s="5">
        <f>E36</f>
        <v>0.41199999999999998</v>
      </c>
      <c r="G36" s="5">
        <f>F36</f>
        <v>0.41199999999999998</v>
      </c>
      <c r="H36" s="5">
        <f>G36</f>
        <v>0.41199999999999998</v>
      </c>
      <c r="I36" s="5">
        <v>0.42099999999999999</v>
      </c>
      <c r="J36" s="5">
        <f>I36</f>
        <v>0.42099999999999999</v>
      </c>
      <c r="K36" s="5">
        <f>J36</f>
        <v>0.42099999999999999</v>
      </c>
      <c r="L36" s="5">
        <f>K36</f>
        <v>0.42099999999999999</v>
      </c>
      <c r="M36" s="5">
        <f>L36</f>
        <v>0.42099999999999999</v>
      </c>
      <c r="N36" s="5">
        <f>M36</f>
        <v>0.42099999999999999</v>
      </c>
      <c r="O36" s="20"/>
      <c r="Q36" s="5">
        <v>0.41199999999999998</v>
      </c>
      <c r="R36" s="5">
        <f>Q36</f>
        <v>0.41199999999999998</v>
      </c>
      <c r="S36" s="5">
        <f>R36</f>
        <v>0.41199999999999998</v>
      </c>
      <c r="T36" s="5">
        <f>S36</f>
        <v>0.41199999999999998</v>
      </c>
      <c r="U36" s="5">
        <f>T36</f>
        <v>0.41199999999999998</v>
      </c>
      <c r="V36" s="5">
        <f>U36</f>
        <v>0.41199999999999998</v>
      </c>
      <c r="W36" s="5">
        <v>0.42099999999999999</v>
      </c>
      <c r="X36" s="5">
        <f>W36</f>
        <v>0.42099999999999999</v>
      </c>
      <c r="Y36" s="5">
        <f>X36</f>
        <v>0.42099999999999999</v>
      </c>
      <c r="Z36" s="5">
        <f>Y36</f>
        <v>0.42099999999999999</v>
      </c>
      <c r="AA36" s="5">
        <f>Z36</f>
        <v>0.42099999999999999</v>
      </c>
      <c r="AB36" s="5">
        <f>AA36</f>
        <v>0.42099999999999999</v>
      </c>
      <c r="AC36" s="80"/>
      <c r="AE36" s="5">
        <v>0.41199999999999998</v>
      </c>
      <c r="AF36" s="5">
        <f>AE36</f>
        <v>0.41199999999999998</v>
      </c>
      <c r="AG36" s="5">
        <f>AF36</f>
        <v>0.41199999999999998</v>
      </c>
      <c r="AH36" s="5">
        <f>AG36</f>
        <v>0.41199999999999998</v>
      </c>
      <c r="AI36" s="5">
        <f>AH36</f>
        <v>0.41199999999999998</v>
      </c>
      <c r="AJ36" s="5">
        <f>AI36</f>
        <v>0.41199999999999998</v>
      </c>
      <c r="AK36" s="5">
        <v>0.42099999999999999</v>
      </c>
      <c r="AL36" s="5">
        <f>AK36</f>
        <v>0.42099999999999999</v>
      </c>
      <c r="AM36" s="5">
        <f>AL36</f>
        <v>0.42099999999999999</v>
      </c>
      <c r="AN36" s="5">
        <f>AM36</f>
        <v>0.42099999999999999</v>
      </c>
      <c r="AO36" s="5">
        <f>AN36</f>
        <v>0.42099999999999999</v>
      </c>
      <c r="AP36" s="5">
        <f>AO36</f>
        <v>0.42099999999999999</v>
      </c>
      <c r="AQ36" s="80"/>
    </row>
    <row r="37" spans="1:43" s="70" customFormat="1">
      <c r="B37" s="116" t="s">
        <v>526</v>
      </c>
      <c r="C37" s="231">
        <f t="shared" ref="C37:N37" si="9">C35*C36</f>
        <v>1648</v>
      </c>
      <c r="D37" s="231">
        <f t="shared" si="9"/>
        <v>1236</v>
      </c>
      <c r="E37" s="231">
        <f t="shared" si="9"/>
        <v>1524.3999999999999</v>
      </c>
      <c r="F37" s="231">
        <f t="shared" si="9"/>
        <v>1030</v>
      </c>
      <c r="G37" s="231">
        <f t="shared" si="9"/>
        <v>206</v>
      </c>
      <c r="H37" s="231">
        <f t="shared" si="9"/>
        <v>206</v>
      </c>
      <c r="I37" s="231">
        <f t="shared" si="9"/>
        <v>210.5</v>
      </c>
      <c r="J37" s="231">
        <f t="shared" si="9"/>
        <v>210.5</v>
      </c>
      <c r="K37" s="231">
        <f t="shared" si="9"/>
        <v>421</v>
      </c>
      <c r="L37" s="231">
        <f t="shared" si="9"/>
        <v>842</v>
      </c>
      <c r="M37" s="231">
        <f t="shared" si="9"/>
        <v>1052.5</v>
      </c>
      <c r="N37" s="231">
        <f t="shared" si="9"/>
        <v>1473.5</v>
      </c>
      <c r="O37" s="231">
        <f>SUM(C37:N37)</f>
        <v>10060.4</v>
      </c>
      <c r="Q37" s="67">
        <f t="shared" ref="Q37:AB37" si="10">Q35*Q36</f>
        <v>1648</v>
      </c>
      <c r="R37" s="67">
        <f t="shared" si="10"/>
        <v>1236</v>
      </c>
      <c r="S37" s="67">
        <f t="shared" si="10"/>
        <v>1524.3999999999999</v>
      </c>
      <c r="T37" s="67">
        <f t="shared" si="10"/>
        <v>1030</v>
      </c>
      <c r="U37" s="67">
        <f t="shared" si="10"/>
        <v>206</v>
      </c>
      <c r="V37" s="67">
        <f t="shared" si="10"/>
        <v>206</v>
      </c>
      <c r="W37" s="67">
        <f t="shared" si="10"/>
        <v>210.5</v>
      </c>
      <c r="X37" s="67">
        <f t="shared" si="10"/>
        <v>210.5</v>
      </c>
      <c r="Y37" s="67">
        <f t="shared" si="10"/>
        <v>421</v>
      </c>
      <c r="Z37" s="67">
        <f t="shared" si="10"/>
        <v>842</v>
      </c>
      <c r="AA37" s="67">
        <f t="shared" si="10"/>
        <v>1052.5</v>
      </c>
      <c r="AB37" s="67">
        <f t="shared" si="10"/>
        <v>1473.5</v>
      </c>
      <c r="AC37" s="84">
        <f>SUM(Q37:AB37)</f>
        <v>10060.4</v>
      </c>
      <c r="AE37" s="67">
        <f t="shared" ref="AE37:AP37" si="11">AE35*AE36</f>
        <v>1648</v>
      </c>
      <c r="AF37" s="67">
        <f t="shared" si="11"/>
        <v>1236</v>
      </c>
      <c r="AG37" s="67">
        <f t="shared" si="11"/>
        <v>1524.3999999999999</v>
      </c>
      <c r="AH37" s="67">
        <f t="shared" si="11"/>
        <v>1030</v>
      </c>
      <c r="AI37" s="67">
        <f t="shared" si="11"/>
        <v>206</v>
      </c>
      <c r="AJ37" s="67">
        <f t="shared" si="11"/>
        <v>206</v>
      </c>
      <c r="AK37" s="67">
        <f t="shared" si="11"/>
        <v>210.5</v>
      </c>
      <c r="AL37" s="67">
        <f t="shared" si="11"/>
        <v>210.5</v>
      </c>
      <c r="AM37" s="67">
        <f t="shared" si="11"/>
        <v>421</v>
      </c>
      <c r="AN37" s="67">
        <f t="shared" si="11"/>
        <v>842</v>
      </c>
      <c r="AO37" s="67">
        <f t="shared" si="11"/>
        <v>1052.5</v>
      </c>
      <c r="AP37" s="67">
        <f t="shared" si="11"/>
        <v>1473.5</v>
      </c>
      <c r="AQ37" s="84">
        <f>SUM(AE37:AP37)</f>
        <v>10060.4</v>
      </c>
    </row>
    <row r="38" spans="1:43" s="70" customFormat="1" ht="13.5" thickBot="1">
      <c r="A38" s="54" t="s">
        <v>245</v>
      </c>
      <c r="B38" s="200" t="s">
        <v>152</v>
      </c>
      <c r="C38" s="233">
        <f>C37*Factors!C11</f>
        <v>7092.0301612799994</v>
      </c>
      <c r="D38" s="233">
        <f>D37*Factors!D11</f>
        <v>5326.4588419199999</v>
      </c>
      <c r="E38" s="233">
        <f>E37*Factors!E11</f>
        <v>6578.4705775520006</v>
      </c>
      <c r="F38" s="233">
        <f>F37*Factors!F11</f>
        <v>4451.109403200001</v>
      </c>
      <c r="G38" s="233">
        <f>G37*Factors!G11</f>
        <v>891.46125080000024</v>
      </c>
      <c r="H38" s="233">
        <f>H37*Factors!H11</f>
        <v>892.70062096000026</v>
      </c>
      <c r="I38" s="233">
        <f>I37*Factors!I11</f>
        <v>913.46780646000036</v>
      </c>
      <c r="J38" s="233">
        <f>J37*Factors!J11</f>
        <v>914.73425024000039</v>
      </c>
      <c r="K38" s="233">
        <f>K37*Factors!K11</f>
        <v>1832.0013880400008</v>
      </c>
      <c r="L38" s="233">
        <f>L37*Factors!L11</f>
        <v>3669.0685512000018</v>
      </c>
      <c r="M38" s="233">
        <f>M37*Factors!M11</f>
        <v>4592.6679079000032</v>
      </c>
      <c r="N38" s="233">
        <f>N37*Factors!N11</f>
        <v>6438.6001775200048</v>
      </c>
      <c r="O38" s="233">
        <f>SUM(C38:N38)</f>
        <v>43592.770937072011</v>
      </c>
      <c r="Q38" s="67">
        <f>Q37*Factors!R11</f>
        <v>7231.0992967573384</v>
      </c>
      <c r="R38" s="67">
        <f>R37*Factors!S11</f>
        <v>5445.8278936160032</v>
      </c>
      <c r="S38" s="67">
        <f>S37*Factors!T11</f>
        <v>6744.2752880856033</v>
      </c>
      <c r="T38" s="67">
        <f>T37*Factors!U11</f>
        <v>4575.6956130933359</v>
      </c>
      <c r="U38" s="67">
        <f>U37*Factors!V11</f>
        <v>918.88969279333378</v>
      </c>
      <c r="V38" s="67">
        <f>V37*Factors!W11</f>
        <v>922.64026296800046</v>
      </c>
      <c r="W38" s="67">
        <f>W37*Factors!X11</f>
        <v>946.62752609966708</v>
      </c>
      <c r="X38" s="67">
        <f>X37*Factors!Y11</f>
        <v>950.46002620533375</v>
      </c>
      <c r="Y38" s="67">
        <f>Y37*Factors!Z11</f>
        <v>1908.5850526220008</v>
      </c>
      <c r="Z38" s="67">
        <f>Z37*Factors!AA11</f>
        <v>3832.5001056666683</v>
      </c>
      <c r="AA38" s="67">
        <f>AA37*Factors!AB11</f>
        <v>4809.7876326116684</v>
      </c>
      <c r="AB38" s="67">
        <f>AB37*Factors!AC11</f>
        <v>6760.5301863960021</v>
      </c>
      <c r="AC38" s="84">
        <f>SUM(Q38:AB38)</f>
        <v>45046.918576914963</v>
      </c>
      <c r="AE38" s="67">
        <f>AE37*Factors!AG11</f>
        <v>7592.654261595203</v>
      </c>
      <c r="AF38" s="67">
        <f>AF37*Factors!AH11</f>
        <v>5718.1192882968016</v>
      </c>
      <c r="AG38" s="67">
        <f>AG37*Factors!AI11</f>
        <v>7081.4890524898819</v>
      </c>
      <c r="AH38" s="67">
        <f>AH37*Factors!AJ11</f>
        <v>4804.4803937480019</v>
      </c>
      <c r="AI38" s="67">
        <f>AI37*Factors!AK11</f>
        <v>964.83417743300038</v>
      </c>
      <c r="AJ38" s="67">
        <f>AJ37*Factors!AL11</f>
        <v>968.77227611640035</v>
      </c>
      <c r="AK38" s="67">
        <f>AK37*Factors!AM11</f>
        <v>993.95890240465042</v>
      </c>
      <c r="AL38" s="67">
        <f>AL37*Factors!AN11</f>
        <v>997.98302751560038</v>
      </c>
      <c r="AM38" s="67">
        <f>AM37*Factors!AO11</f>
        <v>2004.0143052531009</v>
      </c>
      <c r="AN38" s="67">
        <f>AN37*Factors!AP11</f>
        <v>4024.1251109500017</v>
      </c>
      <c r="AO38" s="67">
        <f>AO37*Factors!AQ11</f>
        <v>5050.2770142422523</v>
      </c>
      <c r="AP38" s="67">
        <f>AP37*Factors!AR11</f>
        <v>7098.5566957158035</v>
      </c>
      <c r="AQ38" s="84">
        <f>SUM(AE38:AP38)</f>
        <v>47299.264505760701</v>
      </c>
    </row>
    <row r="39" spans="1:43" ht="13.5" thickTop="1">
      <c r="A39" s="54"/>
      <c r="B39" s="113"/>
      <c r="O39" s="20"/>
      <c r="AC39" s="80"/>
      <c r="AQ39" s="80"/>
    </row>
    <row r="40" spans="1:43">
      <c r="A40" s="54" t="s">
        <v>306</v>
      </c>
      <c r="B40" s="200" t="s">
        <v>530</v>
      </c>
      <c r="O40" s="20"/>
      <c r="AC40" s="80"/>
      <c r="AQ40" s="80"/>
    </row>
    <row r="41" spans="1:43">
      <c r="O41" s="20"/>
      <c r="AC41" s="80"/>
      <c r="AQ41" s="80"/>
    </row>
    <row r="42" spans="1:43">
      <c r="B42" s="200" t="s">
        <v>532</v>
      </c>
      <c r="O42" s="20"/>
      <c r="AC42" s="80"/>
      <c r="AQ42" s="80"/>
    </row>
    <row r="43" spans="1:43" s="9" customFormat="1">
      <c r="B43" s="200" t="s">
        <v>534</v>
      </c>
      <c r="C43" s="231">
        <f>C44/Factors!C11</f>
        <v>3253.2292552794033</v>
      </c>
      <c r="D43" s="231">
        <f>D44/Factors!D11</f>
        <v>3248.6874513729499</v>
      </c>
      <c r="E43" s="231">
        <f>E44/Factors!E11</f>
        <v>3244.1583113292113</v>
      </c>
      <c r="F43" s="231">
        <f>F44/Factors!F11</f>
        <v>3239.6417822561593</v>
      </c>
      <c r="G43" s="231">
        <f>G44/Factors!G11</f>
        <v>3235.1378115559023</v>
      </c>
      <c r="H43" s="231">
        <f>H44/Factors!H11</f>
        <v>3230.6463469226433</v>
      </c>
      <c r="I43" s="231">
        <f>I44/Factors!I11</f>
        <v>3226.1673363406549</v>
      </c>
      <c r="J43" s="231">
        <f>J44/Factors!J11</f>
        <v>3221.7007280822713</v>
      </c>
      <c r="K43" s="231">
        <f>K44/Factors!K11</f>
        <v>3217.2464707058984</v>
      </c>
      <c r="L43" s="231">
        <f>L44/Factors!L11</f>
        <v>3212.8045130540359</v>
      </c>
      <c r="M43" s="231">
        <f>M44/Factors!M11</f>
        <v>3208.3748042513221</v>
      </c>
      <c r="N43" s="231">
        <f>N44/Factors!N11</f>
        <v>3203.9572937025887</v>
      </c>
      <c r="O43" s="231">
        <f>SUM(C43:N43)</f>
        <v>38741.75210485304</v>
      </c>
      <c r="Q43" s="67">
        <f>Q44/Factors!R11</f>
        <v>2853.5921238494448</v>
      </c>
      <c r="R43" s="67">
        <f>R44/Factors!S11</f>
        <v>2841.8004208583316</v>
      </c>
      <c r="S43" s="67">
        <f>S44/Factors!T11</f>
        <v>2830.1057689206432</v>
      </c>
      <c r="T43" s="67">
        <f>T44/Factors!U11</f>
        <v>2818.5069747857224</v>
      </c>
      <c r="U43" s="67">
        <f>U44/Factors!V11</f>
        <v>2807.0028646845562</v>
      </c>
      <c r="V43" s="67">
        <f>V44/Factors!W11</f>
        <v>2795.5922839338064</v>
      </c>
      <c r="W43" s="67">
        <f>W44/Factors!X11</f>
        <v>2784.274096549459</v>
      </c>
      <c r="X43" s="67">
        <f>X44/Factors!Y11</f>
        <v>2773.0471848698239</v>
      </c>
      <c r="Y43" s="67">
        <f>Y44/Factors!Z11</f>
        <v>2761.910449187616</v>
      </c>
      <c r="Z43" s="67">
        <f>Z44/Factors!AA11</f>
        <v>2750.8628073908658</v>
      </c>
      <c r="AA43" s="67">
        <f>AA44/Factors!AB11</f>
        <v>2739.903194612416</v>
      </c>
      <c r="AB43" s="67">
        <f>AB44/Factors!AC11</f>
        <v>2729.0305628877636</v>
      </c>
      <c r="AC43" s="84">
        <f>SUM(Q43:AB43)</f>
        <v>33485.628732530451</v>
      </c>
      <c r="AE43" s="67">
        <f>AE44/Factors!AG11</f>
        <v>2717.70678461852</v>
      </c>
      <c r="AF43" s="67">
        <f>AF44/Factors!AH11</f>
        <v>2706.47659129365</v>
      </c>
      <c r="AG43" s="67">
        <f>AG44/Factors!AI11</f>
        <v>2695.3388275434704</v>
      </c>
      <c r="AH43" s="67">
        <f>AH44/Factors!AJ11</f>
        <v>2684.292356938784</v>
      </c>
      <c r="AI43" s="67">
        <f>AI44/Factors!AK11</f>
        <v>2673.3360616043396</v>
      </c>
      <c r="AJ43" s="67">
        <f>AJ44/Factors!AL11</f>
        <v>2662.4688418417204</v>
      </c>
      <c r="AK43" s="67">
        <f>AK44/Factors!AM11</f>
        <v>2651.6896157613896</v>
      </c>
      <c r="AL43" s="67">
        <f>AL44/Factors!AN11</f>
        <v>2640.9973189236421</v>
      </c>
      <c r="AM43" s="67">
        <f>AM44/Factors!AO11</f>
        <v>2630.3909039882055</v>
      </c>
      <c r="AN43" s="67">
        <f>AN44/Factors!AP11</f>
        <v>2619.8693403722527</v>
      </c>
      <c r="AO43" s="67">
        <f>AO44/Factors!AQ11</f>
        <v>2609.4316139165867</v>
      </c>
      <c r="AP43" s="67">
        <f>AP44/Factors!AR11</f>
        <v>2599.0767265597747</v>
      </c>
      <c r="AQ43" s="84">
        <f>SUM(AE43:AP43)</f>
        <v>31891.074983362334</v>
      </c>
    </row>
    <row r="44" spans="1:43" s="2" customFormat="1" ht="13.5" thickBot="1">
      <c r="A44" s="2" t="s">
        <v>250</v>
      </c>
      <c r="B44" s="133" t="s">
        <v>533</v>
      </c>
      <c r="C44" s="233">
        <v>14000</v>
      </c>
      <c r="D44" s="233">
        <v>14000</v>
      </c>
      <c r="E44" s="233">
        <v>14000</v>
      </c>
      <c r="F44" s="233">
        <v>14000</v>
      </c>
      <c r="G44" s="233">
        <v>14000</v>
      </c>
      <c r="H44" s="233">
        <v>14000</v>
      </c>
      <c r="I44" s="233">
        <v>14000</v>
      </c>
      <c r="J44" s="233">
        <v>14000</v>
      </c>
      <c r="K44" s="233">
        <v>14000</v>
      </c>
      <c r="L44" s="233">
        <v>14000</v>
      </c>
      <c r="M44" s="233">
        <v>14000</v>
      </c>
      <c r="N44" s="233">
        <v>14000</v>
      </c>
      <c r="O44" s="233">
        <f>SUM(C44:N44)</f>
        <v>168000</v>
      </c>
      <c r="Q44" s="67">
        <v>12521</v>
      </c>
      <c r="R44" s="67">
        <v>12521</v>
      </c>
      <c r="S44" s="67">
        <v>12521</v>
      </c>
      <c r="T44" s="67">
        <v>12521</v>
      </c>
      <c r="U44" s="67">
        <v>12521</v>
      </c>
      <c r="V44" s="67">
        <v>12521</v>
      </c>
      <c r="W44" s="67">
        <v>12521</v>
      </c>
      <c r="X44" s="67">
        <v>12521</v>
      </c>
      <c r="Y44" s="67">
        <v>12521</v>
      </c>
      <c r="Z44" s="67">
        <v>12521</v>
      </c>
      <c r="AA44" s="67">
        <v>12521</v>
      </c>
      <c r="AB44" s="67">
        <v>12521</v>
      </c>
      <c r="AC44" s="84">
        <f>SUM(Q44:AB44)</f>
        <v>150252</v>
      </c>
      <c r="AE44" s="67">
        <v>12521</v>
      </c>
      <c r="AF44" s="67">
        <v>12521</v>
      </c>
      <c r="AG44" s="67">
        <v>12521</v>
      </c>
      <c r="AH44" s="67">
        <v>12521</v>
      </c>
      <c r="AI44" s="67">
        <v>12521</v>
      </c>
      <c r="AJ44" s="67">
        <v>12521</v>
      </c>
      <c r="AK44" s="67">
        <v>12521</v>
      </c>
      <c r="AL44" s="67">
        <v>12521</v>
      </c>
      <c r="AM44" s="67">
        <v>12521</v>
      </c>
      <c r="AN44" s="67">
        <v>12521</v>
      </c>
      <c r="AO44" s="67">
        <v>12521</v>
      </c>
      <c r="AP44" s="67">
        <v>12521</v>
      </c>
      <c r="AQ44" s="84">
        <f>SUM(AE44:AP44)</f>
        <v>150252</v>
      </c>
    </row>
    <row r="45" spans="1:43" ht="13.5" thickTop="1">
      <c r="O45" s="20"/>
      <c r="AC45" s="80"/>
      <c r="AQ45" s="80"/>
    </row>
    <row r="46" spans="1:4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0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80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80"/>
    </row>
    <row r="47" spans="1:43" ht="15.75">
      <c r="B47" s="204" t="s">
        <v>531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0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80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80"/>
    </row>
    <row r="48" spans="1:43" s="2" customFormat="1">
      <c r="B48" s="133" t="s">
        <v>151</v>
      </c>
      <c r="C48" s="266">
        <f t="shared" ref="C48:N48" si="12">C11+C17+C24+C28+C37+C43</f>
        <v>33160.600269565119</v>
      </c>
      <c r="D48" s="266">
        <f t="shared" si="12"/>
        <v>32744.058465658662</v>
      </c>
      <c r="E48" s="266">
        <f t="shared" si="12"/>
        <v>33969.929325614925</v>
      </c>
      <c r="F48" s="266">
        <f t="shared" si="12"/>
        <v>34413.012796541872</v>
      </c>
      <c r="G48" s="266">
        <f t="shared" si="12"/>
        <v>35785.958825841619</v>
      </c>
      <c r="H48" s="266">
        <f t="shared" si="12"/>
        <v>37665.467361208357</v>
      </c>
      <c r="I48" s="266">
        <f t="shared" si="12"/>
        <v>37990.99617205494</v>
      </c>
      <c r="J48" s="266">
        <f t="shared" si="12"/>
        <v>38950.029563796561</v>
      </c>
      <c r="K48" s="266">
        <f t="shared" si="12"/>
        <v>38192.575306420185</v>
      </c>
      <c r="L48" s="266">
        <f t="shared" si="12"/>
        <v>38609.133348768322</v>
      </c>
      <c r="M48" s="266">
        <f t="shared" si="12"/>
        <v>35086.803639965612</v>
      </c>
      <c r="N48" s="266">
        <f t="shared" si="12"/>
        <v>33576.386129416875</v>
      </c>
      <c r="O48" s="231">
        <f>SUM(C48:N48)</f>
        <v>430144.95120485302</v>
      </c>
      <c r="Q48" s="7">
        <f t="shared" ref="Q48:AB48" si="13">Q11+Q17+Q24+Q28+Q37+Q43</f>
        <v>32760.963138135157</v>
      </c>
      <c r="R48" s="7">
        <f t="shared" si="13"/>
        <v>32337.171435144046</v>
      </c>
      <c r="S48" s="7">
        <f t="shared" si="13"/>
        <v>33555.87678320636</v>
      </c>
      <c r="T48" s="7">
        <f t="shared" si="13"/>
        <v>33991.877989071436</v>
      </c>
      <c r="U48" s="7">
        <f t="shared" si="13"/>
        <v>35357.823878970266</v>
      </c>
      <c r="V48" s="7">
        <f t="shared" si="13"/>
        <v>37230.413298219522</v>
      </c>
      <c r="W48" s="7">
        <f t="shared" si="13"/>
        <v>37549.102932263748</v>
      </c>
      <c r="X48" s="7">
        <f t="shared" si="13"/>
        <v>38501.37602058411</v>
      </c>
      <c r="Y48" s="7">
        <f t="shared" si="13"/>
        <v>37737.239284901902</v>
      </c>
      <c r="Z48" s="7">
        <f t="shared" si="13"/>
        <v>38147.19164310515</v>
      </c>
      <c r="AA48" s="7">
        <f t="shared" si="13"/>
        <v>34618.332030326703</v>
      </c>
      <c r="AB48" s="7">
        <f t="shared" si="13"/>
        <v>33101.459398602048</v>
      </c>
      <c r="AC48" s="84">
        <f>SUM(Q48:AB48)</f>
        <v>424888.82783253037</v>
      </c>
      <c r="AE48" s="7">
        <f t="shared" ref="AE48:AP48" si="14">AE11+AE17+AE24+AE28+AE37+AE43</f>
        <v>32625.077798904233</v>
      </c>
      <c r="AF48" s="7">
        <f t="shared" si="14"/>
        <v>32201.847605579362</v>
      </c>
      <c r="AG48" s="7">
        <f t="shared" si="14"/>
        <v>33421.109841829188</v>
      </c>
      <c r="AH48" s="7">
        <f t="shared" si="14"/>
        <v>33857.663371224495</v>
      </c>
      <c r="AI48" s="7">
        <f t="shared" si="14"/>
        <v>35224.157075890056</v>
      </c>
      <c r="AJ48" s="7">
        <f t="shared" si="14"/>
        <v>37097.289856127434</v>
      </c>
      <c r="AK48" s="7">
        <f t="shared" si="14"/>
        <v>37416.518451475677</v>
      </c>
      <c r="AL48" s="7">
        <f t="shared" si="14"/>
        <v>38369.326154637929</v>
      </c>
      <c r="AM48" s="7">
        <f t="shared" si="14"/>
        <v>37605.719739702494</v>
      </c>
      <c r="AN48" s="7">
        <f t="shared" si="14"/>
        <v>38016.198176086538</v>
      </c>
      <c r="AO48" s="7">
        <f t="shared" si="14"/>
        <v>34487.860449630876</v>
      </c>
      <c r="AP48" s="7">
        <f t="shared" si="14"/>
        <v>32971.505562274062</v>
      </c>
      <c r="AQ48" s="84">
        <f>SUM(AE48:AP48)</f>
        <v>423294.27408336231</v>
      </c>
    </row>
    <row r="49" spans="2:43" s="2" customFormat="1" ht="13.5" thickBot="1">
      <c r="B49" s="133" t="s">
        <v>152</v>
      </c>
      <c r="C49" s="267">
        <f t="shared" ref="C49:N49" si="15">C12+C18+C25+C29+C38+C44</f>
        <v>142703.86970746692</v>
      </c>
      <c r="D49" s="267">
        <f t="shared" si="15"/>
        <v>141108.31693750244</v>
      </c>
      <c r="E49" s="267">
        <f t="shared" si="15"/>
        <v>146595.50025588996</v>
      </c>
      <c r="F49" s="267">
        <f t="shared" si="15"/>
        <v>148714.6454865335</v>
      </c>
      <c r="G49" s="267">
        <f t="shared" si="15"/>
        <v>154863.085514379</v>
      </c>
      <c r="H49" s="267">
        <f t="shared" si="15"/>
        <v>163223.23350533651</v>
      </c>
      <c r="I49" s="267">
        <f t="shared" si="15"/>
        <v>164862.47951789686</v>
      </c>
      <c r="J49" s="267">
        <f t="shared" si="15"/>
        <v>169258.55624639094</v>
      </c>
      <c r="K49" s="267">
        <f t="shared" si="15"/>
        <v>166196.79566314496</v>
      </c>
      <c r="L49" s="267">
        <f t="shared" si="15"/>
        <v>168241.75410813905</v>
      </c>
      <c r="M49" s="267">
        <f t="shared" si="15"/>
        <v>153104.07322380907</v>
      </c>
      <c r="N49" s="267">
        <f t="shared" si="15"/>
        <v>146715.25326999911</v>
      </c>
      <c r="O49" s="233">
        <f>SUM(C49:N49)</f>
        <v>1865587.5634364884</v>
      </c>
      <c r="Q49" s="7">
        <f t="shared" ref="Q49:AB49" si="16">Q12+Q18+Q25+Q29+Q38+Q44</f>
        <v>143439.09971201711</v>
      </c>
      <c r="R49" s="7">
        <f t="shared" si="16"/>
        <v>142168.33682383219</v>
      </c>
      <c r="S49" s="7">
        <f t="shared" si="16"/>
        <v>148131.7537978102</v>
      </c>
      <c r="T49" s="7">
        <f t="shared" si="16"/>
        <v>150662.44503343833</v>
      </c>
      <c r="U49" s="7">
        <f t="shared" si="16"/>
        <v>157374.30194075956</v>
      </c>
      <c r="V49" s="7">
        <f t="shared" si="16"/>
        <v>166370.7695120204</v>
      </c>
      <c r="W49" s="7">
        <f t="shared" si="16"/>
        <v>168473.14060996633</v>
      </c>
      <c r="X49" s="7">
        <f t="shared" si="16"/>
        <v>173438.99254147883</v>
      </c>
      <c r="Y49" s="7">
        <f t="shared" si="16"/>
        <v>170693.33537082703</v>
      </c>
      <c r="Z49" s="7">
        <f t="shared" si="16"/>
        <v>173246.36904104089</v>
      </c>
      <c r="AA49" s="7">
        <f t="shared" si="16"/>
        <v>157849.55801564321</v>
      </c>
      <c r="AB49" s="7">
        <f t="shared" si="16"/>
        <v>151555.39901081286</v>
      </c>
      <c r="AC49" s="86">
        <f>SUM(Q49:AB49)</f>
        <v>1903403.5014096471</v>
      </c>
      <c r="AE49" s="7">
        <f t="shared" ref="AE49:AP49" si="17">AE12+AE18+AE25+AE29+AE38+AE44</f>
        <v>150310.03397131388</v>
      </c>
      <c r="AF49" s="7">
        <f t="shared" si="17"/>
        <v>148975.73293871971</v>
      </c>
      <c r="AG49" s="7">
        <f t="shared" si="17"/>
        <v>155255.32896023043</v>
      </c>
      <c r="AH49" s="7">
        <f t="shared" si="17"/>
        <v>157930.56295647376</v>
      </c>
      <c r="AI49" s="7">
        <f t="shared" si="17"/>
        <v>164978.01270916106</v>
      </c>
      <c r="AJ49" s="7">
        <f t="shared" si="17"/>
        <v>174460.32005665253</v>
      </c>
      <c r="AK49" s="7">
        <f t="shared" si="17"/>
        <v>176676.87226523567</v>
      </c>
      <c r="AL49" s="7">
        <f t="shared" si="17"/>
        <v>181909.43600731151</v>
      </c>
      <c r="AM49" s="7">
        <f t="shared" si="17"/>
        <v>179008.07676413946</v>
      </c>
      <c r="AN49" s="7">
        <f t="shared" si="17"/>
        <v>181688.76211786401</v>
      </c>
      <c r="AO49" s="7">
        <f t="shared" si="17"/>
        <v>165485.27211322114</v>
      </c>
      <c r="AP49" s="7">
        <f t="shared" si="17"/>
        <v>158839.566730174</v>
      </c>
      <c r="AQ49" s="86">
        <f>SUM(AE49:AP49)</f>
        <v>1995517.9775904974</v>
      </c>
    </row>
    <row r="50" spans="2:43" ht="13.5" thickTop="1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0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4" spans="2:4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4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4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4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4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4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2:4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2:4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2:4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</sheetData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P60"/>
  <sheetViews>
    <sheetView view="pageBreakPreview" zoomScale="75" zoomScaleNormal="75" workbookViewId="0">
      <selection activeCell="F29" sqref="F29"/>
    </sheetView>
  </sheetViews>
  <sheetFormatPr defaultRowHeight="12.75"/>
  <cols>
    <col min="1" max="1" width="42.5703125" style="269" customWidth="1"/>
    <col min="2" max="5" width="8.7109375" bestFit="1" customWidth="1"/>
    <col min="6" max="6" width="9.42578125" bestFit="1" customWidth="1"/>
    <col min="7" max="13" width="8.7109375" bestFit="1" customWidth="1"/>
    <col min="14" max="14" width="19.7109375" customWidth="1"/>
    <col min="15" max="15" width="61.7109375" style="11" customWidth="1"/>
    <col min="28" max="28" width="10.42578125" bestFit="1" customWidth="1"/>
    <col min="29" max="29" width="16.5703125" customWidth="1"/>
    <col min="42" max="42" width="11" customWidth="1"/>
  </cols>
  <sheetData>
    <row r="1" spans="1:42">
      <c r="A1" s="2" t="s">
        <v>502</v>
      </c>
      <c r="O1" s="11" t="s">
        <v>612</v>
      </c>
      <c r="AC1" t="s">
        <v>613</v>
      </c>
    </row>
    <row r="2" spans="1:42" ht="20.25">
      <c r="A2" s="111" t="s">
        <v>4</v>
      </c>
    </row>
    <row r="3" spans="1:42" ht="44.45" customHeight="1">
      <c r="A3" s="268"/>
    </row>
    <row r="4" spans="1:42">
      <c r="A4" s="47" t="s">
        <v>1223</v>
      </c>
      <c r="B4" s="16" t="s">
        <v>50</v>
      </c>
      <c r="C4" s="16" t="s">
        <v>51</v>
      </c>
      <c r="D4" s="16" t="s">
        <v>52</v>
      </c>
      <c r="E4" s="16" t="s">
        <v>53</v>
      </c>
      <c r="F4" s="16" t="s">
        <v>54</v>
      </c>
      <c r="G4" s="16" t="s">
        <v>55</v>
      </c>
      <c r="H4" s="16" t="s">
        <v>56</v>
      </c>
      <c r="I4" s="16" t="s">
        <v>57</v>
      </c>
      <c r="J4" s="16" t="s">
        <v>58</v>
      </c>
      <c r="K4" s="16" t="s">
        <v>59</v>
      </c>
      <c r="L4" s="16" t="s">
        <v>60</v>
      </c>
      <c r="M4" s="16" t="s">
        <v>61</v>
      </c>
      <c r="N4" s="16" t="s">
        <v>97</v>
      </c>
      <c r="P4" s="16" t="s">
        <v>50</v>
      </c>
      <c r="Q4" s="16" t="s">
        <v>51</v>
      </c>
      <c r="R4" s="16" t="s">
        <v>52</v>
      </c>
      <c r="S4" s="16" t="s">
        <v>53</v>
      </c>
      <c r="T4" s="16" t="s">
        <v>54</v>
      </c>
      <c r="U4" s="16" t="s">
        <v>55</v>
      </c>
      <c r="V4" s="16" t="s">
        <v>56</v>
      </c>
      <c r="W4" s="16" t="s">
        <v>57</v>
      </c>
      <c r="X4" s="16" t="s">
        <v>58</v>
      </c>
      <c r="Y4" s="16" t="s">
        <v>59</v>
      </c>
      <c r="Z4" s="16" t="s">
        <v>60</v>
      </c>
      <c r="AA4" s="16" t="s">
        <v>61</v>
      </c>
      <c r="AC4" s="40"/>
      <c r="AD4" s="16" t="s">
        <v>50</v>
      </c>
      <c r="AE4" s="16" t="s">
        <v>51</v>
      </c>
      <c r="AF4" s="16" t="s">
        <v>52</v>
      </c>
      <c r="AG4" s="16" t="s">
        <v>53</v>
      </c>
      <c r="AH4" s="16" t="s">
        <v>54</v>
      </c>
      <c r="AI4" s="16" t="s">
        <v>55</v>
      </c>
      <c r="AJ4" s="16" t="s">
        <v>56</v>
      </c>
      <c r="AK4" s="16" t="s">
        <v>57</v>
      </c>
      <c r="AL4" s="16" t="s">
        <v>58</v>
      </c>
      <c r="AM4" s="16" t="s">
        <v>59</v>
      </c>
      <c r="AN4" s="16" t="s">
        <v>60</v>
      </c>
      <c r="AO4" s="16" t="s">
        <v>61</v>
      </c>
    </row>
    <row r="5" spans="1:42">
      <c r="A5" s="19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94"/>
      <c r="P5" s="3"/>
      <c r="Q5" s="3"/>
      <c r="AC5" s="3"/>
      <c r="AD5" s="3"/>
      <c r="AE5" s="3"/>
    </row>
    <row r="6" spans="1:42" hidden="1">
      <c r="A6" s="197" t="s">
        <v>676</v>
      </c>
      <c r="B6" s="17">
        <v>0</v>
      </c>
      <c r="C6" s="17">
        <v>0</v>
      </c>
      <c r="D6" s="17">
        <f>4837</f>
        <v>4837</v>
      </c>
      <c r="E6" s="17">
        <v>0</v>
      </c>
      <c r="F6" s="17">
        <v>0</v>
      </c>
      <c r="G6" s="17">
        <f>D6</f>
        <v>4837</v>
      </c>
      <c r="H6" s="17">
        <v>0</v>
      </c>
      <c r="I6" s="17">
        <v>0</v>
      </c>
      <c r="J6" s="17">
        <f>G6+21474</f>
        <v>26311</v>
      </c>
      <c r="K6" s="17">
        <v>0</v>
      </c>
      <c r="L6" s="17">
        <v>0</v>
      </c>
      <c r="M6" s="17">
        <f>G6</f>
        <v>4837</v>
      </c>
      <c r="N6" s="17">
        <f>SUM(B6:M6)</f>
        <v>40822</v>
      </c>
      <c r="O6" s="195" t="s">
        <v>224</v>
      </c>
      <c r="P6" s="17">
        <f>P22/Factors!R11</f>
        <v>7818.7193509226827</v>
      </c>
      <c r="Q6" s="17">
        <f>Q22/Factors!S11</f>
        <v>7786.4105932742423</v>
      </c>
      <c r="R6" s="17">
        <f>R22/Factors!T11</f>
        <v>7754.3677513266111</v>
      </c>
      <c r="S6" s="17">
        <f>S22/Factors!U11</f>
        <v>1419.0454411827486</v>
      </c>
      <c r="T6" s="17">
        <f>T22/Factors!V11</f>
        <v>1413.2534189738394</v>
      </c>
      <c r="U6" s="17">
        <f>U22/Factors!W11</f>
        <v>1407.5084863763848</v>
      </c>
      <c r="V6" s="17">
        <f>V22/Factors!X11</f>
        <v>1401.8100714517841</v>
      </c>
      <c r="W6" s="17">
        <f>W22/Factors!Y11</f>
        <v>1396.1576114862528</v>
      </c>
      <c r="X6" s="17">
        <f>X22/Factors!Z11</f>
        <v>1390.5505528055851</v>
      </c>
      <c r="Y6" s="17">
        <f>Y22/Factors!AA11</f>
        <v>1384.9883505943628</v>
      </c>
      <c r="Z6" s="17">
        <f>Z22/Factors!AB11</f>
        <v>1379.4704687194849</v>
      </c>
      <c r="AA6" s="17">
        <f>AA22/Factors!AC11</f>
        <v>1373.9963795578997</v>
      </c>
      <c r="AB6" s="17">
        <f>SUM(P6:AA6)</f>
        <v>35926.278476671876</v>
      </c>
      <c r="AC6" s="96" t="s">
        <v>224</v>
      </c>
      <c r="AD6" s="17">
        <f>AD22/Factors!AF11</f>
        <v>7477.4260459220914</v>
      </c>
      <c r="AE6" s="17">
        <f>AE22/Factors!AG11</f>
        <v>7446.3993818311283</v>
      </c>
      <c r="AF6" s="17">
        <f>AF22/Factors!AH11</f>
        <v>7415.629136451661</v>
      </c>
      <c r="AG6" s="17">
        <f>AG22/Factors!AI11</f>
        <v>1357.0334612917527</v>
      </c>
      <c r="AH6" s="17">
        <f>AH22/Factors!AJ11</f>
        <v>1351.471848745475</v>
      </c>
      <c r="AI6" s="17">
        <f>AI22/Factors!AK11</f>
        <v>1345.9556371179426</v>
      </c>
      <c r="AJ6" s="17">
        <f>AJ22/Factors!AL11</f>
        <v>1340.4842727394143</v>
      </c>
      <c r="AK6" s="17">
        <f>AK22/Factors!AM11</f>
        <v>1335.0572109064613</v>
      </c>
      <c r="AL6" s="17">
        <f>AL22/Factors!AN11</f>
        <v>1329.6739157011932</v>
      </c>
      <c r="AM6" s="17">
        <f>AM22/Factors!AO11</f>
        <v>1324.333859814843</v>
      </c>
      <c r="AN6" s="17">
        <f>AN22/Factors!AP11</f>
        <v>1319.0365243755837</v>
      </c>
      <c r="AO6" s="17">
        <f>AO22/Factors!AQ11</f>
        <v>1313.7813987804618</v>
      </c>
      <c r="AP6" s="17">
        <f>SUM(AD6:AO6)</f>
        <v>34356.282693678004</v>
      </c>
    </row>
    <row r="7" spans="1:42" s="2" customFormat="1" ht="15" customHeight="1">
      <c r="A7" s="47" t="s">
        <v>2</v>
      </c>
      <c r="B7" s="7">
        <f>B6*0.9</f>
        <v>0</v>
      </c>
      <c r="C7" s="7">
        <f t="shared" ref="C7:M7" si="0">C6*0.9</f>
        <v>0</v>
      </c>
      <c r="D7" s="7">
        <f t="shared" si="0"/>
        <v>4353.3</v>
      </c>
      <c r="E7" s="7">
        <f t="shared" si="0"/>
        <v>0</v>
      </c>
      <c r="F7" s="7">
        <f t="shared" si="0"/>
        <v>0</v>
      </c>
      <c r="G7" s="7">
        <f t="shared" si="0"/>
        <v>4353.3</v>
      </c>
      <c r="H7" s="7">
        <f t="shared" si="0"/>
        <v>0</v>
      </c>
      <c r="I7" s="7">
        <f t="shared" si="0"/>
        <v>0</v>
      </c>
      <c r="J7" s="7">
        <f t="shared" si="0"/>
        <v>23679.9</v>
      </c>
      <c r="K7" s="7">
        <f t="shared" si="0"/>
        <v>0</v>
      </c>
      <c r="L7" s="7">
        <f t="shared" si="0"/>
        <v>0</v>
      </c>
      <c r="M7" s="7">
        <f t="shared" si="0"/>
        <v>4353.3</v>
      </c>
      <c r="N7" s="67">
        <f>SUM(B7:M7)</f>
        <v>36739.800000000003</v>
      </c>
      <c r="O7" s="48"/>
      <c r="P7" s="7"/>
      <c r="Q7" s="7"/>
      <c r="AC7" s="7"/>
      <c r="AD7" s="7"/>
      <c r="AE7" s="7"/>
    </row>
    <row r="8" spans="1:42" ht="4.9000000000000004" customHeight="1">
      <c r="A8" s="47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7"/>
      <c r="O8" s="194"/>
      <c r="P8" s="3"/>
      <c r="Q8" s="3"/>
      <c r="AC8" s="3"/>
      <c r="AD8" s="3"/>
      <c r="AE8" s="3"/>
    </row>
    <row r="9" spans="1:42" ht="15" customHeight="1">
      <c r="A9" s="197" t="s">
        <v>1348</v>
      </c>
      <c r="B9" s="3">
        <v>0</v>
      </c>
      <c r="C9" s="3">
        <v>0</v>
      </c>
      <c r="D9" s="3">
        <v>0</v>
      </c>
      <c r="E9" s="3">
        <v>0</v>
      </c>
      <c r="F9" s="3">
        <v>50000</v>
      </c>
      <c r="G9" s="3">
        <f>E9</f>
        <v>0</v>
      </c>
      <c r="H9" s="3">
        <v>0</v>
      </c>
      <c r="I9" s="3">
        <f t="shared" ref="I9:M9" si="1">G9</f>
        <v>0</v>
      </c>
      <c r="J9" s="3">
        <f t="shared" si="1"/>
        <v>0</v>
      </c>
      <c r="K9" s="3">
        <f t="shared" si="1"/>
        <v>0</v>
      </c>
      <c r="L9" s="3">
        <f t="shared" si="1"/>
        <v>0</v>
      </c>
      <c r="M9" s="3">
        <f t="shared" si="1"/>
        <v>0</v>
      </c>
      <c r="N9" s="17">
        <f>SUM(B9:M9)</f>
        <v>50000</v>
      </c>
      <c r="O9" s="194"/>
      <c r="P9" s="3"/>
      <c r="Q9" s="3"/>
      <c r="AC9" s="3"/>
      <c r="AD9" s="3"/>
      <c r="AE9" s="3"/>
    </row>
    <row r="10" spans="1:42" ht="15" customHeight="1">
      <c r="A10" s="197" t="s">
        <v>1178</v>
      </c>
      <c r="B10" s="3">
        <v>1315</v>
      </c>
      <c r="C10" s="3">
        <f>B10</f>
        <v>1315</v>
      </c>
      <c r="D10" s="3">
        <f t="shared" ref="D10:M10" si="2">C10</f>
        <v>1315</v>
      </c>
      <c r="E10" s="3">
        <f t="shared" si="2"/>
        <v>1315</v>
      </c>
      <c r="F10" s="3">
        <f t="shared" si="2"/>
        <v>1315</v>
      </c>
      <c r="G10" s="3">
        <f t="shared" si="2"/>
        <v>1315</v>
      </c>
      <c r="H10" s="3">
        <f t="shared" si="2"/>
        <v>1315</v>
      </c>
      <c r="I10" s="3">
        <f t="shared" si="2"/>
        <v>1315</v>
      </c>
      <c r="J10" s="3">
        <f t="shared" si="2"/>
        <v>1315</v>
      </c>
      <c r="K10" s="3">
        <f t="shared" si="2"/>
        <v>1315</v>
      </c>
      <c r="L10" s="3">
        <f t="shared" si="2"/>
        <v>1315</v>
      </c>
      <c r="M10" s="3">
        <f t="shared" si="2"/>
        <v>1315</v>
      </c>
      <c r="N10" s="17">
        <f>SUM(B10:M10)</f>
        <v>15780</v>
      </c>
      <c r="O10" s="194"/>
      <c r="P10" s="3"/>
      <c r="Q10" s="3"/>
      <c r="AC10" s="3"/>
      <c r="AD10" s="3"/>
      <c r="AE10" s="3"/>
    </row>
    <row r="11" spans="1:42" s="2" customFormat="1">
      <c r="A11" s="47" t="s">
        <v>1226</v>
      </c>
      <c r="B11" s="67">
        <f>B9+B10</f>
        <v>1315</v>
      </c>
      <c r="C11" s="67">
        <f t="shared" ref="C11:M11" si="3">C9+C10</f>
        <v>1315</v>
      </c>
      <c r="D11" s="67">
        <f t="shared" si="3"/>
        <v>1315</v>
      </c>
      <c r="E11" s="67">
        <f t="shared" si="3"/>
        <v>1315</v>
      </c>
      <c r="F11" s="67">
        <f t="shared" si="3"/>
        <v>51315</v>
      </c>
      <c r="G11" s="67">
        <f t="shared" si="3"/>
        <v>1315</v>
      </c>
      <c r="H11" s="67">
        <f t="shared" si="3"/>
        <v>1315</v>
      </c>
      <c r="I11" s="67">
        <f t="shared" si="3"/>
        <v>1315</v>
      </c>
      <c r="J11" s="67">
        <f t="shared" si="3"/>
        <v>1315</v>
      </c>
      <c r="K11" s="67">
        <f t="shared" si="3"/>
        <v>1315</v>
      </c>
      <c r="L11" s="67">
        <f t="shared" si="3"/>
        <v>1315</v>
      </c>
      <c r="M11" s="67">
        <f t="shared" si="3"/>
        <v>1315</v>
      </c>
      <c r="N11" s="67">
        <f>SUM(B11:M11)</f>
        <v>65780</v>
      </c>
      <c r="O11" s="48"/>
      <c r="P11" s="130">
        <f>$AB$11/12</f>
        <v>152063.16666666666</v>
      </c>
      <c r="Q11" s="130">
        <f t="shared" ref="Q11:AA11" si="4">$AB$11/12</f>
        <v>152063.16666666666</v>
      </c>
      <c r="R11" s="130">
        <f t="shared" si="4"/>
        <v>152063.16666666666</v>
      </c>
      <c r="S11" s="130">
        <f t="shared" si="4"/>
        <v>152063.16666666666</v>
      </c>
      <c r="T11" s="130">
        <f t="shared" si="4"/>
        <v>152063.16666666666</v>
      </c>
      <c r="U11" s="130">
        <f t="shared" si="4"/>
        <v>152063.16666666666</v>
      </c>
      <c r="V11" s="130">
        <f t="shared" si="4"/>
        <v>152063.16666666666</v>
      </c>
      <c r="W11" s="130">
        <f t="shared" si="4"/>
        <v>152063.16666666666</v>
      </c>
      <c r="X11" s="130">
        <f t="shared" si="4"/>
        <v>152063.16666666666</v>
      </c>
      <c r="Y11" s="130">
        <f t="shared" si="4"/>
        <v>152063.16666666666</v>
      </c>
      <c r="Z11" s="130">
        <f t="shared" si="4"/>
        <v>152063.16666666666</v>
      </c>
      <c r="AA11" s="130">
        <f t="shared" si="4"/>
        <v>152063.16666666666</v>
      </c>
      <c r="AB11" s="7">
        <v>1824758</v>
      </c>
      <c r="AC11" s="7"/>
      <c r="AD11" s="130">
        <f>$AP$11/12</f>
        <v>167867.66666666666</v>
      </c>
      <c r="AE11" s="130">
        <f t="shared" ref="AE11:AO11" si="5">$AP$11/12</f>
        <v>167867.66666666666</v>
      </c>
      <c r="AF11" s="130">
        <f t="shared" si="5"/>
        <v>167867.66666666666</v>
      </c>
      <c r="AG11" s="130">
        <f t="shared" si="5"/>
        <v>167867.66666666666</v>
      </c>
      <c r="AH11" s="130">
        <f t="shared" si="5"/>
        <v>167867.66666666666</v>
      </c>
      <c r="AI11" s="130">
        <f t="shared" si="5"/>
        <v>167867.66666666666</v>
      </c>
      <c r="AJ11" s="130">
        <f t="shared" si="5"/>
        <v>167867.66666666666</v>
      </c>
      <c r="AK11" s="130">
        <f t="shared" si="5"/>
        <v>167867.66666666666</v>
      </c>
      <c r="AL11" s="130">
        <f t="shared" si="5"/>
        <v>167867.66666666666</v>
      </c>
      <c r="AM11" s="130">
        <f t="shared" si="5"/>
        <v>167867.66666666666</v>
      </c>
      <c r="AN11" s="130">
        <f t="shared" si="5"/>
        <v>167867.66666666666</v>
      </c>
      <c r="AO11" s="130">
        <f t="shared" si="5"/>
        <v>167867.66666666666</v>
      </c>
      <c r="AP11" s="7">
        <v>2014412</v>
      </c>
    </row>
    <row r="12" spans="1:42" s="2" customFormat="1" ht="4.1500000000000004" customHeight="1">
      <c r="A12" s="4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48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7"/>
      <c r="AC12" s="7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7"/>
    </row>
    <row r="13" spans="1:42">
      <c r="A13" s="47" t="s">
        <v>104</v>
      </c>
      <c r="B13" s="3">
        <f>20993-1315</f>
        <v>19678</v>
      </c>
      <c r="C13" s="3">
        <f t="shared" ref="C13:M13" si="6">20993-1315</f>
        <v>19678</v>
      </c>
      <c r="D13" s="3">
        <f t="shared" si="6"/>
        <v>19678</v>
      </c>
      <c r="E13" s="3">
        <f t="shared" si="6"/>
        <v>19678</v>
      </c>
      <c r="F13" s="3">
        <f t="shared" si="6"/>
        <v>19678</v>
      </c>
      <c r="G13" s="3">
        <f t="shared" si="6"/>
        <v>19678</v>
      </c>
      <c r="H13" s="3">
        <f t="shared" si="6"/>
        <v>19678</v>
      </c>
      <c r="I13" s="3">
        <f t="shared" si="6"/>
        <v>19678</v>
      </c>
      <c r="J13" s="3">
        <f t="shared" si="6"/>
        <v>19678</v>
      </c>
      <c r="K13" s="3">
        <f t="shared" si="6"/>
        <v>19678</v>
      </c>
      <c r="L13" s="3">
        <f t="shared" si="6"/>
        <v>19678</v>
      </c>
      <c r="M13" s="3">
        <f t="shared" si="6"/>
        <v>19678</v>
      </c>
      <c r="N13" s="3">
        <f>SUM(B13:M13)</f>
        <v>236136</v>
      </c>
      <c r="O13" s="11" t="s">
        <v>104</v>
      </c>
      <c r="P13" s="3">
        <v>20993</v>
      </c>
      <c r="Q13" s="3">
        <v>20993</v>
      </c>
      <c r="R13" s="3">
        <v>20993</v>
      </c>
      <c r="S13" s="3">
        <v>20993</v>
      </c>
      <c r="T13" s="3">
        <v>20993</v>
      </c>
      <c r="U13" s="3">
        <v>20993</v>
      </c>
      <c r="V13" s="3">
        <v>20993</v>
      </c>
      <c r="W13" s="3">
        <v>20993</v>
      </c>
      <c r="X13" s="3">
        <v>20993</v>
      </c>
      <c r="Y13" s="3">
        <v>20993</v>
      </c>
      <c r="Z13" s="3">
        <v>20993</v>
      </c>
      <c r="AA13" s="3">
        <v>20993</v>
      </c>
      <c r="AB13" s="3">
        <f>SUM(P13:AA13)</f>
        <v>251916</v>
      </c>
      <c r="AC13" s="40" t="s">
        <v>104</v>
      </c>
      <c r="AD13" s="3">
        <v>20993</v>
      </c>
      <c r="AE13" s="3">
        <v>20993</v>
      </c>
      <c r="AF13" s="3">
        <v>20993</v>
      </c>
      <c r="AG13" s="3">
        <v>20993</v>
      </c>
      <c r="AH13" s="3">
        <v>20993</v>
      </c>
      <c r="AI13" s="3">
        <v>20993</v>
      </c>
      <c r="AJ13" s="3">
        <v>20993</v>
      </c>
      <c r="AK13" s="3">
        <v>20993</v>
      </c>
      <c r="AL13" s="3">
        <v>20993</v>
      </c>
      <c r="AM13" s="3">
        <v>20993</v>
      </c>
      <c r="AN13" s="3">
        <v>20993</v>
      </c>
      <c r="AO13" s="3">
        <v>20993</v>
      </c>
      <c r="AP13" s="3">
        <f>SUM(AD13:AO13)</f>
        <v>251916</v>
      </c>
    </row>
    <row r="14" spans="1:42">
      <c r="A14" s="47" t="s">
        <v>3</v>
      </c>
      <c r="B14" s="3">
        <v>17072</v>
      </c>
      <c r="C14" s="3">
        <v>17072</v>
      </c>
      <c r="D14" s="3">
        <v>17072</v>
      </c>
      <c r="E14" s="3">
        <v>17072</v>
      </c>
      <c r="F14" s="3">
        <v>17072</v>
      </c>
      <c r="G14" s="3">
        <v>17072</v>
      </c>
      <c r="H14" s="3">
        <v>17072</v>
      </c>
      <c r="I14" s="3">
        <v>17072</v>
      </c>
      <c r="J14" s="3">
        <v>17072</v>
      </c>
      <c r="K14" s="3">
        <v>17072</v>
      </c>
      <c r="L14" s="3">
        <v>17072</v>
      </c>
      <c r="M14" s="3">
        <v>17072</v>
      </c>
      <c r="N14" s="3">
        <f>SUM(B14:M14)</f>
        <v>204864</v>
      </c>
      <c r="O14" s="11" t="s">
        <v>105</v>
      </c>
      <c r="P14" s="3">
        <v>17072</v>
      </c>
      <c r="Q14" s="3">
        <v>17072</v>
      </c>
      <c r="R14" s="3">
        <v>17072</v>
      </c>
      <c r="S14" s="3">
        <v>17072</v>
      </c>
      <c r="T14" s="3">
        <v>17072</v>
      </c>
      <c r="U14" s="3">
        <v>17072</v>
      </c>
      <c r="V14" s="3">
        <v>17072</v>
      </c>
      <c r="W14" s="3">
        <v>17072</v>
      </c>
      <c r="X14" s="3">
        <v>17072</v>
      </c>
      <c r="Y14" s="3">
        <v>17072</v>
      </c>
      <c r="Z14" s="3">
        <v>17072</v>
      </c>
      <c r="AA14" s="3">
        <v>17072</v>
      </c>
      <c r="AB14" s="3">
        <f>SUM(P14:AA14)</f>
        <v>204864</v>
      </c>
      <c r="AC14" s="40" t="s">
        <v>105</v>
      </c>
      <c r="AD14" s="3">
        <v>17072</v>
      </c>
      <c r="AE14" s="3">
        <v>17072</v>
      </c>
      <c r="AF14" s="3">
        <v>17072</v>
      </c>
      <c r="AG14" s="3">
        <v>17072</v>
      </c>
      <c r="AH14" s="3">
        <v>17072</v>
      </c>
      <c r="AI14" s="3">
        <v>17072</v>
      </c>
      <c r="AJ14" s="3">
        <v>17072</v>
      </c>
      <c r="AK14" s="3">
        <v>17072</v>
      </c>
      <c r="AL14" s="3">
        <v>17072</v>
      </c>
      <c r="AM14" s="3">
        <v>17072</v>
      </c>
      <c r="AN14" s="3">
        <v>17072</v>
      </c>
      <c r="AO14" s="3">
        <v>17072</v>
      </c>
      <c r="AP14" s="3">
        <f>SUM(AD14:AO14)</f>
        <v>204864</v>
      </c>
    </row>
    <row r="15" spans="1:42">
      <c r="A15" s="47" t="s">
        <v>106</v>
      </c>
      <c r="B15" s="3">
        <v>7045</v>
      </c>
      <c r="C15" s="3">
        <v>7045</v>
      </c>
      <c r="D15" s="3">
        <v>7045</v>
      </c>
      <c r="E15" s="3">
        <v>7045</v>
      </c>
      <c r="F15" s="3">
        <v>7045</v>
      </c>
      <c r="G15" s="3">
        <v>7045</v>
      </c>
      <c r="H15" s="3">
        <v>7045</v>
      </c>
      <c r="I15" s="3">
        <v>7045</v>
      </c>
      <c r="J15" s="3">
        <v>7045</v>
      </c>
      <c r="K15" s="3">
        <v>7045</v>
      </c>
      <c r="L15" s="3">
        <v>7045</v>
      </c>
      <c r="M15" s="3">
        <v>7045</v>
      </c>
      <c r="N15" s="3">
        <f>SUM(B15:M15)</f>
        <v>84540</v>
      </c>
      <c r="O15" s="11" t="s">
        <v>106</v>
      </c>
      <c r="P15" s="3">
        <v>7045</v>
      </c>
      <c r="Q15" s="3">
        <v>7045</v>
      </c>
      <c r="R15" s="3">
        <v>7045</v>
      </c>
      <c r="S15" s="3">
        <v>7045</v>
      </c>
      <c r="T15" s="3">
        <v>7045</v>
      </c>
      <c r="U15" s="3">
        <v>7045</v>
      </c>
      <c r="V15" s="3">
        <v>7045</v>
      </c>
      <c r="W15" s="3">
        <v>7045</v>
      </c>
      <c r="X15" s="3">
        <v>7045</v>
      </c>
      <c r="Y15" s="3">
        <v>7045</v>
      </c>
      <c r="Z15" s="3">
        <v>7045</v>
      </c>
      <c r="AA15" s="3">
        <v>7045</v>
      </c>
      <c r="AB15" s="3">
        <f>SUM(P15:AA15)</f>
        <v>84540</v>
      </c>
      <c r="AC15" s="40" t="s">
        <v>106</v>
      </c>
      <c r="AD15" s="3">
        <v>7045</v>
      </c>
      <c r="AE15" s="3">
        <v>7045</v>
      </c>
      <c r="AF15" s="3">
        <v>7045</v>
      </c>
      <c r="AG15" s="3">
        <v>7045</v>
      </c>
      <c r="AH15" s="3">
        <v>7045</v>
      </c>
      <c r="AI15" s="3">
        <v>7045</v>
      </c>
      <c r="AJ15" s="3">
        <v>7045</v>
      </c>
      <c r="AK15" s="3">
        <v>7045</v>
      </c>
      <c r="AL15" s="3">
        <v>7045</v>
      </c>
      <c r="AM15" s="3">
        <v>7045</v>
      </c>
      <c r="AN15" s="3">
        <v>7045</v>
      </c>
      <c r="AO15" s="3">
        <v>7045</v>
      </c>
      <c r="AP15" s="3">
        <f>SUM(AD15:AO15)</f>
        <v>84540</v>
      </c>
    </row>
    <row r="16" spans="1:42">
      <c r="A16" s="4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0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94"/>
      <c r="P17" s="3"/>
      <c r="Q17" s="3"/>
      <c r="AC17" s="3"/>
      <c r="AD17" s="3"/>
      <c r="AE17" s="3"/>
    </row>
    <row r="18" spans="1:42" s="2" customFormat="1" ht="13.5" thickBot="1">
      <c r="A18" s="201" t="s">
        <v>1225</v>
      </c>
      <c r="B18" s="10">
        <f>B7+B11+B13+B14+B15</f>
        <v>45110</v>
      </c>
      <c r="C18" s="10">
        <f t="shared" ref="C18:N18" si="7">C7+C11+C13+C14+C15</f>
        <v>45110</v>
      </c>
      <c r="D18" s="10">
        <f t="shared" si="7"/>
        <v>49463.3</v>
      </c>
      <c r="E18" s="10">
        <f t="shared" si="7"/>
        <v>45110</v>
      </c>
      <c r="F18" s="10">
        <f t="shared" si="7"/>
        <v>95110</v>
      </c>
      <c r="G18" s="10">
        <f t="shared" si="7"/>
        <v>49463.3</v>
      </c>
      <c r="H18" s="10">
        <f t="shared" si="7"/>
        <v>45110</v>
      </c>
      <c r="I18" s="10">
        <f t="shared" si="7"/>
        <v>45110</v>
      </c>
      <c r="J18" s="10">
        <f t="shared" si="7"/>
        <v>68789.899999999994</v>
      </c>
      <c r="K18" s="10">
        <f t="shared" si="7"/>
        <v>45110</v>
      </c>
      <c r="L18" s="10">
        <f t="shared" si="7"/>
        <v>45110</v>
      </c>
      <c r="M18" s="10">
        <f t="shared" si="7"/>
        <v>49463.3</v>
      </c>
      <c r="N18" s="10">
        <f t="shared" si="7"/>
        <v>628059.80000000005</v>
      </c>
      <c r="O18" s="48"/>
      <c r="P18" s="7"/>
      <c r="Q18" s="7"/>
      <c r="AC18" s="7"/>
      <c r="AD18" s="7"/>
      <c r="AE18" s="7"/>
    </row>
    <row r="19" spans="1:42" ht="61.15" customHeight="1" thickTop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94"/>
      <c r="P19" s="3"/>
      <c r="Q19" s="3"/>
      <c r="AC19" s="3"/>
      <c r="AD19" s="3"/>
      <c r="AE19" s="3"/>
    </row>
    <row r="20" spans="1:42">
      <c r="A20" s="47" t="s">
        <v>1224</v>
      </c>
      <c r="B20" s="16" t="s">
        <v>50</v>
      </c>
      <c r="C20" s="16" t="s">
        <v>51</v>
      </c>
      <c r="D20" s="16" t="s">
        <v>52</v>
      </c>
      <c r="E20" s="16" t="s">
        <v>53</v>
      </c>
      <c r="F20" s="16" t="s">
        <v>54</v>
      </c>
      <c r="G20" s="16" t="s">
        <v>55</v>
      </c>
      <c r="H20" s="16" t="s">
        <v>56</v>
      </c>
      <c r="I20" s="16" t="s">
        <v>57</v>
      </c>
      <c r="J20" s="16" t="s">
        <v>58</v>
      </c>
      <c r="K20" s="16" t="s">
        <v>59</v>
      </c>
      <c r="L20" s="16" t="s">
        <v>60</v>
      </c>
      <c r="M20" s="16" t="s">
        <v>61</v>
      </c>
      <c r="N20" s="16" t="s">
        <v>97</v>
      </c>
      <c r="P20" s="16" t="s">
        <v>50</v>
      </c>
      <c r="Q20" s="16" t="s">
        <v>51</v>
      </c>
      <c r="R20" s="16" t="s">
        <v>52</v>
      </c>
      <c r="S20" s="16" t="s">
        <v>53</v>
      </c>
      <c r="T20" s="16" t="s">
        <v>54</v>
      </c>
      <c r="U20" s="16" t="s">
        <v>55</v>
      </c>
      <c r="V20" s="16" t="s">
        <v>56</v>
      </c>
      <c r="W20" s="16" t="s">
        <v>57</v>
      </c>
      <c r="X20" s="16" t="s">
        <v>58</v>
      </c>
      <c r="Y20" s="16" t="s">
        <v>59</v>
      </c>
      <c r="Z20" s="16" t="s">
        <v>60</v>
      </c>
      <c r="AA20" s="16" t="s">
        <v>61</v>
      </c>
      <c r="AB20" s="3"/>
      <c r="AC20" s="40"/>
      <c r="AD20" s="16" t="s">
        <v>50</v>
      </c>
      <c r="AE20" s="16" t="s">
        <v>51</v>
      </c>
      <c r="AF20" s="16" t="s">
        <v>52</v>
      </c>
      <c r="AG20" s="16" t="s">
        <v>53</v>
      </c>
      <c r="AH20" s="16" t="s">
        <v>54</v>
      </c>
      <c r="AI20" s="16" t="s">
        <v>55</v>
      </c>
      <c r="AJ20" s="16" t="s">
        <v>56</v>
      </c>
      <c r="AK20" s="16" t="s">
        <v>57</v>
      </c>
      <c r="AL20" s="16" t="s">
        <v>58</v>
      </c>
      <c r="AM20" s="16" t="s">
        <v>59</v>
      </c>
      <c r="AN20" s="16" t="s">
        <v>60</v>
      </c>
      <c r="AO20" s="16" t="s">
        <v>61</v>
      </c>
      <c r="AP20" s="3"/>
    </row>
    <row r="21" spans="1:4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1" t="s">
        <v>129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0" t="s">
        <v>129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>
      <c r="A22" s="47" t="s">
        <v>102</v>
      </c>
      <c r="B22" s="3">
        <f>B7*Factors!C11</f>
        <v>0</v>
      </c>
      <c r="C22" s="3">
        <f>C7*Factors!D11</f>
        <v>0</v>
      </c>
      <c r="D22" s="3">
        <f>D7*Factors!E11</f>
        <v>18786.444479964004</v>
      </c>
      <c r="E22" s="3">
        <f>E7*Factors!F11</f>
        <v>0</v>
      </c>
      <c r="F22" s="3">
        <f>F7*Factors!G11</f>
        <v>0</v>
      </c>
      <c r="G22" s="3">
        <f>G7*Factors!H11</f>
        <v>18865.017539928005</v>
      </c>
      <c r="H22" s="3">
        <f>H7*Factors!I11</f>
        <v>0</v>
      </c>
      <c r="I22" s="3">
        <f>I7*Factors!J11</f>
        <v>0</v>
      </c>
      <c r="J22" s="3">
        <f>J7*Factors!K11</f>
        <v>103044.20348847605</v>
      </c>
      <c r="K22" s="3">
        <f>K7*Factors!L11</f>
        <v>0</v>
      </c>
      <c r="L22" s="3">
        <f>L7*Factors!M11</f>
        <v>0</v>
      </c>
      <c r="M22" s="3">
        <f>M7*Factors!N11</f>
        <v>19022.163659856014</v>
      </c>
      <c r="N22" s="17">
        <f>SUM(B22:M22)</f>
        <v>159717.82916822407</v>
      </c>
      <c r="O22" s="11" t="s">
        <v>577</v>
      </c>
      <c r="P22" s="3">
        <v>34307</v>
      </c>
      <c r="Q22" s="3">
        <v>34307</v>
      </c>
      <c r="R22" s="3">
        <v>34307</v>
      </c>
      <c r="S22" s="3">
        <v>6304</v>
      </c>
      <c r="T22" s="3">
        <v>6304</v>
      </c>
      <c r="U22" s="3">
        <v>6304</v>
      </c>
      <c r="V22" s="3">
        <v>6304</v>
      </c>
      <c r="W22" s="3">
        <v>6304</v>
      </c>
      <c r="X22" s="3">
        <v>6304</v>
      </c>
      <c r="Y22" s="3">
        <v>6304</v>
      </c>
      <c r="Z22" s="3">
        <v>6304</v>
      </c>
      <c r="AA22" s="3">
        <v>6304</v>
      </c>
      <c r="AB22" s="3">
        <f>SUM(P22:AA22)</f>
        <v>159657</v>
      </c>
      <c r="AC22" s="40" t="s">
        <v>577</v>
      </c>
      <c r="AD22" s="3">
        <v>34307</v>
      </c>
      <c r="AE22" s="3">
        <v>34307</v>
      </c>
      <c r="AF22" s="3">
        <v>34307</v>
      </c>
      <c r="AG22" s="3">
        <v>6304</v>
      </c>
      <c r="AH22" s="3">
        <v>6304</v>
      </c>
      <c r="AI22" s="3">
        <v>6304</v>
      </c>
      <c r="AJ22" s="3">
        <v>6304</v>
      </c>
      <c r="AK22" s="3">
        <v>6304</v>
      </c>
      <c r="AL22" s="3">
        <v>6304</v>
      </c>
      <c r="AM22" s="3">
        <v>6304</v>
      </c>
      <c r="AN22" s="3">
        <v>6304</v>
      </c>
      <c r="AO22" s="3">
        <v>6304</v>
      </c>
      <c r="AP22" s="3">
        <f>SUM(AD22:AO22)</f>
        <v>159657</v>
      </c>
    </row>
    <row r="23" spans="1:42" ht="6" customHeight="1">
      <c r="A23" s="19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34" t="s">
        <v>103</v>
      </c>
      <c r="P23" s="3"/>
      <c r="Q23" s="3"/>
      <c r="AC23" s="41" t="s">
        <v>103</v>
      </c>
      <c r="AD23" s="3"/>
      <c r="AE23" s="3"/>
    </row>
    <row r="24" spans="1:42">
      <c r="A24" s="47" t="s">
        <v>1226</v>
      </c>
      <c r="B24" s="3">
        <f>B11*Factors!C11</f>
        <v>5658.9925133999996</v>
      </c>
      <c r="C24" s="3">
        <f>C11*Factors!D11</f>
        <v>5666.9040267999999</v>
      </c>
      <c r="D24" s="3">
        <f>D11*Factors!E11</f>
        <v>5674.8155402000002</v>
      </c>
      <c r="E24" s="3">
        <f>E11*Factors!F11</f>
        <v>5682.7270536000015</v>
      </c>
      <c r="F24" s="3">
        <f>F11*Factors!G11</f>
        <v>222064.72856700004</v>
      </c>
      <c r="G24" s="3">
        <f>G11*Factors!H11</f>
        <v>5698.5500804000021</v>
      </c>
      <c r="H24" s="3">
        <f>H11*Factors!I11</f>
        <v>5706.4615938000024</v>
      </c>
      <c r="I24" s="3">
        <f>I11*Factors!J11</f>
        <v>5714.3731072000028</v>
      </c>
      <c r="J24" s="3">
        <f>J11*Factors!K11</f>
        <v>5722.2846206000031</v>
      </c>
      <c r="K24" s="3">
        <f>K11*Factors!L11</f>
        <v>5730.1961340000034</v>
      </c>
      <c r="L24" s="3">
        <f>L11*Factors!M11</f>
        <v>5738.1076474000038</v>
      </c>
      <c r="M24" s="3">
        <f>M11*Factors!N11</f>
        <v>5746.0191608000041</v>
      </c>
      <c r="N24" s="3">
        <f>SUM(B24:M24)</f>
        <v>284804.16004520009</v>
      </c>
      <c r="O24" s="194"/>
      <c r="P24" s="3">
        <f>P11*Factors!R11</f>
        <v>667223.21453035623</v>
      </c>
      <c r="Q24" s="3">
        <f>Q11*Factors!S11</f>
        <v>669991.77558649878</v>
      </c>
      <c r="R24" s="3">
        <f>R11*Factors!T11</f>
        <v>672760.33664264134</v>
      </c>
      <c r="S24" s="3">
        <f>S11*Factors!U11</f>
        <v>675528.8976987839</v>
      </c>
      <c r="T24" s="3">
        <f>T11*Factors!V11</f>
        <v>678297.45875492645</v>
      </c>
      <c r="U24" s="3">
        <f>U11*Factors!W11</f>
        <v>681066.01981106901</v>
      </c>
      <c r="V24" s="3">
        <f>V11*Factors!X11</f>
        <v>683834.58086721145</v>
      </c>
      <c r="W24" s="3">
        <f>W11*Factors!Y11</f>
        <v>686603.14192335401</v>
      </c>
      <c r="X24" s="3">
        <f>X11*Factors!Z11</f>
        <v>689371.70297949656</v>
      </c>
      <c r="Y24" s="3">
        <f>Y11*Factors!AA11</f>
        <v>692140.26403563912</v>
      </c>
      <c r="Z24" s="3">
        <f>Z11*Factors!AB11</f>
        <v>694908.82509178168</v>
      </c>
      <c r="AA24" s="3">
        <f>AA11*Factors!AC11</f>
        <v>697677.38614792423</v>
      </c>
      <c r="AB24" s="3">
        <f>SUM(P24:AA24)</f>
        <v>8189403.6040696837</v>
      </c>
      <c r="AC24" s="3"/>
      <c r="AD24" s="3">
        <f>AD11*Factors!AF11</f>
        <v>770189.63543933618</v>
      </c>
      <c r="AE24" s="3">
        <f>AE11*Factors!AG11</f>
        <v>773398.75892033346</v>
      </c>
      <c r="AF24" s="3">
        <f>AF11*Factors!AH11</f>
        <v>776607.88240133075</v>
      </c>
      <c r="AG24" s="3">
        <f>AG11*Factors!AI11</f>
        <v>779817.00588232791</v>
      </c>
      <c r="AH24" s="3">
        <f>AH11*Factors!AJ11</f>
        <v>783026.12936332519</v>
      </c>
      <c r="AI24" s="3">
        <f>AI11*Factors!AK11</f>
        <v>786235.25284432247</v>
      </c>
      <c r="AJ24" s="3">
        <f>AJ11*Factors!AL11</f>
        <v>789444.37632531964</v>
      </c>
      <c r="AK24" s="3">
        <f>AK11*Factors!AM11</f>
        <v>792653.49980631692</v>
      </c>
      <c r="AL24" s="3">
        <f>AL11*Factors!AN11</f>
        <v>795862.6232873142</v>
      </c>
      <c r="AM24" s="3">
        <f>AM11*Factors!AO11</f>
        <v>799071.74676831136</v>
      </c>
      <c r="AN24" s="3">
        <f>AN11*Factors!AP11</f>
        <v>802280.87024930865</v>
      </c>
      <c r="AO24" s="3">
        <f>AO11*Factors!AQ11</f>
        <v>805489.99373030593</v>
      </c>
      <c r="AP24" s="3">
        <f>SUM(AD24:AO24)</f>
        <v>9454077.7750178538</v>
      </c>
    </row>
    <row r="25" spans="1:42" ht="5.4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94"/>
      <c r="P25" s="3"/>
      <c r="Q25" s="3"/>
    </row>
    <row r="26" spans="1:42" s="200" customFormat="1">
      <c r="A26" s="198" t="s">
        <v>104</v>
      </c>
      <c r="B26" s="115">
        <f>B13*Factors!C11</f>
        <v>84682.627132080001</v>
      </c>
      <c r="C26" s="115">
        <f>C13*Factors!D11</f>
        <v>84801.017064159998</v>
      </c>
      <c r="D26" s="115">
        <f>D13*Factors!E11</f>
        <v>84919.40699624001</v>
      </c>
      <c r="E26" s="115">
        <f>E13*Factors!F11</f>
        <v>85037.796928320022</v>
      </c>
      <c r="F26" s="115">
        <f>F13*Factors!G11</f>
        <v>85156.186860400019</v>
      </c>
      <c r="G26" s="115">
        <f>G13*Factors!H11</f>
        <v>85274.576792480031</v>
      </c>
      <c r="H26" s="115">
        <f>H13*Factors!I11</f>
        <v>85392.966724560029</v>
      </c>
      <c r="I26" s="115">
        <f>I13*Factors!J11</f>
        <v>85511.35665664004</v>
      </c>
      <c r="J26" s="115">
        <f>J13*Factors!K11</f>
        <v>85629.746588720038</v>
      </c>
      <c r="K26" s="115">
        <f>K13*Factors!L11</f>
        <v>85748.13652080005</v>
      </c>
      <c r="L26" s="115">
        <f>L13*Factors!M11</f>
        <v>85866.526452880047</v>
      </c>
      <c r="M26" s="115">
        <f>M13*Factors!N11</f>
        <v>85984.916384960059</v>
      </c>
      <c r="N26" s="115">
        <f>SUM(B26:M26)</f>
        <v>1024005.2611022403</v>
      </c>
      <c r="O26" s="199" t="s">
        <v>104</v>
      </c>
      <c r="P26" s="114">
        <f>P13*Factors!R11</f>
        <v>92113.14777720072</v>
      </c>
      <c r="Q26" s="114">
        <f>Q13*Factors!S11</f>
        <v>92495.360008641394</v>
      </c>
      <c r="R26" s="114">
        <f>R13*Factors!T11</f>
        <v>92877.572240082052</v>
      </c>
      <c r="S26" s="114">
        <f>S13*Factors!U11</f>
        <v>93259.784471522726</v>
      </c>
      <c r="T26" s="114">
        <f>T13*Factors!V11</f>
        <v>93641.996702963384</v>
      </c>
      <c r="U26" s="114">
        <f>U13*Factors!W11</f>
        <v>94024.208934404043</v>
      </c>
      <c r="V26" s="114">
        <f>V13*Factors!X11</f>
        <v>94406.421165844717</v>
      </c>
      <c r="W26" s="114">
        <f>W13*Factors!Y11</f>
        <v>94788.633397285375</v>
      </c>
      <c r="X26" s="114">
        <f>X13*Factors!Z11</f>
        <v>95170.845628726034</v>
      </c>
      <c r="Y26" s="114">
        <f>Y13*Factors!AA11</f>
        <v>95553.057860166708</v>
      </c>
      <c r="Z26" s="114">
        <f>Z13*Factors!AB11</f>
        <v>95935.270091607366</v>
      </c>
      <c r="AA26" s="114">
        <f>AA13*Factors!AC11</f>
        <v>96317.482323048025</v>
      </c>
      <c r="AB26" s="114">
        <f>SUM(P26:AA26)</f>
        <v>1130583.7806014926</v>
      </c>
      <c r="AC26" s="198" t="s">
        <v>104</v>
      </c>
      <c r="AD26" s="114">
        <f>AD13*Factors!AG11</f>
        <v>96718.805166060731</v>
      </c>
      <c r="AE26" s="114">
        <f>AE13*Factors!AH11</f>
        <v>97120.128009073436</v>
      </c>
      <c r="AF26" s="114">
        <f>AF13*Factors!AI11</f>
        <v>97521.450852086142</v>
      </c>
      <c r="AG26" s="114">
        <f>AG13*Factors!AJ11</f>
        <v>97922.773695098833</v>
      </c>
      <c r="AH26" s="114">
        <f>AH13*Factors!AK11</f>
        <v>98324.096538111538</v>
      </c>
      <c r="AI26" s="114">
        <f>AI13*Factors!AL11</f>
        <v>98725.419381124244</v>
      </c>
      <c r="AJ26" s="114">
        <f>AJ13*Factors!AM11</f>
        <v>99126.742224136935</v>
      </c>
      <c r="AK26" s="114">
        <f>AK13*Factors!AN11</f>
        <v>99528.065067149641</v>
      </c>
      <c r="AL26" s="114">
        <f>AL13*Factors!AO11</f>
        <v>99929.387910162346</v>
      </c>
      <c r="AM26" s="114">
        <f>AM13*Factors!AP11</f>
        <v>100330.71075317504</v>
      </c>
      <c r="AN26" s="114">
        <f>AN13*Factors!AQ11</f>
        <v>100732.03359618774</v>
      </c>
      <c r="AO26" s="114">
        <f>AO13*Factors!AR11</f>
        <v>101133.35643920045</v>
      </c>
      <c r="AP26" s="114">
        <f>SUM(AD26:AO26)</f>
        <v>1187112.9696315671</v>
      </c>
    </row>
    <row r="27" spans="1:42" s="200" customFormat="1">
      <c r="A27" s="198" t="s">
        <v>105</v>
      </c>
      <c r="B27" s="115">
        <f>B14*Factors!C11</f>
        <v>73467.924097919997</v>
      </c>
      <c r="C27" s="115">
        <f>C14*Factors!D11</f>
        <v>73570.63539584</v>
      </c>
      <c r="D27" s="115">
        <f>D14*Factors!E11</f>
        <v>73673.346693760002</v>
      </c>
      <c r="E27" s="115">
        <f>E14*Factors!F11</f>
        <v>73776.05799168002</v>
      </c>
      <c r="F27" s="115">
        <f>F14*Factors!G11</f>
        <v>73878.769289600023</v>
      </c>
      <c r="G27" s="115">
        <f>G14*Factors!H11</f>
        <v>73981.480587520025</v>
      </c>
      <c r="H27" s="115">
        <f>H14*Factors!I11</f>
        <v>74084.191885440028</v>
      </c>
      <c r="I27" s="115">
        <f>I14*Factors!J11</f>
        <v>74186.903183360031</v>
      </c>
      <c r="J27" s="115">
        <f>J14*Factors!K11</f>
        <v>74289.614481280034</v>
      </c>
      <c r="K27" s="115">
        <f>K14*Factors!L11</f>
        <v>74392.325779200037</v>
      </c>
      <c r="L27" s="115">
        <f>L14*Factors!M11</f>
        <v>74495.03707712004</v>
      </c>
      <c r="M27" s="115">
        <f>M14*Factors!N11</f>
        <v>74597.748375040057</v>
      </c>
      <c r="N27" s="115">
        <f>SUM(B27:M27)</f>
        <v>888394.03483776026</v>
      </c>
      <c r="O27" s="199" t="s">
        <v>105</v>
      </c>
      <c r="P27" s="114">
        <f>P14*Factors!R11</f>
        <v>74908.57232660272</v>
      </c>
      <c r="Q27" s="114">
        <f>Q14*Factors!S11</f>
        <v>75219.396278165383</v>
      </c>
      <c r="R27" s="114">
        <f>R14*Factors!T11</f>
        <v>75530.220229728046</v>
      </c>
      <c r="S27" s="114">
        <f>S14*Factors!U11</f>
        <v>75841.044181290708</v>
      </c>
      <c r="T27" s="114">
        <f>T14*Factors!V11</f>
        <v>76151.868132853371</v>
      </c>
      <c r="U27" s="114">
        <f>U14*Factors!W11</f>
        <v>76462.692084416034</v>
      </c>
      <c r="V27" s="114">
        <f>V14*Factors!X11</f>
        <v>76773.516035978697</v>
      </c>
      <c r="W27" s="114">
        <f>W14*Factors!Y11</f>
        <v>77084.339987541374</v>
      </c>
      <c r="X27" s="114">
        <f>X14*Factors!Z11</f>
        <v>77395.163939104037</v>
      </c>
      <c r="Y27" s="114">
        <f>Y14*Factors!AA11</f>
        <v>77705.9878906667</v>
      </c>
      <c r="Z27" s="114">
        <f>Z14*Factors!AB11</f>
        <v>78016.811842229363</v>
      </c>
      <c r="AA27" s="114">
        <f>AA14*Factors!AC11</f>
        <v>78327.635793792026</v>
      </c>
      <c r="AB27" s="114">
        <f>SUM(P27:AA27)</f>
        <v>919417.24872236839</v>
      </c>
      <c r="AC27" s="198" t="s">
        <v>105</v>
      </c>
      <c r="AD27" s="114">
        <f>AD14*Factors!AG11</f>
        <v>78654.00094293282</v>
      </c>
      <c r="AE27" s="114">
        <f>AE14*Factors!AH11</f>
        <v>78980.366092073629</v>
      </c>
      <c r="AF27" s="114">
        <f>AF14*Factors!AI11</f>
        <v>79306.731241214424</v>
      </c>
      <c r="AG27" s="114">
        <f>AG14*Factors!AJ11</f>
        <v>79633.096390355233</v>
      </c>
      <c r="AH27" s="114">
        <f>AH14*Factors!AK11</f>
        <v>79959.461539496027</v>
      </c>
      <c r="AI27" s="114">
        <f>AI14*Factors!AL11</f>
        <v>80285.826688636836</v>
      </c>
      <c r="AJ27" s="114">
        <f>AJ14*Factors!AM11</f>
        <v>80612.191837777631</v>
      </c>
      <c r="AK27" s="114">
        <f>AK14*Factors!AN11</f>
        <v>80938.55698691844</v>
      </c>
      <c r="AL27" s="114">
        <f>AL14*Factors!AO11</f>
        <v>81264.922136059235</v>
      </c>
      <c r="AM27" s="114">
        <f>AM14*Factors!AP11</f>
        <v>81591.287285200029</v>
      </c>
      <c r="AN27" s="114">
        <f>AN14*Factors!AQ11</f>
        <v>81917.652434340838</v>
      </c>
      <c r="AO27" s="114">
        <f>AO14*Factors!AR11</f>
        <v>82244.017583481633</v>
      </c>
      <c r="AP27" s="114">
        <f>SUM(AD27:AO27)</f>
        <v>965388.11115848669</v>
      </c>
    </row>
    <row r="28" spans="1:42" s="200" customFormat="1">
      <c r="A28" s="198" t="s">
        <v>106</v>
      </c>
      <c r="B28" s="115">
        <f>B15*Factors!C11</f>
        <v>30317.5682562</v>
      </c>
      <c r="C28" s="115">
        <f>C15*Factors!D11</f>
        <v>30359.953512400003</v>
      </c>
      <c r="D28" s="115">
        <f>D15*Factors!E11</f>
        <v>30402.338768600002</v>
      </c>
      <c r="E28" s="115">
        <f>E15*Factors!F11</f>
        <v>30444.724024800005</v>
      </c>
      <c r="F28" s="115">
        <f>F15*Factors!G11</f>
        <v>30487.109281000008</v>
      </c>
      <c r="G28" s="115">
        <f>G15*Factors!H11</f>
        <v>30529.494537200011</v>
      </c>
      <c r="H28" s="115">
        <f>H15*Factors!I11</f>
        <v>30571.87979340001</v>
      </c>
      <c r="I28" s="115">
        <f>I15*Factors!J11</f>
        <v>30614.265049600013</v>
      </c>
      <c r="J28" s="115">
        <f>J15*Factors!K11</f>
        <v>30656.650305800016</v>
      </c>
      <c r="K28" s="115">
        <f>K15*Factors!L11</f>
        <v>30699.035562000015</v>
      </c>
      <c r="L28" s="115">
        <f>L15*Factors!M11</f>
        <v>30741.420818200018</v>
      </c>
      <c r="M28" s="115">
        <f>M15*Factors!N11</f>
        <v>30783.806074400021</v>
      </c>
      <c r="N28" s="115">
        <f>SUM(B28:M28)</f>
        <v>366608.24598360015</v>
      </c>
      <c r="O28" s="199" t="s">
        <v>106</v>
      </c>
      <c r="P28" s="114">
        <f>P15*Factors!R11</f>
        <v>30912.071933043353</v>
      </c>
      <c r="Q28" s="114">
        <f>Q15*Factors!S11</f>
        <v>31040.337791686685</v>
      </c>
      <c r="R28" s="114">
        <f>R15*Factors!T11</f>
        <v>31168.60365033002</v>
      </c>
      <c r="S28" s="114">
        <f>S15*Factors!U11</f>
        <v>31296.869508973352</v>
      </c>
      <c r="T28" s="114">
        <f>T15*Factors!V11</f>
        <v>31425.135367616684</v>
      </c>
      <c r="U28" s="114">
        <f>U15*Factors!W11</f>
        <v>31553.401226260015</v>
      </c>
      <c r="V28" s="114">
        <f>V15*Factors!X11</f>
        <v>31681.667084903347</v>
      </c>
      <c r="W28" s="114">
        <f>W15*Factors!Y11</f>
        <v>31809.932943546683</v>
      </c>
      <c r="X28" s="114">
        <f>X15*Factors!Z11</f>
        <v>31938.198802190014</v>
      </c>
      <c r="Y28" s="114">
        <f>Y15*Factors!AA11</f>
        <v>32066.464660833346</v>
      </c>
      <c r="Z28" s="114">
        <f>Z15*Factors!AB11</f>
        <v>32194.730519476678</v>
      </c>
      <c r="AA28" s="114">
        <f>AA15*Factors!AC11</f>
        <v>32322.996378120009</v>
      </c>
      <c r="AB28" s="114">
        <f>SUM(P28:AA28)</f>
        <v>379410.40986698022</v>
      </c>
      <c r="AC28" s="198" t="s">
        <v>106</v>
      </c>
      <c r="AD28" s="114">
        <f>AD15*Factors!AG11</f>
        <v>32457.675529695513</v>
      </c>
      <c r="AE28" s="114">
        <f>AE15*Factors!AH11</f>
        <v>32592.354681271012</v>
      </c>
      <c r="AF28" s="114">
        <f>AF15*Factors!AI11</f>
        <v>32727.033832846511</v>
      </c>
      <c r="AG28" s="114">
        <f>AG15*Factors!AJ11</f>
        <v>32861.712984422011</v>
      </c>
      <c r="AH28" s="114">
        <f>AH15*Factors!AK11</f>
        <v>32996.392135997514</v>
      </c>
      <c r="AI28" s="114">
        <f>AI15*Factors!AL11</f>
        <v>33131.07128757301</v>
      </c>
      <c r="AJ28" s="114">
        <f>AJ15*Factors!AM11</f>
        <v>33265.750439148513</v>
      </c>
      <c r="AK28" s="114">
        <f>AK15*Factors!AN11</f>
        <v>33400.429590724016</v>
      </c>
      <c r="AL28" s="114">
        <f>AL15*Factors!AO11</f>
        <v>33535.108742299512</v>
      </c>
      <c r="AM28" s="114">
        <f>AM15*Factors!AP11</f>
        <v>33669.787893875015</v>
      </c>
      <c r="AN28" s="114">
        <f>AN15*Factors!AQ11</f>
        <v>33804.467045450518</v>
      </c>
      <c r="AO28" s="114">
        <f>AO15*Factors!AR11</f>
        <v>33939.146197026013</v>
      </c>
      <c r="AP28" s="114">
        <f>SUM(AD28:AO28)</f>
        <v>398380.93036032916</v>
      </c>
    </row>
    <row r="29" spans="1:42" s="200" customFormat="1" ht="34.9" customHeight="1">
      <c r="A29" s="198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99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98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</row>
    <row r="30" spans="1:42" s="2" customFormat="1" ht="16.899999999999999" customHeight="1" thickBot="1">
      <c r="A30" s="201" t="s">
        <v>781</v>
      </c>
      <c r="B30" s="10">
        <f>B22+B24+B26+B27+B28</f>
        <v>194127.11199959999</v>
      </c>
      <c r="C30" s="10">
        <f t="shared" ref="C30:N30" si="8">C22+C24+C26+C27+C28</f>
        <v>194398.5099992</v>
      </c>
      <c r="D30" s="10">
        <f t="shared" si="8"/>
        <v>213456.35247876399</v>
      </c>
      <c r="E30" s="10">
        <f t="shared" si="8"/>
        <v>194941.30599840003</v>
      </c>
      <c r="F30" s="10">
        <f t="shared" si="8"/>
        <v>411586.79399800004</v>
      </c>
      <c r="G30" s="10">
        <f t="shared" si="8"/>
        <v>214349.11953752808</v>
      </c>
      <c r="H30" s="10">
        <f t="shared" si="8"/>
        <v>195755.49999720007</v>
      </c>
      <c r="I30" s="10">
        <f t="shared" si="8"/>
        <v>196026.89799680011</v>
      </c>
      <c r="J30" s="10">
        <f t="shared" si="8"/>
        <v>299342.49948487617</v>
      </c>
      <c r="K30" s="10">
        <f t="shared" si="8"/>
        <v>196569.6939960001</v>
      </c>
      <c r="L30" s="10">
        <f t="shared" si="8"/>
        <v>196841.09199560012</v>
      </c>
      <c r="M30" s="10">
        <f t="shared" si="8"/>
        <v>216134.65365505614</v>
      </c>
      <c r="N30" s="10">
        <f t="shared" si="8"/>
        <v>2723529.5311370245</v>
      </c>
      <c r="O30" s="48"/>
      <c r="P30" s="7"/>
      <c r="Q30" s="7"/>
    </row>
    <row r="31" spans="1:42" ht="13.5" thickTop="1"/>
    <row r="33" spans="1:2" hidden="1">
      <c r="A33" s="93" t="s">
        <v>251</v>
      </c>
      <c r="B33" s="52" t="s">
        <v>252</v>
      </c>
    </row>
    <row r="34" spans="1:2" hidden="1">
      <c r="A34" s="94" t="s">
        <v>253</v>
      </c>
      <c r="B34" s="51" t="s">
        <v>254</v>
      </c>
    </row>
    <row r="35" spans="1:2" hidden="1">
      <c r="A35" s="94" t="s">
        <v>255</v>
      </c>
      <c r="B35" s="51" t="s">
        <v>256</v>
      </c>
    </row>
    <row r="36" spans="1:2" hidden="1">
      <c r="A36" s="94" t="s">
        <v>257</v>
      </c>
      <c r="B36" s="51" t="s">
        <v>258</v>
      </c>
    </row>
    <row r="37" spans="1:2" hidden="1">
      <c r="A37" s="94" t="s">
        <v>259</v>
      </c>
      <c r="B37" s="51" t="s">
        <v>260</v>
      </c>
    </row>
    <row r="38" spans="1:2" hidden="1">
      <c r="A38" s="94" t="s">
        <v>261</v>
      </c>
      <c r="B38" s="51" t="s">
        <v>262</v>
      </c>
    </row>
    <row r="39" spans="1:2" hidden="1"/>
    <row r="40" spans="1:2" hidden="1"/>
    <row r="41" spans="1:2" hidden="1">
      <c r="A41" s="93" t="s">
        <v>263</v>
      </c>
      <c r="B41" s="52" t="s">
        <v>264</v>
      </c>
    </row>
    <row r="42" spans="1:2" hidden="1">
      <c r="A42" s="94" t="s">
        <v>265</v>
      </c>
      <c r="B42" s="51" t="s">
        <v>266</v>
      </c>
    </row>
    <row r="43" spans="1:2" hidden="1">
      <c r="A43" s="94" t="s">
        <v>267</v>
      </c>
      <c r="B43" s="51" t="s">
        <v>268</v>
      </c>
    </row>
    <row r="44" spans="1:2" hidden="1">
      <c r="A44" s="94" t="s">
        <v>269</v>
      </c>
      <c r="B44" s="51" t="s">
        <v>270</v>
      </c>
    </row>
    <row r="45" spans="1:2" hidden="1">
      <c r="A45" s="94" t="s">
        <v>271</v>
      </c>
      <c r="B45" s="51" t="s">
        <v>272</v>
      </c>
    </row>
    <row r="46" spans="1:2" hidden="1">
      <c r="A46" s="94" t="s">
        <v>273</v>
      </c>
      <c r="B46" s="51" t="s">
        <v>274</v>
      </c>
    </row>
    <row r="47" spans="1:2" hidden="1">
      <c r="A47" s="94"/>
      <c r="B47" s="51"/>
    </row>
    <row r="48" spans="1:2" hidden="1">
      <c r="A48" s="93" t="s">
        <v>275</v>
      </c>
      <c r="B48" s="52" t="s">
        <v>276</v>
      </c>
    </row>
    <row r="49" spans="1:2" hidden="1">
      <c r="A49" s="94" t="s">
        <v>277</v>
      </c>
      <c r="B49" s="51" t="s">
        <v>278</v>
      </c>
    </row>
    <row r="50" spans="1:2" hidden="1">
      <c r="A50" s="94" t="s">
        <v>279</v>
      </c>
      <c r="B50" s="51" t="s">
        <v>280</v>
      </c>
    </row>
    <row r="51" spans="1:2" hidden="1">
      <c r="A51" s="94" t="s">
        <v>281</v>
      </c>
      <c r="B51" s="51" t="s">
        <v>282</v>
      </c>
    </row>
    <row r="52" spans="1:2" hidden="1">
      <c r="A52" s="94" t="s">
        <v>283</v>
      </c>
      <c r="B52" s="51" t="s">
        <v>284</v>
      </c>
    </row>
    <row r="53" spans="1:2" hidden="1">
      <c r="A53" s="94"/>
      <c r="B53" s="51"/>
    </row>
    <row r="54" spans="1:2" hidden="1">
      <c r="A54" s="93" t="s">
        <v>285</v>
      </c>
      <c r="B54" s="52" t="s">
        <v>286</v>
      </c>
    </row>
    <row r="55" spans="1:2" hidden="1">
      <c r="A55" s="94" t="s">
        <v>287</v>
      </c>
      <c r="B55" s="51" t="s">
        <v>288</v>
      </c>
    </row>
    <row r="56" spans="1:2" hidden="1">
      <c r="A56" s="94" t="s">
        <v>289</v>
      </c>
      <c r="B56" s="51" t="s">
        <v>290</v>
      </c>
    </row>
    <row r="57" spans="1:2" hidden="1">
      <c r="A57" s="94" t="s">
        <v>291</v>
      </c>
      <c r="B57" s="51" t="s">
        <v>292</v>
      </c>
    </row>
    <row r="58" spans="1:2" hidden="1">
      <c r="A58" s="94" t="s">
        <v>293</v>
      </c>
      <c r="B58" s="51" t="s">
        <v>294</v>
      </c>
    </row>
    <row r="59" spans="1:2" hidden="1">
      <c r="A59" s="94" t="s">
        <v>295</v>
      </c>
      <c r="B59" s="51" t="s">
        <v>296</v>
      </c>
    </row>
    <row r="60" spans="1:2" hidden="1">
      <c r="A60" s="94" t="s">
        <v>297</v>
      </c>
      <c r="B60" s="51" t="s">
        <v>298</v>
      </c>
    </row>
  </sheetData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89"/>
  <sheetViews>
    <sheetView view="pageBreakPreview" topLeftCell="B1" zoomScale="75" zoomScaleNormal="75" workbookViewId="0">
      <selection activeCell="D76" sqref="D76"/>
    </sheetView>
  </sheetViews>
  <sheetFormatPr defaultColWidth="8.85546875" defaultRowHeight="12.75"/>
  <cols>
    <col min="1" max="1" width="8.28515625" style="9" hidden="1" customWidth="1"/>
    <col min="2" max="2" width="26.7109375" style="9" customWidth="1"/>
    <col min="3" max="14" width="10.85546875" style="9" customWidth="1"/>
    <col min="15" max="15" width="36.42578125" style="9" customWidth="1"/>
    <col min="16" max="16" width="28" style="9" customWidth="1"/>
    <col min="17" max="28" width="10.42578125" style="9" bestFit="1" customWidth="1"/>
    <col min="29" max="29" width="8.85546875" style="9"/>
    <col min="30" max="30" width="32.140625" style="9" customWidth="1"/>
    <col min="31" max="42" width="10.42578125" style="9" bestFit="1" customWidth="1"/>
    <col min="43" max="16384" width="8.85546875" style="9"/>
  </cols>
  <sheetData>
    <row r="1" spans="2:42">
      <c r="B1" s="68" t="s">
        <v>601</v>
      </c>
      <c r="P1" s="9" t="s">
        <v>602</v>
      </c>
      <c r="AD1" s="9" t="s">
        <v>602</v>
      </c>
    </row>
    <row r="2" spans="2:42" ht="20.25">
      <c r="B2" s="220" t="s">
        <v>5</v>
      </c>
    </row>
    <row r="3" spans="2:42" ht="16.899999999999999" customHeight="1">
      <c r="B3" s="270" t="s">
        <v>6</v>
      </c>
    </row>
    <row r="4" spans="2:42">
      <c r="P4" s="68" t="s">
        <v>118</v>
      </c>
      <c r="AD4" s="68" t="s">
        <v>118</v>
      </c>
    </row>
    <row r="5" spans="2:42">
      <c r="B5" s="68" t="s">
        <v>118</v>
      </c>
    </row>
    <row r="6" spans="2:42">
      <c r="B6" s="68" t="s">
        <v>82</v>
      </c>
      <c r="P6" s="68" t="s">
        <v>82</v>
      </c>
      <c r="AD6" s="68" t="s">
        <v>82</v>
      </c>
    </row>
    <row r="7" spans="2:42">
      <c r="C7" s="87" t="s">
        <v>50</v>
      </c>
      <c r="D7" s="87" t="s">
        <v>51</v>
      </c>
      <c r="E7" s="87" t="s">
        <v>52</v>
      </c>
      <c r="F7" s="87" t="s">
        <v>53</v>
      </c>
      <c r="G7" s="87" t="s">
        <v>54</v>
      </c>
      <c r="H7" s="87" t="s">
        <v>55</v>
      </c>
      <c r="I7" s="87" t="s">
        <v>56</v>
      </c>
      <c r="J7" s="87" t="s">
        <v>57</v>
      </c>
      <c r="K7" s="87" t="s">
        <v>58</v>
      </c>
      <c r="L7" s="87" t="s">
        <v>59</v>
      </c>
      <c r="M7" s="87" t="s">
        <v>60</v>
      </c>
      <c r="N7" s="87" t="s">
        <v>61</v>
      </c>
      <c r="Q7" s="87" t="s">
        <v>50</v>
      </c>
      <c r="R7" s="87" t="s">
        <v>51</v>
      </c>
      <c r="S7" s="87" t="s">
        <v>52</v>
      </c>
      <c r="T7" s="87" t="s">
        <v>53</v>
      </c>
      <c r="U7" s="87" t="s">
        <v>54</v>
      </c>
      <c r="V7" s="87" t="s">
        <v>55</v>
      </c>
      <c r="W7" s="87" t="s">
        <v>56</v>
      </c>
      <c r="X7" s="87" t="s">
        <v>57</v>
      </c>
      <c r="Y7" s="87" t="s">
        <v>58</v>
      </c>
      <c r="Z7" s="87" t="s">
        <v>59</v>
      </c>
      <c r="AA7" s="87" t="s">
        <v>60</v>
      </c>
      <c r="AB7" s="87" t="s">
        <v>61</v>
      </c>
      <c r="AE7" s="87" t="s">
        <v>50</v>
      </c>
      <c r="AF7" s="87" t="s">
        <v>51</v>
      </c>
      <c r="AG7" s="87" t="s">
        <v>52</v>
      </c>
      <c r="AH7" s="87" t="s">
        <v>53</v>
      </c>
      <c r="AI7" s="87" t="s">
        <v>54</v>
      </c>
      <c r="AJ7" s="87" t="s">
        <v>55</v>
      </c>
      <c r="AK7" s="87" t="s">
        <v>56</v>
      </c>
      <c r="AL7" s="87" t="s">
        <v>57</v>
      </c>
      <c r="AM7" s="87" t="s">
        <v>58</v>
      </c>
      <c r="AN7" s="87" t="s">
        <v>59</v>
      </c>
      <c r="AO7" s="87" t="s">
        <v>60</v>
      </c>
      <c r="AP7" s="87" t="s">
        <v>61</v>
      </c>
    </row>
    <row r="8" spans="2:42">
      <c r="B8" s="9" t="s">
        <v>70</v>
      </c>
      <c r="C8" s="131">
        <f>Factors!C25</f>
        <v>2.5000000000000001E-2</v>
      </c>
      <c r="D8" s="131">
        <f>Factors!D25</f>
        <v>2.5000000000000001E-2</v>
      </c>
      <c r="E8" s="131">
        <f>Factors!E25</f>
        <v>2.5000000000000001E-2</v>
      </c>
      <c r="F8" s="131">
        <f>Factors!F25</f>
        <v>2.5000000000000001E-2</v>
      </c>
      <c r="G8" s="131">
        <f>Factors!G25</f>
        <v>2.5000000000000001E-2</v>
      </c>
      <c r="H8" s="131">
        <f>Factors!H25</f>
        <v>2.5000000000000001E-2</v>
      </c>
      <c r="I8" s="131">
        <f>Factors!I25</f>
        <v>2.5000000000000001E-2</v>
      </c>
      <c r="J8" s="131">
        <f>Factors!J25</f>
        <v>2.5000000000000001E-2</v>
      </c>
      <c r="K8" s="131">
        <f>Factors!K25</f>
        <v>2.5000000000000001E-2</v>
      </c>
      <c r="L8" s="131">
        <f>Factors!L25</f>
        <v>2.5000000000000001E-2</v>
      </c>
      <c r="M8" s="131">
        <f>Factors!M25</f>
        <v>2.5000000000000001E-2</v>
      </c>
      <c r="N8" s="131">
        <f>Factors!N25</f>
        <v>2.5000000000000001E-2</v>
      </c>
      <c r="P8" s="9" t="s">
        <v>70</v>
      </c>
      <c r="Q8" s="131">
        <f>Factors!R25</f>
        <v>2.5000000000000001E-2</v>
      </c>
      <c r="R8" s="131">
        <f>Factors!S25</f>
        <v>2.5000000000000001E-2</v>
      </c>
      <c r="S8" s="131">
        <f>Factors!T25</f>
        <v>2.5000000000000001E-2</v>
      </c>
      <c r="T8" s="131">
        <f>Factors!U25</f>
        <v>2.5000000000000001E-2</v>
      </c>
      <c r="U8" s="131">
        <f>Factors!V25</f>
        <v>2.5000000000000001E-2</v>
      </c>
      <c r="V8" s="131">
        <f>Factors!W25</f>
        <v>2.5000000000000001E-2</v>
      </c>
      <c r="W8" s="131">
        <f>Factors!X25</f>
        <v>2.5000000000000001E-2</v>
      </c>
      <c r="X8" s="131">
        <f>Factors!Y25</f>
        <v>2.5000000000000001E-2</v>
      </c>
      <c r="Y8" s="131">
        <f>Factors!Z25</f>
        <v>2.5000000000000001E-2</v>
      </c>
      <c r="Z8" s="131">
        <f>Factors!AA25</f>
        <v>2.5000000000000001E-2</v>
      </c>
      <c r="AA8" s="131">
        <f>Factors!AB25</f>
        <v>2.5000000000000001E-2</v>
      </c>
      <c r="AB8" s="131">
        <f>Factors!AC25</f>
        <v>2.5000000000000001E-2</v>
      </c>
      <c r="AD8" s="9" t="s">
        <v>70</v>
      </c>
      <c r="AE8" s="131">
        <f>Factors!AG25</f>
        <v>2.5000000000000001E-2</v>
      </c>
      <c r="AF8" s="131">
        <f>Factors!AH25</f>
        <v>2.5000000000000001E-2</v>
      </c>
      <c r="AG8" s="131">
        <f>Factors!AI25</f>
        <v>2.5000000000000001E-2</v>
      </c>
      <c r="AH8" s="131">
        <f>Factors!AJ25</f>
        <v>2.5000000000000001E-2</v>
      </c>
      <c r="AI8" s="131">
        <f>Factors!AK25</f>
        <v>2.5000000000000001E-2</v>
      </c>
      <c r="AJ8" s="131">
        <f>Factors!AL25</f>
        <v>2.5000000000000001E-2</v>
      </c>
      <c r="AK8" s="131">
        <f>Factors!AM25</f>
        <v>2.5000000000000001E-2</v>
      </c>
      <c r="AL8" s="131">
        <f>Factors!AN25</f>
        <v>2.5000000000000001E-2</v>
      </c>
      <c r="AM8" s="131">
        <f>Factors!AO25</f>
        <v>2.5000000000000001E-2</v>
      </c>
      <c r="AN8" s="131">
        <f>Factors!AP25</f>
        <v>2.5000000000000001E-2</v>
      </c>
      <c r="AO8" s="131">
        <f>Factors!AQ25</f>
        <v>2.5000000000000001E-2</v>
      </c>
      <c r="AP8" s="131">
        <f>Factors!AR25</f>
        <v>2.5000000000000001E-2</v>
      </c>
    </row>
    <row r="9" spans="2:42">
      <c r="B9" s="9" t="s">
        <v>71</v>
      </c>
      <c r="C9" s="131">
        <v>1.2500000000000001E-2</v>
      </c>
      <c r="D9" s="131">
        <f t="shared" ref="D9:N9" si="0">C9</f>
        <v>1.2500000000000001E-2</v>
      </c>
      <c r="E9" s="131">
        <f t="shared" si="0"/>
        <v>1.2500000000000001E-2</v>
      </c>
      <c r="F9" s="131">
        <f t="shared" si="0"/>
        <v>1.2500000000000001E-2</v>
      </c>
      <c r="G9" s="131">
        <f t="shared" si="0"/>
        <v>1.2500000000000001E-2</v>
      </c>
      <c r="H9" s="131">
        <f t="shared" si="0"/>
        <v>1.2500000000000001E-2</v>
      </c>
      <c r="I9" s="131">
        <f t="shared" si="0"/>
        <v>1.2500000000000001E-2</v>
      </c>
      <c r="J9" s="131">
        <f t="shared" si="0"/>
        <v>1.2500000000000001E-2</v>
      </c>
      <c r="K9" s="131">
        <f t="shared" si="0"/>
        <v>1.2500000000000001E-2</v>
      </c>
      <c r="L9" s="131">
        <f t="shared" si="0"/>
        <v>1.2500000000000001E-2</v>
      </c>
      <c r="M9" s="131">
        <f t="shared" si="0"/>
        <v>1.2500000000000001E-2</v>
      </c>
      <c r="N9" s="131">
        <f t="shared" si="0"/>
        <v>1.2500000000000001E-2</v>
      </c>
      <c r="P9" s="9" t="s">
        <v>71</v>
      </c>
      <c r="Q9" s="131">
        <v>1.2500000000000001E-2</v>
      </c>
      <c r="R9" s="131">
        <f t="shared" ref="R9:AB9" si="1">Q9</f>
        <v>1.2500000000000001E-2</v>
      </c>
      <c r="S9" s="131">
        <f t="shared" si="1"/>
        <v>1.2500000000000001E-2</v>
      </c>
      <c r="T9" s="131">
        <f t="shared" si="1"/>
        <v>1.2500000000000001E-2</v>
      </c>
      <c r="U9" s="131">
        <f t="shared" si="1"/>
        <v>1.2500000000000001E-2</v>
      </c>
      <c r="V9" s="131">
        <f t="shared" si="1"/>
        <v>1.2500000000000001E-2</v>
      </c>
      <c r="W9" s="131">
        <f t="shared" si="1"/>
        <v>1.2500000000000001E-2</v>
      </c>
      <c r="X9" s="131">
        <f t="shared" si="1"/>
        <v>1.2500000000000001E-2</v>
      </c>
      <c r="Y9" s="131">
        <f t="shared" si="1"/>
        <v>1.2500000000000001E-2</v>
      </c>
      <c r="Z9" s="131">
        <f t="shared" si="1"/>
        <v>1.2500000000000001E-2</v>
      </c>
      <c r="AA9" s="131">
        <f t="shared" si="1"/>
        <v>1.2500000000000001E-2</v>
      </c>
      <c r="AB9" s="131">
        <f t="shared" si="1"/>
        <v>1.2500000000000001E-2</v>
      </c>
      <c r="AD9" s="9" t="s">
        <v>71</v>
      </c>
      <c r="AE9" s="131">
        <v>1.2500000000000001E-2</v>
      </c>
      <c r="AF9" s="131">
        <f t="shared" ref="AF9:AP9" si="2">AE9</f>
        <v>1.2500000000000001E-2</v>
      </c>
      <c r="AG9" s="131">
        <f t="shared" si="2"/>
        <v>1.2500000000000001E-2</v>
      </c>
      <c r="AH9" s="131">
        <f t="shared" si="2"/>
        <v>1.2500000000000001E-2</v>
      </c>
      <c r="AI9" s="131">
        <f t="shared" si="2"/>
        <v>1.2500000000000001E-2</v>
      </c>
      <c r="AJ9" s="131">
        <f t="shared" si="2"/>
        <v>1.2500000000000001E-2</v>
      </c>
      <c r="AK9" s="131">
        <f t="shared" si="2"/>
        <v>1.2500000000000001E-2</v>
      </c>
      <c r="AL9" s="131">
        <f t="shared" si="2"/>
        <v>1.2500000000000001E-2</v>
      </c>
      <c r="AM9" s="131">
        <f t="shared" si="2"/>
        <v>1.2500000000000001E-2</v>
      </c>
      <c r="AN9" s="131">
        <f t="shared" si="2"/>
        <v>1.2500000000000001E-2</v>
      </c>
      <c r="AO9" s="131">
        <f t="shared" si="2"/>
        <v>1.2500000000000001E-2</v>
      </c>
      <c r="AP9" s="131">
        <f t="shared" si="2"/>
        <v>1.2500000000000001E-2</v>
      </c>
    </row>
    <row r="10" spans="2:42">
      <c r="B10" s="9" t="s">
        <v>72</v>
      </c>
      <c r="C10" s="271">
        <f t="shared" ref="C10:N10" si="3">SUM(C8:C9)</f>
        <v>3.7500000000000006E-2</v>
      </c>
      <c r="D10" s="271">
        <f t="shared" si="3"/>
        <v>3.7500000000000006E-2</v>
      </c>
      <c r="E10" s="271">
        <f t="shared" si="3"/>
        <v>3.7500000000000006E-2</v>
      </c>
      <c r="F10" s="271">
        <f t="shared" si="3"/>
        <v>3.7500000000000006E-2</v>
      </c>
      <c r="G10" s="271">
        <f t="shared" si="3"/>
        <v>3.7500000000000006E-2</v>
      </c>
      <c r="H10" s="271">
        <f t="shared" si="3"/>
        <v>3.7500000000000006E-2</v>
      </c>
      <c r="I10" s="271">
        <f t="shared" si="3"/>
        <v>3.7500000000000006E-2</v>
      </c>
      <c r="J10" s="271">
        <f t="shared" si="3"/>
        <v>3.7500000000000006E-2</v>
      </c>
      <c r="K10" s="271">
        <f t="shared" si="3"/>
        <v>3.7500000000000006E-2</v>
      </c>
      <c r="L10" s="271">
        <f t="shared" si="3"/>
        <v>3.7500000000000006E-2</v>
      </c>
      <c r="M10" s="271">
        <f t="shared" si="3"/>
        <v>3.7500000000000006E-2</v>
      </c>
      <c r="N10" s="271">
        <f t="shared" si="3"/>
        <v>3.7500000000000006E-2</v>
      </c>
      <c r="P10" s="9" t="s">
        <v>72</v>
      </c>
      <c r="Q10" s="271">
        <f t="shared" ref="Q10:AB10" si="4">SUM(Q8:Q9)</f>
        <v>3.7500000000000006E-2</v>
      </c>
      <c r="R10" s="271">
        <f t="shared" si="4"/>
        <v>3.7500000000000006E-2</v>
      </c>
      <c r="S10" s="271">
        <f t="shared" si="4"/>
        <v>3.7500000000000006E-2</v>
      </c>
      <c r="T10" s="271">
        <f t="shared" si="4"/>
        <v>3.7500000000000006E-2</v>
      </c>
      <c r="U10" s="271">
        <f t="shared" si="4"/>
        <v>3.7500000000000006E-2</v>
      </c>
      <c r="V10" s="271">
        <f t="shared" si="4"/>
        <v>3.7500000000000006E-2</v>
      </c>
      <c r="W10" s="271">
        <f t="shared" si="4"/>
        <v>3.7500000000000006E-2</v>
      </c>
      <c r="X10" s="271">
        <f t="shared" si="4"/>
        <v>3.7500000000000006E-2</v>
      </c>
      <c r="Y10" s="271">
        <f t="shared" si="4"/>
        <v>3.7500000000000006E-2</v>
      </c>
      <c r="Z10" s="271">
        <f t="shared" si="4"/>
        <v>3.7500000000000006E-2</v>
      </c>
      <c r="AA10" s="271">
        <f t="shared" si="4"/>
        <v>3.7500000000000006E-2</v>
      </c>
      <c r="AB10" s="271">
        <f t="shared" si="4"/>
        <v>3.7500000000000006E-2</v>
      </c>
      <c r="AD10" s="9" t="s">
        <v>72</v>
      </c>
      <c r="AE10" s="271">
        <f t="shared" ref="AE10:AP10" si="5">SUM(AE8:AE9)</f>
        <v>3.7500000000000006E-2</v>
      </c>
      <c r="AF10" s="271">
        <f t="shared" si="5"/>
        <v>3.7500000000000006E-2</v>
      </c>
      <c r="AG10" s="271">
        <f t="shared" si="5"/>
        <v>3.7500000000000006E-2</v>
      </c>
      <c r="AH10" s="271">
        <f t="shared" si="5"/>
        <v>3.7500000000000006E-2</v>
      </c>
      <c r="AI10" s="271">
        <f t="shared" si="5"/>
        <v>3.7500000000000006E-2</v>
      </c>
      <c r="AJ10" s="271">
        <f t="shared" si="5"/>
        <v>3.7500000000000006E-2</v>
      </c>
      <c r="AK10" s="271">
        <f t="shared" si="5"/>
        <v>3.7500000000000006E-2</v>
      </c>
      <c r="AL10" s="271">
        <f t="shared" si="5"/>
        <v>3.7500000000000006E-2</v>
      </c>
      <c r="AM10" s="271">
        <f t="shared" si="5"/>
        <v>3.7500000000000006E-2</v>
      </c>
      <c r="AN10" s="271">
        <f t="shared" si="5"/>
        <v>3.7500000000000006E-2</v>
      </c>
      <c r="AO10" s="271">
        <f t="shared" si="5"/>
        <v>3.7500000000000006E-2</v>
      </c>
      <c r="AP10" s="271">
        <f t="shared" si="5"/>
        <v>3.7500000000000006E-2</v>
      </c>
    </row>
    <row r="11" spans="2:42"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</row>
    <row r="12" spans="2:42">
      <c r="B12" s="68" t="s">
        <v>75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P12" s="68" t="s">
        <v>75</v>
      </c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D12" s="68" t="s">
        <v>75</v>
      </c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>
      <c r="C13" s="272" t="s">
        <v>50</v>
      </c>
      <c r="D13" s="272" t="s">
        <v>51</v>
      </c>
      <c r="E13" s="272" t="s">
        <v>52</v>
      </c>
      <c r="F13" s="272" t="s">
        <v>53</v>
      </c>
      <c r="G13" s="272" t="s">
        <v>54</v>
      </c>
      <c r="H13" s="272" t="s">
        <v>55</v>
      </c>
      <c r="I13" s="272" t="s">
        <v>56</v>
      </c>
      <c r="J13" s="272" t="s">
        <v>57</v>
      </c>
      <c r="K13" s="272" t="s">
        <v>58</v>
      </c>
      <c r="L13" s="272" t="s">
        <v>59</v>
      </c>
      <c r="M13" s="272" t="s">
        <v>60</v>
      </c>
      <c r="N13" s="272" t="s">
        <v>61</v>
      </c>
      <c r="Q13" s="272" t="s">
        <v>50</v>
      </c>
      <c r="R13" s="272" t="s">
        <v>51</v>
      </c>
      <c r="S13" s="272" t="s">
        <v>52</v>
      </c>
      <c r="T13" s="272" t="s">
        <v>53</v>
      </c>
      <c r="U13" s="272" t="s">
        <v>54</v>
      </c>
      <c r="V13" s="272" t="s">
        <v>55</v>
      </c>
      <c r="W13" s="272" t="s">
        <v>56</v>
      </c>
      <c r="X13" s="272" t="s">
        <v>57</v>
      </c>
      <c r="Y13" s="272" t="s">
        <v>58</v>
      </c>
      <c r="Z13" s="272" t="s">
        <v>59</v>
      </c>
      <c r="AA13" s="272" t="s">
        <v>60</v>
      </c>
      <c r="AB13" s="272" t="s">
        <v>61</v>
      </c>
      <c r="AE13" s="272" t="s">
        <v>50</v>
      </c>
      <c r="AF13" s="272" t="s">
        <v>51</v>
      </c>
      <c r="AG13" s="272" t="s">
        <v>52</v>
      </c>
      <c r="AH13" s="272" t="s">
        <v>53</v>
      </c>
      <c r="AI13" s="272" t="s">
        <v>54</v>
      </c>
      <c r="AJ13" s="272" t="s">
        <v>55</v>
      </c>
      <c r="AK13" s="272" t="s">
        <v>56</v>
      </c>
      <c r="AL13" s="272" t="s">
        <v>57</v>
      </c>
      <c r="AM13" s="272" t="s">
        <v>58</v>
      </c>
      <c r="AN13" s="272" t="s">
        <v>59</v>
      </c>
      <c r="AO13" s="272" t="s">
        <v>60</v>
      </c>
      <c r="AP13" s="272" t="s">
        <v>61</v>
      </c>
    </row>
    <row r="14" spans="2:42">
      <c r="B14" s="9" t="s">
        <v>70</v>
      </c>
      <c r="C14" s="131">
        <f>C8</f>
        <v>2.5000000000000001E-2</v>
      </c>
      <c r="D14" s="131">
        <f t="shared" ref="D14:N14" si="6">D8</f>
        <v>2.5000000000000001E-2</v>
      </c>
      <c r="E14" s="131">
        <f t="shared" si="6"/>
        <v>2.5000000000000001E-2</v>
      </c>
      <c r="F14" s="131">
        <f t="shared" si="6"/>
        <v>2.5000000000000001E-2</v>
      </c>
      <c r="G14" s="131">
        <f t="shared" si="6"/>
        <v>2.5000000000000001E-2</v>
      </c>
      <c r="H14" s="131">
        <f t="shared" si="6"/>
        <v>2.5000000000000001E-2</v>
      </c>
      <c r="I14" s="131">
        <f t="shared" si="6"/>
        <v>2.5000000000000001E-2</v>
      </c>
      <c r="J14" s="131">
        <f t="shared" si="6"/>
        <v>2.5000000000000001E-2</v>
      </c>
      <c r="K14" s="131">
        <f t="shared" si="6"/>
        <v>2.5000000000000001E-2</v>
      </c>
      <c r="L14" s="131">
        <f t="shared" si="6"/>
        <v>2.5000000000000001E-2</v>
      </c>
      <c r="M14" s="131">
        <f t="shared" si="6"/>
        <v>2.5000000000000001E-2</v>
      </c>
      <c r="N14" s="131">
        <f t="shared" si="6"/>
        <v>2.5000000000000001E-2</v>
      </c>
      <c r="P14" s="9" t="s">
        <v>70</v>
      </c>
      <c r="Q14" s="131">
        <f>Q8</f>
        <v>2.5000000000000001E-2</v>
      </c>
      <c r="R14" s="131">
        <f t="shared" ref="R14:AB14" si="7">R8</f>
        <v>2.5000000000000001E-2</v>
      </c>
      <c r="S14" s="131">
        <f t="shared" si="7"/>
        <v>2.5000000000000001E-2</v>
      </c>
      <c r="T14" s="131">
        <f t="shared" si="7"/>
        <v>2.5000000000000001E-2</v>
      </c>
      <c r="U14" s="131">
        <f t="shared" si="7"/>
        <v>2.5000000000000001E-2</v>
      </c>
      <c r="V14" s="131">
        <f t="shared" si="7"/>
        <v>2.5000000000000001E-2</v>
      </c>
      <c r="W14" s="131">
        <f t="shared" si="7"/>
        <v>2.5000000000000001E-2</v>
      </c>
      <c r="X14" s="131">
        <f t="shared" si="7"/>
        <v>2.5000000000000001E-2</v>
      </c>
      <c r="Y14" s="131">
        <f t="shared" si="7"/>
        <v>2.5000000000000001E-2</v>
      </c>
      <c r="Z14" s="131">
        <f t="shared" si="7"/>
        <v>2.5000000000000001E-2</v>
      </c>
      <c r="AA14" s="131">
        <f t="shared" si="7"/>
        <v>2.5000000000000001E-2</v>
      </c>
      <c r="AB14" s="131">
        <f t="shared" si="7"/>
        <v>2.5000000000000001E-2</v>
      </c>
      <c r="AD14" s="9" t="s">
        <v>70</v>
      </c>
      <c r="AE14" s="131">
        <f>AE8</f>
        <v>2.5000000000000001E-2</v>
      </c>
      <c r="AF14" s="131">
        <f t="shared" ref="AF14:AP14" si="8">AF8</f>
        <v>2.5000000000000001E-2</v>
      </c>
      <c r="AG14" s="131">
        <f t="shared" si="8"/>
        <v>2.5000000000000001E-2</v>
      </c>
      <c r="AH14" s="131">
        <f t="shared" si="8"/>
        <v>2.5000000000000001E-2</v>
      </c>
      <c r="AI14" s="131">
        <f t="shared" si="8"/>
        <v>2.5000000000000001E-2</v>
      </c>
      <c r="AJ14" s="131">
        <f t="shared" si="8"/>
        <v>2.5000000000000001E-2</v>
      </c>
      <c r="AK14" s="131">
        <f t="shared" si="8"/>
        <v>2.5000000000000001E-2</v>
      </c>
      <c r="AL14" s="131">
        <f t="shared" si="8"/>
        <v>2.5000000000000001E-2</v>
      </c>
      <c r="AM14" s="131">
        <f t="shared" si="8"/>
        <v>2.5000000000000001E-2</v>
      </c>
      <c r="AN14" s="131">
        <f t="shared" si="8"/>
        <v>2.5000000000000001E-2</v>
      </c>
      <c r="AO14" s="131">
        <f t="shared" si="8"/>
        <v>2.5000000000000001E-2</v>
      </c>
      <c r="AP14" s="131">
        <f t="shared" si="8"/>
        <v>2.5000000000000001E-2</v>
      </c>
    </row>
    <row r="15" spans="2:42">
      <c r="B15" s="9" t="s">
        <v>71</v>
      </c>
      <c r="C15" s="131">
        <v>1.375E-2</v>
      </c>
      <c r="D15" s="131">
        <f t="shared" ref="D15:N15" si="9">C15</f>
        <v>1.375E-2</v>
      </c>
      <c r="E15" s="131">
        <f t="shared" si="9"/>
        <v>1.375E-2</v>
      </c>
      <c r="F15" s="131">
        <f t="shared" si="9"/>
        <v>1.375E-2</v>
      </c>
      <c r="G15" s="131">
        <f t="shared" si="9"/>
        <v>1.375E-2</v>
      </c>
      <c r="H15" s="131">
        <f t="shared" si="9"/>
        <v>1.375E-2</v>
      </c>
      <c r="I15" s="131">
        <f t="shared" si="9"/>
        <v>1.375E-2</v>
      </c>
      <c r="J15" s="131">
        <f t="shared" si="9"/>
        <v>1.375E-2</v>
      </c>
      <c r="K15" s="131">
        <f t="shared" si="9"/>
        <v>1.375E-2</v>
      </c>
      <c r="L15" s="131">
        <f t="shared" si="9"/>
        <v>1.375E-2</v>
      </c>
      <c r="M15" s="131">
        <f t="shared" si="9"/>
        <v>1.375E-2</v>
      </c>
      <c r="N15" s="131">
        <f t="shared" si="9"/>
        <v>1.375E-2</v>
      </c>
      <c r="P15" s="9" t="s">
        <v>71</v>
      </c>
      <c r="Q15" s="131">
        <v>1.375E-2</v>
      </c>
      <c r="R15" s="131">
        <f t="shared" ref="R15:AB15" si="10">Q15</f>
        <v>1.375E-2</v>
      </c>
      <c r="S15" s="131">
        <f t="shared" si="10"/>
        <v>1.375E-2</v>
      </c>
      <c r="T15" s="131">
        <f t="shared" si="10"/>
        <v>1.375E-2</v>
      </c>
      <c r="U15" s="131">
        <f t="shared" si="10"/>
        <v>1.375E-2</v>
      </c>
      <c r="V15" s="131">
        <f t="shared" si="10"/>
        <v>1.375E-2</v>
      </c>
      <c r="W15" s="131">
        <f t="shared" si="10"/>
        <v>1.375E-2</v>
      </c>
      <c r="X15" s="131">
        <f t="shared" si="10"/>
        <v>1.375E-2</v>
      </c>
      <c r="Y15" s="131">
        <f t="shared" si="10"/>
        <v>1.375E-2</v>
      </c>
      <c r="Z15" s="131">
        <f t="shared" si="10"/>
        <v>1.375E-2</v>
      </c>
      <c r="AA15" s="131">
        <f t="shared" si="10"/>
        <v>1.375E-2</v>
      </c>
      <c r="AB15" s="131">
        <f t="shared" si="10"/>
        <v>1.375E-2</v>
      </c>
      <c r="AD15" s="9" t="s">
        <v>71</v>
      </c>
      <c r="AE15" s="131">
        <v>1.375E-2</v>
      </c>
      <c r="AF15" s="131">
        <f t="shared" ref="AF15:AP15" si="11">AE15</f>
        <v>1.375E-2</v>
      </c>
      <c r="AG15" s="131">
        <f t="shared" si="11"/>
        <v>1.375E-2</v>
      </c>
      <c r="AH15" s="131">
        <f t="shared" si="11"/>
        <v>1.375E-2</v>
      </c>
      <c r="AI15" s="131">
        <f t="shared" si="11"/>
        <v>1.375E-2</v>
      </c>
      <c r="AJ15" s="131">
        <f t="shared" si="11"/>
        <v>1.375E-2</v>
      </c>
      <c r="AK15" s="131">
        <f t="shared" si="11"/>
        <v>1.375E-2</v>
      </c>
      <c r="AL15" s="131">
        <f t="shared" si="11"/>
        <v>1.375E-2</v>
      </c>
      <c r="AM15" s="131">
        <f t="shared" si="11"/>
        <v>1.375E-2</v>
      </c>
      <c r="AN15" s="131">
        <f t="shared" si="11"/>
        <v>1.375E-2</v>
      </c>
      <c r="AO15" s="131">
        <f t="shared" si="11"/>
        <v>1.375E-2</v>
      </c>
      <c r="AP15" s="131">
        <f t="shared" si="11"/>
        <v>1.375E-2</v>
      </c>
    </row>
    <row r="16" spans="2:42">
      <c r="B16" s="9" t="s">
        <v>72</v>
      </c>
      <c r="C16" s="271">
        <f t="shared" ref="C16:N16" si="12">SUM(C14:C15)</f>
        <v>3.875E-2</v>
      </c>
      <c r="D16" s="271">
        <f t="shared" si="12"/>
        <v>3.875E-2</v>
      </c>
      <c r="E16" s="271">
        <f t="shared" si="12"/>
        <v>3.875E-2</v>
      </c>
      <c r="F16" s="271">
        <f t="shared" si="12"/>
        <v>3.875E-2</v>
      </c>
      <c r="G16" s="271">
        <f t="shared" si="12"/>
        <v>3.875E-2</v>
      </c>
      <c r="H16" s="271">
        <f t="shared" si="12"/>
        <v>3.875E-2</v>
      </c>
      <c r="I16" s="271">
        <f t="shared" si="12"/>
        <v>3.875E-2</v>
      </c>
      <c r="J16" s="271">
        <f t="shared" si="12"/>
        <v>3.875E-2</v>
      </c>
      <c r="K16" s="271">
        <f t="shared" si="12"/>
        <v>3.875E-2</v>
      </c>
      <c r="L16" s="271">
        <f t="shared" si="12"/>
        <v>3.875E-2</v>
      </c>
      <c r="M16" s="271">
        <f t="shared" si="12"/>
        <v>3.875E-2</v>
      </c>
      <c r="N16" s="271">
        <f t="shared" si="12"/>
        <v>3.875E-2</v>
      </c>
      <c r="P16" s="9" t="s">
        <v>72</v>
      </c>
      <c r="Q16" s="271">
        <f t="shared" ref="Q16:AB16" si="13">SUM(Q14:Q15)</f>
        <v>3.875E-2</v>
      </c>
      <c r="R16" s="271">
        <f t="shared" si="13"/>
        <v>3.875E-2</v>
      </c>
      <c r="S16" s="271">
        <f t="shared" si="13"/>
        <v>3.875E-2</v>
      </c>
      <c r="T16" s="271">
        <f t="shared" si="13"/>
        <v>3.875E-2</v>
      </c>
      <c r="U16" s="271">
        <f t="shared" si="13"/>
        <v>3.875E-2</v>
      </c>
      <c r="V16" s="271">
        <f t="shared" si="13"/>
        <v>3.875E-2</v>
      </c>
      <c r="W16" s="271">
        <f t="shared" si="13"/>
        <v>3.875E-2</v>
      </c>
      <c r="X16" s="271">
        <f t="shared" si="13"/>
        <v>3.875E-2</v>
      </c>
      <c r="Y16" s="271">
        <f t="shared" si="13"/>
        <v>3.875E-2</v>
      </c>
      <c r="Z16" s="271">
        <f t="shared" si="13"/>
        <v>3.875E-2</v>
      </c>
      <c r="AA16" s="271">
        <f t="shared" si="13"/>
        <v>3.875E-2</v>
      </c>
      <c r="AB16" s="271">
        <f t="shared" si="13"/>
        <v>3.875E-2</v>
      </c>
      <c r="AD16" s="9" t="s">
        <v>72</v>
      </c>
      <c r="AE16" s="271">
        <f t="shared" ref="AE16:AP16" si="14">SUM(AE14:AE15)</f>
        <v>3.875E-2</v>
      </c>
      <c r="AF16" s="271">
        <f t="shared" si="14"/>
        <v>3.875E-2</v>
      </c>
      <c r="AG16" s="271">
        <f t="shared" si="14"/>
        <v>3.875E-2</v>
      </c>
      <c r="AH16" s="271">
        <f t="shared" si="14"/>
        <v>3.875E-2</v>
      </c>
      <c r="AI16" s="271">
        <f t="shared" si="14"/>
        <v>3.875E-2</v>
      </c>
      <c r="AJ16" s="271">
        <f t="shared" si="14"/>
        <v>3.875E-2</v>
      </c>
      <c r="AK16" s="271">
        <f t="shared" si="14"/>
        <v>3.875E-2</v>
      </c>
      <c r="AL16" s="271">
        <f t="shared" si="14"/>
        <v>3.875E-2</v>
      </c>
      <c r="AM16" s="271">
        <f t="shared" si="14"/>
        <v>3.875E-2</v>
      </c>
      <c r="AN16" s="271">
        <f t="shared" si="14"/>
        <v>3.875E-2</v>
      </c>
      <c r="AO16" s="271">
        <f t="shared" si="14"/>
        <v>3.875E-2</v>
      </c>
      <c r="AP16" s="271">
        <f t="shared" si="14"/>
        <v>3.875E-2</v>
      </c>
    </row>
    <row r="19" spans="1:43">
      <c r="B19" s="68" t="s">
        <v>41</v>
      </c>
      <c r="P19" s="68" t="s">
        <v>77</v>
      </c>
      <c r="AD19" s="68" t="s">
        <v>77</v>
      </c>
    </row>
    <row r="20" spans="1:43">
      <c r="C20" s="87" t="s">
        <v>50</v>
      </c>
      <c r="D20" s="87" t="s">
        <v>51</v>
      </c>
      <c r="E20" s="87" t="s">
        <v>52</v>
      </c>
      <c r="F20" s="87" t="s">
        <v>53</v>
      </c>
      <c r="G20" s="87" t="s">
        <v>54</v>
      </c>
      <c r="H20" s="87" t="s">
        <v>55</v>
      </c>
      <c r="I20" s="87" t="s">
        <v>56</v>
      </c>
      <c r="J20" s="87" t="s">
        <v>57</v>
      </c>
      <c r="K20" s="87" t="s">
        <v>58</v>
      </c>
      <c r="L20" s="87" t="s">
        <v>59</v>
      </c>
      <c r="M20" s="87" t="s">
        <v>60</v>
      </c>
      <c r="N20" s="87" t="s">
        <v>61</v>
      </c>
      <c r="Q20" s="87" t="s">
        <v>50</v>
      </c>
      <c r="R20" s="87" t="s">
        <v>51</v>
      </c>
      <c r="S20" s="87" t="s">
        <v>52</v>
      </c>
      <c r="T20" s="87" t="s">
        <v>53</v>
      </c>
      <c r="U20" s="87" t="s">
        <v>54</v>
      </c>
      <c r="V20" s="87" t="s">
        <v>55</v>
      </c>
      <c r="W20" s="87" t="s">
        <v>56</v>
      </c>
      <c r="X20" s="87" t="s">
        <v>57</v>
      </c>
      <c r="Y20" s="87" t="s">
        <v>58</v>
      </c>
      <c r="Z20" s="87" t="s">
        <v>59</v>
      </c>
      <c r="AA20" s="87" t="s">
        <v>60</v>
      </c>
      <c r="AB20" s="87" t="s">
        <v>61</v>
      </c>
      <c r="AE20" s="87" t="s">
        <v>50</v>
      </c>
      <c r="AF20" s="87" t="s">
        <v>51</v>
      </c>
      <c r="AG20" s="87" t="s">
        <v>52</v>
      </c>
      <c r="AH20" s="87" t="s">
        <v>53</v>
      </c>
      <c r="AI20" s="87" t="s">
        <v>54</v>
      </c>
      <c r="AJ20" s="87" t="s">
        <v>55</v>
      </c>
      <c r="AK20" s="87" t="s">
        <v>56</v>
      </c>
      <c r="AL20" s="87" t="s">
        <v>57</v>
      </c>
      <c r="AM20" s="87" t="s">
        <v>58</v>
      </c>
      <c r="AN20" s="87" t="s">
        <v>59</v>
      </c>
      <c r="AO20" s="87" t="s">
        <v>60</v>
      </c>
      <c r="AP20" s="87" t="s">
        <v>61</v>
      </c>
    </row>
    <row r="21" spans="1:43">
      <c r="A21" s="66" t="s">
        <v>448</v>
      </c>
      <c r="B21" s="9" t="s">
        <v>78</v>
      </c>
      <c r="C21" s="17">
        <f>loans!B13*C10*loans!B7/360</f>
        <v>353723.58187500009</v>
      </c>
      <c r="D21" s="17">
        <f>loans!C13*D10*loans!C7/360</f>
        <v>319492.26750000002</v>
      </c>
      <c r="E21" s="17">
        <f>loans!D13*E10*loans!D7/360</f>
        <v>353723.58187500009</v>
      </c>
      <c r="F21" s="17">
        <f>loans!E13*F10*loans!E7/360</f>
        <v>342313.14375000005</v>
      </c>
      <c r="G21" s="17">
        <f>loans!F13*G10*loans!F7/360</f>
        <v>353723.58187500009</v>
      </c>
      <c r="H21" s="17">
        <f>loans!G13*H10*loans!G7/360</f>
        <v>334922.02500000008</v>
      </c>
      <c r="I21" s="17">
        <f>loans!H13*I10*loans!H7/360</f>
        <v>346086.09250000009</v>
      </c>
      <c r="J21" s="17">
        <f>loans!I13*J10*loans!I7/360</f>
        <v>346086.09250000009</v>
      </c>
      <c r="K21" s="17">
        <f>loans!J13*K10*loans!J7/360</f>
        <v>334922.02500000008</v>
      </c>
      <c r="L21" s="17">
        <f>loans!K13*L10*loans!K7/360</f>
        <v>346086.09250000009</v>
      </c>
      <c r="M21" s="17">
        <f>loans!L13*M10*loans!L7/360</f>
        <v>334922.02500000008</v>
      </c>
      <c r="N21" s="17">
        <f>loans!M13*N10*loans!M7/360</f>
        <v>338141.58687500004</v>
      </c>
      <c r="P21" s="9" t="s">
        <v>78</v>
      </c>
      <c r="Q21" s="17">
        <f>loans!P13*Q10*loans!P7/360</f>
        <v>338141.58687500004</v>
      </c>
      <c r="R21" s="17">
        <f>loans!Q13*R10*loans!Q7/360</f>
        <v>305418.20750000008</v>
      </c>
      <c r="S21" s="17">
        <f>loans!R13*S10*loans!R7/360</f>
        <v>338141.58687500004</v>
      </c>
      <c r="T21" s="17">
        <f>loans!S13*T10*loans!S7/360</f>
        <v>327233.79375000007</v>
      </c>
      <c r="U21" s="17">
        <f>loans!T13*U10*loans!T7/360</f>
        <v>338141.58687500004</v>
      </c>
      <c r="V21" s="17">
        <f>loans!U13*V10*loans!U7/360</f>
        <v>319236.33750000008</v>
      </c>
      <c r="W21" s="17">
        <f>loans!V13*W10*loans!V7/360</f>
        <v>329877.54875000007</v>
      </c>
      <c r="X21" s="17">
        <f>loans!W13*X10*loans!W7/360</f>
        <v>329877.54875000007</v>
      </c>
      <c r="Y21" s="17">
        <f>loans!X13*Y10*loans!X7/360</f>
        <v>319236.33750000008</v>
      </c>
      <c r="Z21" s="17">
        <f>loans!Y13*Z10*loans!Y7/360</f>
        <v>329877.54875000007</v>
      </c>
      <c r="AA21" s="17">
        <f>loans!Z13*AA10*loans!Z7/360</f>
        <v>319236.33750000008</v>
      </c>
      <c r="AB21" s="17">
        <f>loans!AA13*AB10*loans!AA7/360</f>
        <v>321281.46187500004</v>
      </c>
      <c r="AC21" s="17"/>
      <c r="AD21" s="9" t="s">
        <v>78</v>
      </c>
      <c r="AE21" s="17">
        <f>loans!AD13*AE10*loans!AD7/360</f>
        <v>321281.46187500004</v>
      </c>
      <c r="AF21" s="17">
        <f>loans!AE13*AF10*loans!AE7/360</f>
        <v>290189.70750000008</v>
      </c>
      <c r="AG21" s="17">
        <f>loans!AF13*AG10*loans!AF7/360</f>
        <v>321281.46187500004</v>
      </c>
      <c r="AH21" s="17">
        <f>loans!AG13*AH10*loans!AG7/360</f>
        <v>310917.54375000007</v>
      </c>
      <c r="AI21" s="17">
        <f>loans!AH13*AI10*loans!AH7/360</f>
        <v>321281.46187500004</v>
      </c>
      <c r="AJ21" s="17">
        <f>loans!AI13*AJ10*loans!AI7/360</f>
        <v>302264.58750000008</v>
      </c>
      <c r="AK21" s="17">
        <f>loans!AJ13*AK10*loans!AJ7/360</f>
        <v>312340.0737500001</v>
      </c>
      <c r="AL21" s="17">
        <f>loans!AK13*AL10*loans!AK7/360</f>
        <v>312340.0737500001</v>
      </c>
      <c r="AM21" s="17">
        <f>loans!AL13*AM10*loans!AL7/360</f>
        <v>302264.58750000008</v>
      </c>
      <c r="AN21" s="17">
        <f>loans!AM13*AN10*loans!AM7/360</f>
        <v>312340.0737500001</v>
      </c>
      <c r="AO21" s="17">
        <f>loans!AN13*AO10*loans!AN7/360</f>
        <v>302264.58750000008</v>
      </c>
      <c r="AP21" s="17">
        <f>loans!AO13*AP10*loans!AO7/360</f>
        <v>303039.02750000003</v>
      </c>
    </row>
    <row r="22" spans="1:43">
      <c r="A22" s="66" t="s">
        <v>448</v>
      </c>
      <c r="B22" s="9" t="s">
        <v>79</v>
      </c>
      <c r="C22" s="17">
        <f>loans!B20*C16*loans!B7/360</f>
        <v>14428.197065972225</v>
      </c>
      <c r="D22" s="17">
        <f>loans!C20*D16*loans!C7/360</f>
        <v>13031.919930555556</v>
      </c>
      <c r="E22" s="17">
        <f>loans!D20*E16*loans!D7/360</f>
        <v>14428.197065972225</v>
      </c>
      <c r="F22" s="17">
        <f>loans!E20*F16*loans!E7/360</f>
        <v>13962.771354166667</v>
      </c>
      <c r="G22" s="17">
        <f>loans!F20*G16*loans!F7/360</f>
        <v>14428.197065972225</v>
      </c>
      <c r="H22" s="17">
        <f>loans!G20*H16*loans!G7/360</f>
        <v>13661.291510416668</v>
      </c>
      <c r="I22" s="17">
        <f>loans!H20*I16*loans!H7/360</f>
        <v>14116.667894097223</v>
      </c>
      <c r="J22" s="17">
        <f>loans!I20*J16*loans!I7/360</f>
        <v>14116.667894097223</v>
      </c>
      <c r="K22" s="17">
        <f>loans!J20*K16*loans!J7/360</f>
        <v>13661.291510416668</v>
      </c>
      <c r="L22" s="17">
        <f>loans!K20*L16*loans!K7/360</f>
        <v>14116.667894097223</v>
      </c>
      <c r="M22" s="17">
        <f>loans!L20*M16*loans!L7/360</f>
        <v>13661.291510416668</v>
      </c>
      <c r="N22" s="17">
        <f>loans!M20*N16*loans!M7/360</f>
        <v>13792.615690972221</v>
      </c>
      <c r="P22" s="9" t="s">
        <v>79</v>
      </c>
      <c r="Q22" s="17">
        <f>loans!P20*Q16*loans!P7/360</f>
        <v>13792.615690972221</v>
      </c>
      <c r="R22" s="17">
        <f>loans!Q20*R16*loans!Q7/360</f>
        <v>12457.846430555555</v>
      </c>
      <c r="S22" s="17">
        <f>loans!R20*S16*loans!R7/360</f>
        <v>13792.615690972221</v>
      </c>
      <c r="T22" s="17">
        <f>loans!S20*T16*loans!S7/360</f>
        <v>13347.692604166668</v>
      </c>
      <c r="U22" s="17">
        <f>loans!T20*U16*loans!T7/360</f>
        <v>13792.615690972221</v>
      </c>
      <c r="V22" s="17">
        <f>loans!U20*V16*loans!U7/360</f>
        <v>13021.480572916666</v>
      </c>
      <c r="W22" s="17">
        <f>loans!V20*W16*loans!V7/360</f>
        <v>13455.529925347222</v>
      </c>
      <c r="X22" s="17">
        <f>loans!W20*X16*loans!W7/360</f>
        <v>13455.529925347222</v>
      </c>
      <c r="Y22" s="17">
        <f>loans!X20*Y16*loans!X7/360</f>
        <v>13021.480572916666</v>
      </c>
      <c r="Z22" s="17">
        <f>loans!Y20*Z16*loans!Y7/360</f>
        <v>13455.529925347222</v>
      </c>
      <c r="AA22" s="17">
        <f>loans!Z20*AA16*loans!Z7/360</f>
        <v>13021.480572916666</v>
      </c>
      <c r="AB22" s="17">
        <f>loans!AA20*AB16*loans!AA7/360</f>
        <v>13101.896940972221</v>
      </c>
      <c r="AD22" s="9" t="s">
        <v>79</v>
      </c>
      <c r="AE22" s="17">
        <f>loans!AD20*AE16*loans!AD7/360</f>
        <v>13101.896940972221</v>
      </c>
      <c r="AF22" s="17">
        <f>loans!AE20*AF16*loans!AE7/360</f>
        <v>11833.971430555555</v>
      </c>
      <c r="AG22" s="17">
        <f>loans!AF20*AG16*loans!AF7/360</f>
        <v>13101.896940972221</v>
      </c>
      <c r="AH22" s="17">
        <f>loans!AG20*AH16*loans!AG7/360</f>
        <v>12679.255104166668</v>
      </c>
      <c r="AI22" s="17">
        <f>loans!AH20*AI16*loans!AH7/360</f>
        <v>13101.896940972221</v>
      </c>
      <c r="AJ22" s="17">
        <f>loans!AI20*AJ16*loans!AI7/360</f>
        <v>12326.305572916666</v>
      </c>
      <c r="AK22" s="17">
        <f>loans!AJ20*AK16*loans!AJ7/360</f>
        <v>12737.182425347222</v>
      </c>
      <c r="AL22" s="17">
        <f>loans!AK20*AL16*loans!AK7/360</f>
        <v>12737.182425347222</v>
      </c>
      <c r="AM22" s="17">
        <f>loans!AL20*AM16*loans!AL7/360</f>
        <v>12326.305572916666</v>
      </c>
      <c r="AN22" s="17">
        <f>loans!AM20*AN16*loans!AM7/360</f>
        <v>12737.182425347222</v>
      </c>
      <c r="AO22" s="17">
        <f>loans!AN20*AO16*loans!AN7/360</f>
        <v>12326.305572916666</v>
      </c>
      <c r="AP22" s="17">
        <f>loans!AO20*AP16*loans!AO7/360</f>
        <v>12357.797644097222</v>
      </c>
    </row>
    <row r="23" spans="1:43">
      <c r="A23" s="66" t="s">
        <v>449</v>
      </c>
      <c r="B23" s="9" t="s">
        <v>81</v>
      </c>
      <c r="C23" s="17">
        <f>loans!B24*C10*loans!B7/360</f>
        <v>17598.680625000001</v>
      </c>
      <c r="D23" s="17">
        <f>loans!C24*D10*loans!C7/360</f>
        <v>15895.582500000002</v>
      </c>
      <c r="E23" s="17">
        <f>loans!D24*E10*loans!D7/360</f>
        <v>17598.680625000001</v>
      </c>
      <c r="F23" s="17">
        <f>loans!E24*F10*loans!E7/360</f>
        <v>17030.981250000004</v>
      </c>
      <c r="G23" s="17">
        <f>loans!F24*G10*loans!F7/360</f>
        <v>17598.680625000001</v>
      </c>
      <c r="H23" s="17">
        <f>loans!G24*H10*loans!G7/360</f>
        <v>17030.981250000004</v>
      </c>
      <c r="I23" s="17">
        <f>loans!H24*I10*loans!H7/360</f>
        <v>17598.680625000001</v>
      </c>
      <c r="J23" s="17">
        <f>loans!I24*J10*loans!I7/360</f>
        <v>17598.680625000001</v>
      </c>
      <c r="K23" s="17">
        <f>loans!J24*K10*loans!J7/360</f>
        <v>17030.981250000004</v>
      </c>
      <c r="L23" s="17">
        <f>loans!K24*L10*loans!K7/360</f>
        <v>17598.680625000001</v>
      </c>
      <c r="M23" s="17">
        <f>loans!L24*M10*loans!L7/360</f>
        <v>17030.981250000004</v>
      </c>
      <c r="N23" s="17">
        <f>loans!M24*N10*loans!M7/360</f>
        <v>17598.680625000001</v>
      </c>
      <c r="O23" s="17">
        <f>SUM(L23:N23)</f>
        <v>52228.342500000006</v>
      </c>
      <c r="P23" s="9" t="s">
        <v>81</v>
      </c>
      <c r="Q23" s="17">
        <f>loans!P24*Q10*loans!P7/360</f>
        <v>17598.680625000001</v>
      </c>
      <c r="R23" s="17">
        <f>loans!Q24*R10*loans!Q7/360</f>
        <v>15895.582500000002</v>
      </c>
      <c r="S23" s="17">
        <f>loans!R24*S10*loans!R7/360</f>
        <v>17598.680625000001</v>
      </c>
      <c r="T23" s="17">
        <f>loans!S24*T10*loans!S7/360</f>
        <v>17030.981250000004</v>
      </c>
      <c r="U23" s="17">
        <f>loans!T24*U10*loans!T7/360</f>
        <v>17598.680625000001</v>
      </c>
      <c r="V23" s="17">
        <f>loans!U24*V10*loans!U7/360</f>
        <v>17030.981250000004</v>
      </c>
      <c r="W23" s="17">
        <f>loans!V24*W10*loans!V7/360</f>
        <v>17598.680625000001</v>
      </c>
      <c r="X23" s="17">
        <f>loans!W24*X10*loans!W7/360</f>
        <v>17598.680625000001</v>
      </c>
      <c r="Y23" s="17">
        <f>loans!X24*Y10*loans!X7/360</f>
        <v>17030.981250000004</v>
      </c>
      <c r="Z23" s="17">
        <f>loans!Y24*Z10*loans!Y7/360</f>
        <v>17598.680625000001</v>
      </c>
      <c r="AA23" s="17">
        <f>loans!Z24*AA10*loans!Z7/360</f>
        <v>17030.981250000004</v>
      </c>
      <c r="AB23" s="17">
        <f>loans!AA24*AB10*loans!AA7/360</f>
        <v>17598.680625000001</v>
      </c>
      <c r="AC23" s="17">
        <f>SUM(Z23:AB23)</f>
        <v>52228.342500000006</v>
      </c>
      <c r="AD23" s="9" t="s">
        <v>81</v>
      </c>
      <c r="AE23" s="17">
        <f>loans!AD24*AE10*loans!AD7/360</f>
        <v>17598.680625000001</v>
      </c>
      <c r="AF23" s="17">
        <f>loans!AE24*AF10*loans!AE7/360</f>
        <v>15895.582500000002</v>
      </c>
      <c r="AG23" s="17">
        <f>loans!AF24*AG10*loans!AF7/360</f>
        <v>17598.680625000001</v>
      </c>
      <c r="AH23" s="17">
        <f>loans!AG24*AH10*loans!AG7/360</f>
        <v>17030.981250000004</v>
      </c>
      <c r="AI23" s="17">
        <f>loans!AH24*AI10*loans!AH7/360</f>
        <v>17598.680625000001</v>
      </c>
      <c r="AJ23" s="17">
        <f>loans!AI24*AJ10*loans!AI7/360</f>
        <v>17030.981250000004</v>
      </c>
      <c r="AK23" s="17">
        <f>loans!AJ24*AK10*loans!AJ7/360</f>
        <v>17598.680625000001</v>
      </c>
      <c r="AL23" s="17">
        <f>loans!AK24*AL10*loans!AK7/360</f>
        <v>17598.680625000001</v>
      </c>
      <c r="AM23" s="17">
        <f>loans!AL24*AM10*loans!AL7/360</f>
        <v>17030.981250000004</v>
      </c>
      <c r="AN23" s="17">
        <f>loans!AM24*AN10*loans!AM7/360</f>
        <v>17598.680625000001</v>
      </c>
      <c r="AO23" s="17">
        <f>loans!AN24*AO10*loans!AN7/360</f>
        <v>17030.981250000004</v>
      </c>
      <c r="AP23" s="17">
        <f>loans!AO24*AP10*loans!AO7/360</f>
        <v>17598.680625000001</v>
      </c>
      <c r="AQ23" s="17">
        <f>SUM(AN23:AP23)</f>
        <v>52228.342500000006</v>
      </c>
    </row>
    <row r="24" spans="1:43">
      <c r="A24" s="66" t="s">
        <v>447</v>
      </c>
      <c r="B24" s="9" t="s">
        <v>503</v>
      </c>
      <c r="C24" s="17"/>
      <c r="D24" s="17"/>
      <c r="E24" s="17"/>
      <c r="F24" s="17">
        <v>25000</v>
      </c>
      <c r="G24" s="17"/>
      <c r="H24" s="17"/>
      <c r="I24" s="17"/>
      <c r="J24" s="17"/>
      <c r="K24" s="17"/>
      <c r="L24" s="17"/>
      <c r="M24" s="17"/>
      <c r="N24" s="17"/>
      <c r="O24" s="17"/>
      <c r="P24" s="9" t="s">
        <v>503</v>
      </c>
      <c r="Q24" s="17"/>
      <c r="R24" s="17"/>
      <c r="S24" s="17"/>
      <c r="T24" s="17">
        <v>25000</v>
      </c>
      <c r="U24" s="17"/>
      <c r="V24" s="17"/>
      <c r="W24" s="17"/>
      <c r="X24" s="17"/>
      <c r="Y24" s="17"/>
      <c r="Z24" s="17"/>
      <c r="AA24" s="17"/>
      <c r="AB24" s="17"/>
      <c r="AC24" s="17"/>
      <c r="AD24" s="9" t="s">
        <v>503</v>
      </c>
      <c r="AE24" s="17"/>
      <c r="AF24" s="17"/>
      <c r="AG24" s="17"/>
      <c r="AH24" s="17">
        <v>25000</v>
      </c>
      <c r="AI24" s="17"/>
      <c r="AJ24" s="17"/>
      <c r="AK24" s="17"/>
      <c r="AL24" s="17"/>
      <c r="AM24" s="17"/>
      <c r="AN24" s="17"/>
      <c r="AO24" s="17"/>
      <c r="AP24" s="17"/>
      <c r="AQ24" s="17"/>
    </row>
    <row r="25" spans="1:43" ht="13.5" thickBot="1">
      <c r="B25" s="68" t="s">
        <v>97</v>
      </c>
      <c r="C25" s="209">
        <f>SUM(C21:C24)</f>
        <v>385750.45956597227</v>
      </c>
      <c r="D25" s="209">
        <f t="shared" ref="D25:N25" si="15">SUM(D21:D24)</f>
        <v>348419.7699305556</v>
      </c>
      <c r="E25" s="209">
        <f t="shared" si="15"/>
        <v>385750.45956597227</v>
      </c>
      <c r="F25" s="209">
        <f t="shared" si="15"/>
        <v>398306.89635416673</v>
      </c>
      <c r="G25" s="209">
        <f t="shared" si="15"/>
        <v>385750.45956597227</v>
      </c>
      <c r="H25" s="209">
        <f t="shared" si="15"/>
        <v>365614.29776041675</v>
      </c>
      <c r="I25" s="209">
        <f t="shared" si="15"/>
        <v>377801.44101909728</v>
      </c>
      <c r="J25" s="209">
        <f t="shared" si="15"/>
        <v>377801.44101909728</v>
      </c>
      <c r="K25" s="209">
        <f t="shared" si="15"/>
        <v>365614.29776041675</v>
      </c>
      <c r="L25" s="209">
        <f t="shared" si="15"/>
        <v>377801.44101909728</v>
      </c>
      <c r="M25" s="209">
        <f t="shared" si="15"/>
        <v>365614.29776041675</v>
      </c>
      <c r="N25" s="209">
        <f t="shared" si="15"/>
        <v>369532.88319097226</v>
      </c>
      <c r="Q25" s="273">
        <f t="shared" ref="Q25:AB25" si="16">SUM(Q21:Q24)</f>
        <v>369532.88319097226</v>
      </c>
      <c r="R25" s="273">
        <f t="shared" si="16"/>
        <v>333771.63643055566</v>
      </c>
      <c r="S25" s="273">
        <f t="shared" si="16"/>
        <v>369532.88319097226</v>
      </c>
      <c r="T25" s="273">
        <f t="shared" si="16"/>
        <v>382612.46760416677</v>
      </c>
      <c r="U25" s="273">
        <f t="shared" si="16"/>
        <v>369532.88319097226</v>
      </c>
      <c r="V25" s="273">
        <f t="shared" si="16"/>
        <v>349288.79932291678</v>
      </c>
      <c r="W25" s="273">
        <f t="shared" si="16"/>
        <v>360931.7593003473</v>
      </c>
      <c r="X25" s="273">
        <f t="shared" si="16"/>
        <v>360931.7593003473</v>
      </c>
      <c r="Y25" s="273">
        <f t="shared" si="16"/>
        <v>349288.79932291678</v>
      </c>
      <c r="Z25" s="273">
        <f t="shared" si="16"/>
        <v>360931.7593003473</v>
      </c>
      <c r="AA25" s="273">
        <f t="shared" si="16"/>
        <v>349288.79932291678</v>
      </c>
      <c r="AB25" s="273">
        <f t="shared" si="16"/>
        <v>351982.03944097226</v>
      </c>
      <c r="AE25" s="273">
        <f t="shared" ref="AE25:AP25" si="17">SUM(AE21:AE24)</f>
        <v>351982.03944097226</v>
      </c>
      <c r="AF25" s="273">
        <f t="shared" si="17"/>
        <v>317919.26143055566</v>
      </c>
      <c r="AG25" s="273">
        <f t="shared" si="17"/>
        <v>351982.03944097226</v>
      </c>
      <c r="AH25" s="273">
        <f t="shared" si="17"/>
        <v>365627.78010416677</v>
      </c>
      <c r="AI25" s="273">
        <f t="shared" si="17"/>
        <v>351982.03944097226</v>
      </c>
      <c r="AJ25" s="273">
        <f t="shared" si="17"/>
        <v>331621.87432291679</v>
      </c>
      <c r="AK25" s="273">
        <f t="shared" si="17"/>
        <v>342675.93680034729</v>
      </c>
      <c r="AL25" s="273">
        <f t="shared" si="17"/>
        <v>342675.93680034729</v>
      </c>
      <c r="AM25" s="273">
        <f t="shared" si="17"/>
        <v>331621.87432291679</v>
      </c>
      <c r="AN25" s="273">
        <f t="shared" si="17"/>
        <v>342675.93680034729</v>
      </c>
      <c r="AO25" s="273">
        <f t="shared" si="17"/>
        <v>331621.87432291679</v>
      </c>
      <c r="AP25" s="273">
        <f t="shared" si="17"/>
        <v>332995.50576909725</v>
      </c>
    </row>
    <row r="26" spans="1:43" ht="13.5" thickTop="1"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</row>
    <row r="27" spans="1:43"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</row>
    <row r="28" spans="1:43" hidden="1">
      <c r="B28" s="68" t="s">
        <v>116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P28" s="68" t="s">
        <v>116</v>
      </c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D28" s="68" t="s">
        <v>116</v>
      </c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</row>
    <row r="29" spans="1:43" hidden="1">
      <c r="B29" s="87" t="s">
        <v>112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P29" s="87" t="s">
        <v>112</v>
      </c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D29" s="87" t="s">
        <v>112</v>
      </c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</row>
    <row r="30" spans="1:43" hidden="1">
      <c r="B30" s="9" t="s">
        <v>78</v>
      </c>
      <c r="C30" s="114">
        <f>C21</f>
        <v>353723.58187500009</v>
      </c>
      <c r="D30" s="114">
        <f>C21</f>
        <v>353723.58187500009</v>
      </c>
      <c r="E30" s="114">
        <f t="shared" ref="E30:N30" si="18">D21</f>
        <v>319492.26750000002</v>
      </c>
      <c r="F30" s="114">
        <f t="shared" si="18"/>
        <v>353723.58187500009</v>
      </c>
      <c r="G30" s="114">
        <f t="shared" si="18"/>
        <v>342313.14375000005</v>
      </c>
      <c r="H30" s="114">
        <f t="shared" si="18"/>
        <v>353723.58187500009</v>
      </c>
      <c r="I30" s="114">
        <f t="shared" si="18"/>
        <v>334922.02500000008</v>
      </c>
      <c r="J30" s="114">
        <f t="shared" si="18"/>
        <v>346086.09250000009</v>
      </c>
      <c r="K30" s="114">
        <f t="shared" si="18"/>
        <v>346086.09250000009</v>
      </c>
      <c r="L30" s="114">
        <f t="shared" si="18"/>
        <v>334922.02500000008</v>
      </c>
      <c r="M30" s="114">
        <f t="shared" si="18"/>
        <v>346086.09250000009</v>
      </c>
      <c r="N30" s="114">
        <f t="shared" si="18"/>
        <v>334922.02500000008</v>
      </c>
      <c r="P30" s="9" t="s">
        <v>78</v>
      </c>
      <c r="Q30" s="114">
        <f>Q21</f>
        <v>338141.58687500004</v>
      </c>
      <c r="R30" s="114">
        <f>Q21</f>
        <v>338141.58687500004</v>
      </c>
      <c r="S30" s="114">
        <f t="shared" ref="S30:AB30" si="19">R21</f>
        <v>305418.20750000008</v>
      </c>
      <c r="T30" s="114">
        <f t="shared" si="19"/>
        <v>338141.58687500004</v>
      </c>
      <c r="U30" s="114">
        <f t="shared" si="19"/>
        <v>327233.79375000007</v>
      </c>
      <c r="V30" s="114">
        <f t="shared" si="19"/>
        <v>338141.58687500004</v>
      </c>
      <c r="W30" s="114">
        <f t="shared" si="19"/>
        <v>319236.33750000008</v>
      </c>
      <c r="X30" s="114">
        <f t="shared" si="19"/>
        <v>329877.54875000007</v>
      </c>
      <c r="Y30" s="114">
        <f t="shared" si="19"/>
        <v>329877.54875000007</v>
      </c>
      <c r="Z30" s="114">
        <f t="shared" si="19"/>
        <v>319236.33750000008</v>
      </c>
      <c r="AA30" s="114">
        <f t="shared" si="19"/>
        <v>329877.54875000007</v>
      </c>
      <c r="AB30" s="114">
        <f t="shared" si="19"/>
        <v>319236.33750000008</v>
      </c>
      <c r="AD30" s="9" t="s">
        <v>78</v>
      </c>
      <c r="AE30" s="114">
        <f>AE21</f>
        <v>321281.46187500004</v>
      </c>
      <c r="AF30" s="114">
        <f>AE21</f>
        <v>321281.46187500004</v>
      </c>
      <c r="AG30" s="114">
        <f t="shared" ref="AG30:AP30" si="20">AF21</f>
        <v>290189.70750000008</v>
      </c>
      <c r="AH30" s="114">
        <f t="shared" si="20"/>
        <v>321281.46187500004</v>
      </c>
      <c r="AI30" s="114">
        <f t="shared" si="20"/>
        <v>310917.54375000007</v>
      </c>
      <c r="AJ30" s="114">
        <f t="shared" si="20"/>
        <v>321281.46187500004</v>
      </c>
      <c r="AK30" s="114">
        <f t="shared" si="20"/>
        <v>302264.58750000008</v>
      </c>
      <c r="AL30" s="114">
        <f t="shared" si="20"/>
        <v>312340.0737500001</v>
      </c>
      <c r="AM30" s="114">
        <f t="shared" si="20"/>
        <v>312340.0737500001</v>
      </c>
      <c r="AN30" s="114">
        <f t="shared" si="20"/>
        <v>302264.58750000008</v>
      </c>
      <c r="AO30" s="114">
        <f t="shared" si="20"/>
        <v>312340.0737500001</v>
      </c>
      <c r="AP30" s="114">
        <f t="shared" si="20"/>
        <v>302264.58750000008</v>
      </c>
    </row>
    <row r="31" spans="1:43" hidden="1">
      <c r="B31" s="9" t="s">
        <v>79</v>
      </c>
      <c r="C31" s="114">
        <f>C22</f>
        <v>14428.197065972225</v>
      </c>
      <c r="D31" s="114">
        <f>C22</f>
        <v>14428.197065972225</v>
      </c>
      <c r="E31" s="114">
        <f t="shared" ref="E31:N31" si="21">D22</f>
        <v>13031.919930555556</v>
      </c>
      <c r="F31" s="114">
        <f t="shared" si="21"/>
        <v>14428.197065972225</v>
      </c>
      <c r="G31" s="114">
        <f t="shared" si="21"/>
        <v>13962.771354166667</v>
      </c>
      <c r="H31" s="114">
        <f t="shared" si="21"/>
        <v>14428.197065972225</v>
      </c>
      <c r="I31" s="114">
        <f t="shared" si="21"/>
        <v>13661.291510416668</v>
      </c>
      <c r="J31" s="114">
        <f t="shared" si="21"/>
        <v>14116.667894097223</v>
      </c>
      <c r="K31" s="114">
        <f t="shared" si="21"/>
        <v>14116.667894097223</v>
      </c>
      <c r="L31" s="114">
        <f t="shared" si="21"/>
        <v>13661.291510416668</v>
      </c>
      <c r="M31" s="114">
        <f t="shared" si="21"/>
        <v>14116.667894097223</v>
      </c>
      <c r="N31" s="114">
        <f t="shared" si="21"/>
        <v>13661.291510416668</v>
      </c>
      <c r="P31" s="9" t="s">
        <v>79</v>
      </c>
      <c r="Q31" s="114">
        <f>Q22</f>
        <v>13792.615690972221</v>
      </c>
      <c r="R31" s="114">
        <f>Q22</f>
        <v>13792.615690972221</v>
      </c>
      <c r="S31" s="114">
        <f t="shared" ref="S31:AB31" si="22">R22</f>
        <v>12457.846430555555</v>
      </c>
      <c r="T31" s="114">
        <f t="shared" si="22"/>
        <v>13792.615690972221</v>
      </c>
      <c r="U31" s="114">
        <f t="shared" si="22"/>
        <v>13347.692604166668</v>
      </c>
      <c r="V31" s="114">
        <f t="shared" si="22"/>
        <v>13792.615690972221</v>
      </c>
      <c r="W31" s="114">
        <f t="shared" si="22"/>
        <v>13021.480572916666</v>
      </c>
      <c r="X31" s="114">
        <f t="shared" si="22"/>
        <v>13455.529925347222</v>
      </c>
      <c r="Y31" s="114">
        <f t="shared" si="22"/>
        <v>13455.529925347222</v>
      </c>
      <c r="Z31" s="114">
        <f t="shared" si="22"/>
        <v>13021.480572916666</v>
      </c>
      <c r="AA31" s="114">
        <f t="shared" si="22"/>
        <v>13455.529925347222</v>
      </c>
      <c r="AB31" s="114">
        <f t="shared" si="22"/>
        <v>13021.480572916666</v>
      </c>
      <c r="AD31" s="9" t="s">
        <v>79</v>
      </c>
      <c r="AE31" s="114">
        <f>AE22</f>
        <v>13101.896940972221</v>
      </c>
      <c r="AF31" s="114">
        <f>AE22</f>
        <v>13101.896940972221</v>
      </c>
      <c r="AG31" s="114">
        <f t="shared" ref="AG31:AP31" si="23">AF22</f>
        <v>11833.971430555555</v>
      </c>
      <c r="AH31" s="114">
        <f t="shared" si="23"/>
        <v>13101.896940972221</v>
      </c>
      <c r="AI31" s="114">
        <f t="shared" si="23"/>
        <v>12679.255104166668</v>
      </c>
      <c r="AJ31" s="114">
        <f t="shared" si="23"/>
        <v>13101.896940972221</v>
      </c>
      <c r="AK31" s="114">
        <f t="shared" si="23"/>
        <v>12326.305572916666</v>
      </c>
      <c r="AL31" s="114">
        <f t="shared" si="23"/>
        <v>12737.182425347222</v>
      </c>
      <c r="AM31" s="114">
        <f t="shared" si="23"/>
        <v>12737.182425347222</v>
      </c>
      <c r="AN31" s="114">
        <f t="shared" si="23"/>
        <v>12326.305572916666</v>
      </c>
      <c r="AO31" s="114">
        <f t="shared" si="23"/>
        <v>12737.182425347222</v>
      </c>
      <c r="AP31" s="114">
        <f t="shared" si="23"/>
        <v>12326.305572916666</v>
      </c>
    </row>
    <row r="32" spans="1:43" hidden="1">
      <c r="B32" s="9" t="s">
        <v>81</v>
      </c>
      <c r="C32" s="114">
        <f>C23/31*92</f>
        <v>52228.342500000006</v>
      </c>
      <c r="D32" s="114">
        <f t="shared" ref="D32:N32" si="24">C44</f>
        <v>69827.023125000007</v>
      </c>
      <c r="E32" s="114">
        <f t="shared" si="24"/>
        <v>85722.605625000011</v>
      </c>
      <c r="F32" s="114">
        <f t="shared" si="24"/>
        <v>0</v>
      </c>
      <c r="G32" s="114">
        <f t="shared" si="24"/>
        <v>17030.981250000004</v>
      </c>
      <c r="H32" s="114">
        <f t="shared" si="24"/>
        <v>34629.661875000005</v>
      </c>
      <c r="I32" s="114">
        <f t="shared" si="24"/>
        <v>51660.64312500001</v>
      </c>
      <c r="J32" s="114">
        <f t="shared" si="24"/>
        <v>69259.32375000001</v>
      </c>
      <c r="K32" s="114">
        <f t="shared" si="24"/>
        <v>86858.004375000019</v>
      </c>
      <c r="L32" s="114">
        <f t="shared" si="24"/>
        <v>0</v>
      </c>
      <c r="M32" s="114">
        <f t="shared" si="24"/>
        <v>17598.680625000001</v>
      </c>
      <c r="N32" s="114">
        <f t="shared" si="24"/>
        <v>34629.661875000005</v>
      </c>
      <c r="P32" s="9" t="s">
        <v>81</v>
      </c>
      <c r="Q32" s="114">
        <f>Q23/31*92</f>
        <v>52228.342500000006</v>
      </c>
      <c r="R32" s="114">
        <f t="shared" ref="R32:AB32" si="25">Q44</f>
        <v>69827.023125000007</v>
      </c>
      <c r="S32" s="114">
        <f t="shared" si="25"/>
        <v>85722.605625000011</v>
      </c>
      <c r="T32" s="114">
        <f t="shared" si="25"/>
        <v>0</v>
      </c>
      <c r="U32" s="114">
        <f t="shared" si="25"/>
        <v>17030.981250000004</v>
      </c>
      <c r="V32" s="114">
        <f t="shared" si="25"/>
        <v>34629.661875000005</v>
      </c>
      <c r="W32" s="114">
        <f t="shared" si="25"/>
        <v>51660.64312500001</v>
      </c>
      <c r="X32" s="114">
        <f t="shared" si="25"/>
        <v>69259.32375000001</v>
      </c>
      <c r="Y32" s="114">
        <f t="shared" si="25"/>
        <v>86858.004375000019</v>
      </c>
      <c r="Z32" s="114">
        <f t="shared" si="25"/>
        <v>0</v>
      </c>
      <c r="AA32" s="114">
        <f t="shared" si="25"/>
        <v>17598.680625000001</v>
      </c>
      <c r="AB32" s="114">
        <f t="shared" si="25"/>
        <v>34629.661875000005</v>
      </c>
      <c r="AD32" s="9" t="s">
        <v>81</v>
      </c>
      <c r="AE32" s="114">
        <f>AE23/31*92</f>
        <v>52228.342500000006</v>
      </c>
      <c r="AF32" s="114">
        <f t="shared" ref="AF32:AP32" si="26">AE44</f>
        <v>69827.023125000007</v>
      </c>
      <c r="AG32" s="114">
        <f t="shared" si="26"/>
        <v>85722.605625000011</v>
      </c>
      <c r="AH32" s="114">
        <f t="shared" si="26"/>
        <v>0</v>
      </c>
      <c r="AI32" s="114">
        <f t="shared" si="26"/>
        <v>17030.981250000004</v>
      </c>
      <c r="AJ32" s="114">
        <f t="shared" si="26"/>
        <v>34629.661875000005</v>
      </c>
      <c r="AK32" s="114">
        <f t="shared" si="26"/>
        <v>51660.64312500001</v>
      </c>
      <c r="AL32" s="114">
        <f t="shared" si="26"/>
        <v>69259.32375000001</v>
      </c>
      <c r="AM32" s="114">
        <f t="shared" si="26"/>
        <v>86858.004375000019</v>
      </c>
      <c r="AN32" s="114">
        <f t="shared" si="26"/>
        <v>0</v>
      </c>
      <c r="AO32" s="114">
        <f t="shared" si="26"/>
        <v>17598.680625000001</v>
      </c>
      <c r="AP32" s="114">
        <f t="shared" si="26"/>
        <v>34629.661875000005</v>
      </c>
    </row>
    <row r="33" spans="2:42" hidden="1">
      <c r="C33" s="273">
        <f t="shared" ref="C33:N33" si="27">SUM(C30:C32)</f>
        <v>420380.12144097232</v>
      </c>
      <c r="D33" s="273">
        <f t="shared" si="27"/>
        <v>437978.8020659723</v>
      </c>
      <c r="E33" s="273">
        <f t="shared" si="27"/>
        <v>418246.79305555561</v>
      </c>
      <c r="F33" s="273">
        <f t="shared" si="27"/>
        <v>368151.77894097229</v>
      </c>
      <c r="G33" s="273">
        <f t="shared" si="27"/>
        <v>373306.89635416673</v>
      </c>
      <c r="H33" s="273">
        <f t="shared" si="27"/>
        <v>402781.44081597228</v>
      </c>
      <c r="I33" s="273">
        <f t="shared" si="27"/>
        <v>400243.95963541674</v>
      </c>
      <c r="J33" s="273">
        <f t="shared" si="27"/>
        <v>429462.08414409729</v>
      </c>
      <c r="K33" s="273">
        <f t="shared" si="27"/>
        <v>447060.76476909732</v>
      </c>
      <c r="L33" s="273">
        <f t="shared" si="27"/>
        <v>348583.31651041674</v>
      </c>
      <c r="M33" s="273">
        <f t="shared" si="27"/>
        <v>377801.44101909728</v>
      </c>
      <c r="N33" s="273">
        <f t="shared" si="27"/>
        <v>383212.97838541673</v>
      </c>
      <c r="Q33" s="273">
        <f t="shared" ref="Q33:AB33" si="28">SUM(Q30:Q32)</f>
        <v>404162.54506597231</v>
      </c>
      <c r="R33" s="273">
        <f t="shared" si="28"/>
        <v>421761.22569097229</v>
      </c>
      <c r="S33" s="273">
        <f t="shared" si="28"/>
        <v>403598.65955555567</v>
      </c>
      <c r="T33" s="273">
        <f t="shared" si="28"/>
        <v>351934.20256597229</v>
      </c>
      <c r="U33" s="273">
        <f t="shared" si="28"/>
        <v>357612.46760416677</v>
      </c>
      <c r="V33" s="273">
        <f t="shared" si="28"/>
        <v>386563.86444097228</v>
      </c>
      <c r="W33" s="273">
        <f t="shared" si="28"/>
        <v>383918.46119791677</v>
      </c>
      <c r="X33" s="273">
        <f t="shared" si="28"/>
        <v>412592.40242534736</v>
      </c>
      <c r="Y33" s="273">
        <f t="shared" si="28"/>
        <v>430191.08305034734</v>
      </c>
      <c r="Z33" s="273">
        <f t="shared" si="28"/>
        <v>332257.81807291677</v>
      </c>
      <c r="AA33" s="273">
        <f t="shared" si="28"/>
        <v>360931.7593003473</v>
      </c>
      <c r="AB33" s="273">
        <f t="shared" si="28"/>
        <v>366887.47994791676</v>
      </c>
      <c r="AE33" s="273">
        <f t="shared" ref="AE33:AP33" si="29">SUM(AE30:AE32)</f>
        <v>386611.70131597231</v>
      </c>
      <c r="AF33" s="273">
        <f t="shared" si="29"/>
        <v>404210.38194097229</v>
      </c>
      <c r="AG33" s="273">
        <f t="shared" si="29"/>
        <v>387746.28455555567</v>
      </c>
      <c r="AH33" s="273">
        <f t="shared" si="29"/>
        <v>334383.35881597229</v>
      </c>
      <c r="AI33" s="273">
        <f t="shared" si="29"/>
        <v>340627.78010416677</v>
      </c>
      <c r="AJ33" s="273">
        <f t="shared" si="29"/>
        <v>369013.02069097228</v>
      </c>
      <c r="AK33" s="273">
        <f t="shared" si="29"/>
        <v>366251.53619791678</v>
      </c>
      <c r="AL33" s="273">
        <f t="shared" si="29"/>
        <v>394336.57992534735</v>
      </c>
      <c r="AM33" s="273">
        <f t="shared" si="29"/>
        <v>411935.26055034733</v>
      </c>
      <c r="AN33" s="273">
        <f t="shared" si="29"/>
        <v>314590.89307291678</v>
      </c>
      <c r="AO33" s="273">
        <f t="shared" si="29"/>
        <v>342675.93680034729</v>
      </c>
      <c r="AP33" s="273">
        <f t="shared" si="29"/>
        <v>349220.55494791677</v>
      </c>
    </row>
    <row r="34" spans="2:42" hidden="1"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</row>
    <row r="35" spans="2:42" hidden="1">
      <c r="B35" s="87" t="s">
        <v>113</v>
      </c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P35" s="87" t="s">
        <v>113</v>
      </c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D35" s="87" t="s">
        <v>113</v>
      </c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</row>
    <row r="36" spans="2:42" hidden="1">
      <c r="B36" s="9" t="s">
        <v>78</v>
      </c>
      <c r="C36" s="114">
        <f>C21</f>
        <v>353723.58187500009</v>
      </c>
      <c r="D36" s="114">
        <f>C42</f>
        <v>353723.58187500009</v>
      </c>
      <c r="E36" s="114">
        <f t="shared" ref="E36:N36" si="30">D42</f>
        <v>319492.26750000002</v>
      </c>
      <c r="F36" s="114">
        <f t="shared" si="30"/>
        <v>353723.58187500009</v>
      </c>
      <c r="G36" s="114">
        <f t="shared" si="30"/>
        <v>342313.1437500001</v>
      </c>
      <c r="H36" s="114">
        <f t="shared" si="30"/>
        <v>353723.58187500009</v>
      </c>
      <c r="I36" s="114">
        <f t="shared" si="30"/>
        <v>334922.02500000008</v>
      </c>
      <c r="J36" s="114">
        <f t="shared" si="30"/>
        <v>346086.09250000009</v>
      </c>
      <c r="K36" s="114">
        <f t="shared" si="30"/>
        <v>346086.09250000009</v>
      </c>
      <c r="L36" s="114">
        <f t="shared" si="30"/>
        <v>334922.02500000008</v>
      </c>
      <c r="M36" s="114">
        <f t="shared" si="30"/>
        <v>346086.09250000009</v>
      </c>
      <c r="N36" s="114">
        <f t="shared" si="30"/>
        <v>334922.02500000008</v>
      </c>
      <c r="P36" s="9" t="s">
        <v>78</v>
      </c>
      <c r="Q36" s="114">
        <f>Q21</f>
        <v>338141.58687500004</v>
      </c>
      <c r="R36" s="114">
        <f>Q42</f>
        <v>338141.58687500004</v>
      </c>
      <c r="S36" s="114">
        <f t="shared" ref="S36:AB36" si="31">R42</f>
        <v>305418.20750000002</v>
      </c>
      <c r="T36" s="114">
        <f t="shared" si="31"/>
        <v>338141.58687500004</v>
      </c>
      <c r="U36" s="114">
        <f t="shared" si="31"/>
        <v>327233.79375000007</v>
      </c>
      <c r="V36" s="114">
        <f t="shared" si="31"/>
        <v>338141.58687500004</v>
      </c>
      <c r="W36" s="114">
        <f t="shared" si="31"/>
        <v>319236.33750000014</v>
      </c>
      <c r="X36" s="114">
        <f t="shared" si="31"/>
        <v>329877.54875000007</v>
      </c>
      <c r="Y36" s="114">
        <f t="shared" si="31"/>
        <v>329877.54875000007</v>
      </c>
      <c r="Z36" s="114">
        <f t="shared" si="31"/>
        <v>319236.33750000014</v>
      </c>
      <c r="AA36" s="114">
        <f t="shared" si="31"/>
        <v>329877.54875000007</v>
      </c>
      <c r="AB36" s="114">
        <f t="shared" si="31"/>
        <v>319236.33750000014</v>
      </c>
      <c r="AD36" s="9" t="s">
        <v>78</v>
      </c>
      <c r="AE36" s="114">
        <f>AE21</f>
        <v>321281.46187500004</v>
      </c>
      <c r="AF36" s="114">
        <f>AE42</f>
        <v>321281.46187500004</v>
      </c>
      <c r="AG36" s="114">
        <f t="shared" ref="AG36:AP36" si="32">AF42</f>
        <v>290189.70750000002</v>
      </c>
      <c r="AH36" s="114">
        <f t="shared" si="32"/>
        <v>321281.46187500004</v>
      </c>
      <c r="AI36" s="114">
        <f t="shared" si="32"/>
        <v>310917.54375000007</v>
      </c>
      <c r="AJ36" s="114">
        <f t="shared" si="32"/>
        <v>321281.46187500004</v>
      </c>
      <c r="AK36" s="114">
        <f t="shared" si="32"/>
        <v>302264.58750000014</v>
      </c>
      <c r="AL36" s="114">
        <f t="shared" si="32"/>
        <v>312340.07374999998</v>
      </c>
      <c r="AM36" s="114">
        <f t="shared" si="32"/>
        <v>312340.07375000021</v>
      </c>
      <c r="AN36" s="114">
        <f t="shared" si="32"/>
        <v>302264.58749999991</v>
      </c>
      <c r="AO36" s="114">
        <f t="shared" si="32"/>
        <v>312340.07375000021</v>
      </c>
      <c r="AP36" s="114">
        <f t="shared" si="32"/>
        <v>302264.58749999991</v>
      </c>
    </row>
    <row r="37" spans="2:42" hidden="1">
      <c r="B37" s="9" t="s">
        <v>79</v>
      </c>
      <c r="C37" s="114">
        <f>C22</f>
        <v>14428.197065972225</v>
      </c>
      <c r="D37" s="114">
        <f>C43</f>
        <v>14428.197065972225</v>
      </c>
      <c r="E37" s="114">
        <f t="shared" ref="E37:N37" si="33">D43</f>
        <v>13031.919930555556</v>
      </c>
      <c r="F37" s="114">
        <f t="shared" si="33"/>
        <v>14428.197065972225</v>
      </c>
      <c r="G37" s="114">
        <f t="shared" si="33"/>
        <v>13962.771354166667</v>
      </c>
      <c r="H37" s="114">
        <f t="shared" si="33"/>
        <v>14428.197065972225</v>
      </c>
      <c r="I37" s="114">
        <f t="shared" si="33"/>
        <v>13661.291510416668</v>
      </c>
      <c r="J37" s="114">
        <f t="shared" si="33"/>
        <v>14116.667894097223</v>
      </c>
      <c r="K37" s="114">
        <f t="shared" si="33"/>
        <v>14116.667894097223</v>
      </c>
      <c r="L37" s="114">
        <f t="shared" si="33"/>
        <v>13661.291510416668</v>
      </c>
      <c r="M37" s="114">
        <f t="shared" si="33"/>
        <v>14116.667894097223</v>
      </c>
      <c r="N37" s="114">
        <f t="shared" si="33"/>
        <v>13661.291510416668</v>
      </c>
      <c r="P37" s="9" t="s">
        <v>79</v>
      </c>
      <c r="Q37" s="114">
        <f>Q22</f>
        <v>13792.615690972221</v>
      </c>
      <c r="R37" s="114">
        <f>Q43</f>
        <v>13792.615690972221</v>
      </c>
      <c r="S37" s="114">
        <f t="shared" ref="S37:AB37" si="34">R43</f>
        <v>12457.846430555555</v>
      </c>
      <c r="T37" s="114">
        <f t="shared" si="34"/>
        <v>13792.615690972221</v>
      </c>
      <c r="U37" s="114">
        <f t="shared" si="34"/>
        <v>13347.692604166668</v>
      </c>
      <c r="V37" s="114">
        <f t="shared" si="34"/>
        <v>13792.615690972221</v>
      </c>
      <c r="W37" s="114">
        <f t="shared" si="34"/>
        <v>13021.480572916667</v>
      </c>
      <c r="X37" s="114">
        <f t="shared" si="34"/>
        <v>13455.52992534722</v>
      </c>
      <c r="Y37" s="114">
        <f t="shared" si="34"/>
        <v>13455.529925347224</v>
      </c>
      <c r="Z37" s="114">
        <f t="shared" si="34"/>
        <v>13021.480572916664</v>
      </c>
      <c r="AA37" s="114">
        <f t="shared" si="34"/>
        <v>13455.529925347224</v>
      </c>
      <c r="AB37" s="114">
        <f t="shared" si="34"/>
        <v>13021.480572916664</v>
      </c>
      <c r="AD37" s="9" t="s">
        <v>79</v>
      </c>
      <c r="AE37" s="114">
        <f>AE22</f>
        <v>13101.896940972221</v>
      </c>
      <c r="AF37" s="114">
        <f>AE43</f>
        <v>13101.896940972221</v>
      </c>
      <c r="AG37" s="114">
        <f t="shared" ref="AG37:AP37" si="35">AF43</f>
        <v>11833.971430555555</v>
      </c>
      <c r="AH37" s="114">
        <f t="shared" si="35"/>
        <v>13101.896940972221</v>
      </c>
      <c r="AI37" s="114">
        <f t="shared" si="35"/>
        <v>12679.255104166668</v>
      </c>
      <c r="AJ37" s="114">
        <f t="shared" si="35"/>
        <v>13101.896940972221</v>
      </c>
      <c r="AK37" s="114">
        <f t="shared" si="35"/>
        <v>12326.305572916664</v>
      </c>
      <c r="AL37" s="114">
        <f t="shared" si="35"/>
        <v>12737.182425347224</v>
      </c>
      <c r="AM37" s="114">
        <f t="shared" si="35"/>
        <v>12737.18242534722</v>
      </c>
      <c r="AN37" s="114">
        <f t="shared" si="35"/>
        <v>12326.305572916668</v>
      </c>
      <c r="AO37" s="114">
        <f t="shared" si="35"/>
        <v>12737.18242534722</v>
      </c>
      <c r="AP37" s="114">
        <f t="shared" si="35"/>
        <v>12326.305572916668</v>
      </c>
    </row>
    <row r="38" spans="2:42" hidden="1">
      <c r="B38" s="9" t="s">
        <v>81</v>
      </c>
      <c r="C38" s="114"/>
      <c r="D38" s="114"/>
      <c r="E38" s="114">
        <f>E32+E23</f>
        <v>103321.28625</v>
      </c>
      <c r="F38" s="114"/>
      <c r="G38" s="114"/>
      <c r="H38" s="114"/>
      <c r="I38" s="114"/>
      <c r="J38" s="114"/>
      <c r="K38" s="114">
        <f>K32+K23</f>
        <v>103888.98562500003</v>
      </c>
      <c r="L38" s="114"/>
      <c r="M38" s="114"/>
      <c r="N38" s="114"/>
      <c r="P38" s="9" t="s">
        <v>81</v>
      </c>
      <c r="Q38" s="114"/>
      <c r="R38" s="114"/>
      <c r="S38" s="114">
        <f>S32+S23</f>
        <v>103321.28625</v>
      </c>
      <c r="T38" s="114"/>
      <c r="U38" s="114"/>
      <c r="V38" s="114"/>
      <c r="W38" s="114"/>
      <c r="X38" s="114"/>
      <c r="Y38" s="114">
        <f>Y32+Y23</f>
        <v>103888.98562500003</v>
      </c>
      <c r="Z38" s="114"/>
      <c r="AA38" s="114"/>
      <c r="AB38" s="114"/>
      <c r="AD38" s="9" t="s">
        <v>81</v>
      </c>
      <c r="AE38" s="114"/>
      <c r="AF38" s="114"/>
      <c r="AG38" s="114">
        <f>AG32+AG23</f>
        <v>103321.28625</v>
      </c>
      <c r="AH38" s="114"/>
      <c r="AI38" s="114"/>
      <c r="AJ38" s="114"/>
      <c r="AK38" s="114"/>
      <c r="AL38" s="114"/>
      <c r="AM38" s="114">
        <f>AM32+AM23</f>
        <v>103888.98562500003</v>
      </c>
      <c r="AN38" s="114"/>
      <c r="AO38" s="114"/>
      <c r="AP38" s="114"/>
    </row>
    <row r="39" spans="2:42" hidden="1">
      <c r="C39" s="273">
        <f t="shared" ref="C39:N39" si="36">SUM(C36:C38)</f>
        <v>368151.77894097229</v>
      </c>
      <c r="D39" s="273">
        <f t="shared" si="36"/>
        <v>368151.77894097229</v>
      </c>
      <c r="E39" s="273">
        <f t="shared" si="36"/>
        <v>435845.47368055559</v>
      </c>
      <c r="F39" s="273">
        <f t="shared" si="36"/>
        <v>368151.77894097229</v>
      </c>
      <c r="G39" s="273">
        <f t="shared" si="36"/>
        <v>356275.91510416678</v>
      </c>
      <c r="H39" s="273">
        <f t="shared" si="36"/>
        <v>368151.77894097229</v>
      </c>
      <c r="I39" s="273">
        <f t="shared" si="36"/>
        <v>348583.31651041674</v>
      </c>
      <c r="J39" s="273">
        <f t="shared" si="36"/>
        <v>360202.76039409731</v>
      </c>
      <c r="K39" s="273">
        <f t="shared" si="36"/>
        <v>464091.74601909734</v>
      </c>
      <c r="L39" s="273">
        <f t="shared" si="36"/>
        <v>348583.31651041674</v>
      </c>
      <c r="M39" s="273">
        <f t="shared" si="36"/>
        <v>360202.76039409731</v>
      </c>
      <c r="N39" s="273">
        <f t="shared" si="36"/>
        <v>348583.31651041674</v>
      </c>
      <c r="Q39" s="273">
        <f t="shared" ref="Q39:AB39" si="37">SUM(Q36:Q38)</f>
        <v>351934.20256597229</v>
      </c>
      <c r="R39" s="273">
        <f t="shared" si="37"/>
        <v>351934.20256597229</v>
      </c>
      <c r="S39" s="273">
        <f t="shared" si="37"/>
        <v>421197.34018055559</v>
      </c>
      <c r="T39" s="273">
        <f t="shared" si="37"/>
        <v>351934.20256597229</v>
      </c>
      <c r="U39" s="273">
        <f t="shared" si="37"/>
        <v>340581.48635416676</v>
      </c>
      <c r="V39" s="273">
        <f t="shared" si="37"/>
        <v>351934.20256597229</v>
      </c>
      <c r="W39" s="273">
        <f t="shared" si="37"/>
        <v>332257.81807291682</v>
      </c>
      <c r="X39" s="273">
        <f t="shared" si="37"/>
        <v>343333.07867534732</v>
      </c>
      <c r="Y39" s="273">
        <f t="shared" si="37"/>
        <v>447222.06430034735</v>
      </c>
      <c r="Z39" s="273">
        <f t="shared" si="37"/>
        <v>332257.81807291682</v>
      </c>
      <c r="AA39" s="273">
        <f t="shared" si="37"/>
        <v>343333.07867534732</v>
      </c>
      <c r="AB39" s="273">
        <f t="shared" si="37"/>
        <v>332257.81807291682</v>
      </c>
      <c r="AE39" s="273">
        <f t="shared" ref="AE39:AP39" si="38">SUM(AE36:AE38)</f>
        <v>334383.35881597229</v>
      </c>
      <c r="AF39" s="273">
        <f t="shared" si="38"/>
        <v>334383.35881597229</v>
      </c>
      <c r="AG39" s="273">
        <f t="shared" si="38"/>
        <v>405344.96518055559</v>
      </c>
      <c r="AH39" s="273">
        <f t="shared" si="38"/>
        <v>334383.35881597229</v>
      </c>
      <c r="AI39" s="273">
        <f t="shared" si="38"/>
        <v>323596.79885416676</v>
      </c>
      <c r="AJ39" s="273">
        <f t="shared" si="38"/>
        <v>334383.35881597229</v>
      </c>
      <c r="AK39" s="273">
        <f t="shared" si="38"/>
        <v>314590.89307291678</v>
      </c>
      <c r="AL39" s="273">
        <f t="shared" si="38"/>
        <v>325077.2561753472</v>
      </c>
      <c r="AM39" s="273">
        <f t="shared" si="38"/>
        <v>428966.24180034746</v>
      </c>
      <c r="AN39" s="273">
        <f t="shared" si="38"/>
        <v>314590.8930729166</v>
      </c>
      <c r="AO39" s="273">
        <f t="shared" si="38"/>
        <v>325077.25617534743</v>
      </c>
      <c r="AP39" s="273">
        <f t="shared" si="38"/>
        <v>314590.8930729166</v>
      </c>
    </row>
    <row r="40" spans="2:42" hidden="1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</row>
    <row r="41" spans="2:42" hidden="1">
      <c r="B41" s="87" t="s">
        <v>114</v>
      </c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P41" s="87" t="s">
        <v>114</v>
      </c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D41" s="87" t="s">
        <v>114</v>
      </c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</row>
    <row r="42" spans="2:42" hidden="1">
      <c r="B42" s="9" t="s">
        <v>78</v>
      </c>
      <c r="C42" s="114">
        <f t="shared" ref="C42:N42" si="39">C30+C21-C36</f>
        <v>353723.58187500009</v>
      </c>
      <c r="D42" s="114">
        <f t="shared" si="39"/>
        <v>319492.26750000002</v>
      </c>
      <c r="E42" s="114">
        <f t="shared" si="39"/>
        <v>353723.58187500009</v>
      </c>
      <c r="F42" s="114">
        <f t="shared" si="39"/>
        <v>342313.1437500001</v>
      </c>
      <c r="G42" s="114">
        <f t="shared" si="39"/>
        <v>353723.58187500009</v>
      </c>
      <c r="H42" s="114">
        <f t="shared" si="39"/>
        <v>334922.02500000008</v>
      </c>
      <c r="I42" s="114">
        <f t="shared" si="39"/>
        <v>346086.09250000009</v>
      </c>
      <c r="J42" s="114">
        <f t="shared" si="39"/>
        <v>346086.09250000009</v>
      </c>
      <c r="K42" s="114">
        <f t="shared" si="39"/>
        <v>334922.02500000008</v>
      </c>
      <c r="L42" s="114">
        <f t="shared" si="39"/>
        <v>346086.09250000009</v>
      </c>
      <c r="M42" s="114">
        <f t="shared" si="39"/>
        <v>334922.02500000008</v>
      </c>
      <c r="N42" s="114">
        <f t="shared" si="39"/>
        <v>338141.5868750001</v>
      </c>
      <c r="P42" s="9" t="s">
        <v>78</v>
      </c>
      <c r="Q42" s="114">
        <f t="shared" ref="Q42:AB42" si="40">Q30+Q21-Q36</f>
        <v>338141.58687500004</v>
      </c>
      <c r="R42" s="114">
        <f t="shared" si="40"/>
        <v>305418.20750000002</v>
      </c>
      <c r="S42" s="114">
        <f t="shared" si="40"/>
        <v>338141.58687500004</v>
      </c>
      <c r="T42" s="114">
        <f t="shared" si="40"/>
        <v>327233.79375000007</v>
      </c>
      <c r="U42" s="114">
        <f t="shared" si="40"/>
        <v>338141.58687500004</v>
      </c>
      <c r="V42" s="114">
        <f t="shared" si="40"/>
        <v>319236.33750000014</v>
      </c>
      <c r="W42" s="114">
        <f t="shared" si="40"/>
        <v>329877.54875000007</v>
      </c>
      <c r="X42" s="114">
        <f t="shared" si="40"/>
        <v>329877.54875000007</v>
      </c>
      <c r="Y42" s="114">
        <f t="shared" si="40"/>
        <v>319236.33750000014</v>
      </c>
      <c r="Z42" s="114">
        <f t="shared" si="40"/>
        <v>329877.54875000007</v>
      </c>
      <c r="AA42" s="114">
        <f t="shared" si="40"/>
        <v>319236.33750000014</v>
      </c>
      <c r="AB42" s="114">
        <f t="shared" si="40"/>
        <v>321281.46187500004</v>
      </c>
      <c r="AD42" s="9" t="s">
        <v>78</v>
      </c>
      <c r="AE42" s="114">
        <f t="shared" ref="AE42:AP42" si="41">AE30+AE21-AE36</f>
        <v>321281.46187500004</v>
      </c>
      <c r="AF42" s="114">
        <f t="shared" si="41"/>
        <v>290189.70750000002</v>
      </c>
      <c r="AG42" s="114">
        <f t="shared" si="41"/>
        <v>321281.46187500004</v>
      </c>
      <c r="AH42" s="114">
        <f t="shared" si="41"/>
        <v>310917.54375000007</v>
      </c>
      <c r="AI42" s="114">
        <f t="shared" si="41"/>
        <v>321281.46187500004</v>
      </c>
      <c r="AJ42" s="114">
        <f t="shared" si="41"/>
        <v>302264.58750000014</v>
      </c>
      <c r="AK42" s="114">
        <f t="shared" si="41"/>
        <v>312340.07374999998</v>
      </c>
      <c r="AL42" s="114">
        <f t="shared" si="41"/>
        <v>312340.07375000021</v>
      </c>
      <c r="AM42" s="114">
        <f t="shared" si="41"/>
        <v>302264.58749999991</v>
      </c>
      <c r="AN42" s="114">
        <f t="shared" si="41"/>
        <v>312340.07375000021</v>
      </c>
      <c r="AO42" s="114">
        <f t="shared" si="41"/>
        <v>302264.58749999991</v>
      </c>
      <c r="AP42" s="114">
        <f t="shared" si="41"/>
        <v>303039.0275000002</v>
      </c>
    </row>
    <row r="43" spans="2:42" hidden="1">
      <c r="B43" s="9" t="s">
        <v>79</v>
      </c>
      <c r="C43" s="114">
        <f t="shared" ref="C43:N43" si="42">C31+C22-C37</f>
        <v>14428.197065972225</v>
      </c>
      <c r="D43" s="114">
        <f t="shared" si="42"/>
        <v>13031.919930555556</v>
      </c>
      <c r="E43" s="114">
        <f t="shared" si="42"/>
        <v>14428.197065972225</v>
      </c>
      <c r="F43" s="114">
        <f t="shared" si="42"/>
        <v>13962.771354166667</v>
      </c>
      <c r="G43" s="114">
        <f t="shared" si="42"/>
        <v>14428.197065972225</v>
      </c>
      <c r="H43" s="114">
        <f t="shared" si="42"/>
        <v>13661.291510416668</v>
      </c>
      <c r="I43" s="114">
        <f t="shared" si="42"/>
        <v>14116.667894097223</v>
      </c>
      <c r="J43" s="114">
        <f t="shared" si="42"/>
        <v>14116.667894097223</v>
      </c>
      <c r="K43" s="114">
        <f t="shared" si="42"/>
        <v>13661.291510416668</v>
      </c>
      <c r="L43" s="114">
        <f t="shared" si="42"/>
        <v>14116.667894097223</v>
      </c>
      <c r="M43" s="114">
        <f t="shared" si="42"/>
        <v>13661.291510416668</v>
      </c>
      <c r="N43" s="114">
        <f t="shared" si="42"/>
        <v>13792.615690972219</v>
      </c>
      <c r="P43" s="9" t="s">
        <v>79</v>
      </c>
      <c r="Q43" s="114">
        <f t="shared" ref="Q43:AB43" si="43">Q31+Q22-Q37</f>
        <v>13792.615690972221</v>
      </c>
      <c r="R43" s="114">
        <f t="shared" si="43"/>
        <v>12457.846430555555</v>
      </c>
      <c r="S43" s="114">
        <f t="shared" si="43"/>
        <v>13792.615690972221</v>
      </c>
      <c r="T43" s="114">
        <f t="shared" si="43"/>
        <v>13347.692604166668</v>
      </c>
      <c r="U43" s="114">
        <f t="shared" si="43"/>
        <v>13792.615690972221</v>
      </c>
      <c r="V43" s="114">
        <f t="shared" si="43"/>
        <v>13021.480572916667</v>
      </c>
      <c r="W43" s="114">
        <f t="shared" si="43"/>
        <v>13455.52992534722</v>
      </c>
      <c r="X43" s="114">
        <f t="shared" si="43"/>
        <v>13455.529925347224</v>
      </c>
      <c r="Y43" s="114">
        <f t="shared" si="43"/>
        <v>13021.480572916664</v>
      </c>
      <c r="Z43" s="114">
        <f t="shared" si="43"/>
        <v>13455.529925347224</v>
      </c>
      <c r="AA43" s="114">
        <f t="shared" si="43"/>
        <v>13021.480572916664</v>
      </c>
      <c r="AB43" s="114">
        <f t="shared" si="43"/>
        <v>13101.896940972225</v>
      </c>
      <c r="AD43" s="9" t="s">
        <v>79</v>
      </c>
      <c r="AE43" s="114">
        <f t="shared" ref="AE43:AP43" si="44">AE31+AE22-AE37</f>
        <v>13101.896940972221</v>
      </c>
      <c r="AF43" s="114">
        <f t="shared" si="44"/>
        <v>11833.971430555555</v>
      </c>
      <c r="AG43" s="114">
        <f t="shared" si="44"/>
        <v>13101.896940972221</v>
      </c>
      <c r="AH43" s="114">
        <f t="shared" si="44"/>
        <v>12679.255104166668</v>
      </c>
      <c r="AI43" s="114">
        <f t="shared" si="44"/>
        <v>13101.896940972221</v>
      </c>
      <c r="AJ43" s="114">
        <f t="shared" si="44"/>
        <v>12326.305572916664</v>
      </c>
      <c r="AK43" s="114">
        <f t="shared" si="44"/>
        <v>12737.182425347224</v>
      </c>
      <c r="AL43" s="114">
        <f t="shared" si="44"/>
        <v>12737.18242534722</v>
      </c>
      <c r="AM43" s="114">
        <f t="shared" si="44"/>
        <v>12326.305572916668</v>
      </c>
      <c r="AN43" s="114">
        <f t="shared" si="44"/>
        <v>12737.18242534722</v>
      </c>
      <c r="AO43" s="114">
        <f t="shared" si="44"/>
        <v>12326.305572916668</v>
      </c>
      <c r="AP43" s="114">
        <f t="shared" si="44"/>
        <v>12357.797644097218</v>
      </c>
    </row>
    <row r="44" spans="2:42" hidden="1">
      <c r="B44" s="9" t="s">
        <v>81</v>
      </c>
      <c r="C44" s="114">
        <f>C32+C23-C38</f>
        <v>69827.023125000007</v>
      </c>
      <c r="D44" s="114">
        <f t="shared" ref="D44:N44" si="45">D32+D23-D38</f>
        <v>85722.605625000011</v>
      </c>
      <c r="E44" s="114">
        <f t="shared" si="45"/>
        <v>0</v>
      </c>
      <c r="F44" s="114">
        <f t="shared" si="45"/>
        <v>17030.981250000004</v>
      </c>
      <c r="G44" s="114">
        <f t="shared" si="45"/>
        <v>34629.661875000005</v>
      </c>
      <c r="H44" s="114">
        <f t="shared" si="45"/>
        <v>51660.64312500001</v>
      </c>
      <c r="I44" s="114">
        <f t="shared" si="45"/>
        <v>69259.32375000001</v>
      </c>
      <c r="J44" s="114">
        <f t="shared" si="45"/>
        <v>86858.004375000019</v>
      </c>
      <c r="K44" s="114">
        <f t="shared" si="45"/>
        <v>0</v>
      </c>
      <c r="L44" s="114">
        <f t="shared" si="45"/>
        <v>17598.680625000001</v>
      </c>
      <c r="M44" s="114">
        <f t="shared" si="45"/>
        <v>34629.661875000005</v>
      </c>
      <c r="N44" s="114">
        <f t="shared" si="45"/>
        <v>52228.342500000006</v>
      </c>
      <c r="P44" s="9" t="s">
        <v>81</v>
      </c>
      <c r="Q44" s="114">
        <f>Q32+Q23-Q38</f>
        <v>69827.023125000007</v>
      </c>
      <c r="R44" s="114">
        <f t="shared" ref="R44:AB44" si="46">R32+R23-R38</f>
        <v>85722.605625000011</v>
      </c>
      <c r="S44" s="114">
        <f t="shared" si="46"/>
        <v>0</v>
      </c>
      <c r="T44" s="114">
        <f t="shared" si="46"/>
        <v>17030.981250000004</v>
      </c>
      <c r="U44" s="114">
        <f t="shared" si="46"/>
        <v>34629.661875000005</v>
      </c>
      <c r="V44" s="114">
        <f t="shared" si="46"/>
        <v>51660.64312500001</v>
      </c>
      <c r="W44" s="114">
        <f t="shared" si="46"/>
        <v>69259.32375000001</v>
      </c>
      <c r="X44" s="114">
        <f t="shared" si="46"/>
        <v>86858.004375000019</v>
      </c>
      <c r="Y44" s="114">
        <f t="shared" si="46"/>
        <v>0</v>
      </c>
      <c r="Z44" s="114">
        <f t="shared" si="46"/>
        <v>17598.680625000001</v>
      </c>
      <c r="AA44" s="114">
        <f t="shared" si="46"/>
        <v>34629.661875000005</v>
      </c>
      <c r="AB44" s="114">
        <f t="shared" si="46"/>
        <v>52228.342500000006</v>
      </c>
      <c r="AD44" s="9" t="s">
        <v>81</v>
      </c>
      <c r="AE44" s="114">
        <f>AE32+AE23-AE38</f>
        <v>69827.023125000007</v>
      </c>
      <c r="AF44" s="114">
        <f t="shared" ref="AF44:AP44" si="47">AF32+AF23-AF38</f>
        <v>85722.605625000011</v>
      </c>
      <c r="AG44" s="114">
        <f t="shared" si="47"/>
        <v>0</v>
      </c>
      <c r="AH44" s="114">
        <f t="shared" si="47"/>
        <v>17030.981250000004</v>
      </c>
      <c r="AI44" s="114">
        <f t="shared" si="47"/>
        <v>34629.661875000005</v>
      </c>
      <c r="AJ44" s="114">
        <f t="shared" si="47"/>
        <v>51660.64312500001</v>
      </c>
      <c r="AK44" s="114">
        <f t="shared" si="47"/>
        <v>69259.32375000001</v>
      </c>
      <c r="AL44" s="114">
        <f t="shared" si="47"/>
        <v>86858.004375000019</v>
      </c>
      <c r="AM44" s="114">
        <f t="shared" si="47"/>
        <v>0</v>
      </c>
      <c r="AN44" s="114">
        <f t="shared" si="47"/>
        <v>17598.680625000001</v>
      </c>
      <c r="AO44" s="114">
        <f t="shared" si="47"/>
        <v>34629.661875000005</v>
      </c>
      <c r="AP44" s="114">
        <f t="shared" si="47"/>
        <v>52228.342500000006</v>
      </c>
    </row>
    <row r="45" spans="2:42" hidden="1">
      <c r="C45" s="273">
        <f t="shared" ref="C45:N45" si="48">SUM(C42:C44)</f>
        <v>437978.8020659723</v>
      </c>
      <c r="D45" s="273">
        <f t="shared" si="48"/>
        <v>418246.79305555561</v>
      </c>
      <c r="E45" s="273">
        <f t="shared" si="48"/>
        <v>368151.77894097229</v>
      </c>
      <c r="F45" s="273">
        <f t="shared" si="48"/>
        <v>373306.89635416679</v>
      </c>
      <c r="G45" s="273">
        <f t="shared" si="48"/>
        <v>402781.44081597228</v>
      </c>
      <c r="H45" s="273">
        <f t="shared" si="48"/>
        <v>400243.95963541674</v>
      </c>
      <c r="I45" s="273">
        <f t="shared" si="48"/>
        <v>429462.08414409729</v>
      </c>
      <c r="J45" s="273">
        <f t="shared" si="48"/>
        <v>447060.76476909732</v>
      </c>
      <c r="K45" s="273">
        <f t="shared" si="48"/>
        <v>348583.31651041674</v>
      </c>
      <c r="L45" s="273">
        <f t="shared" si="48"/>
        <v>377801.44101909728</v>
      </c>
      <c r="M45" s="273">
        <f t="shared" si="48"/>
        <v>383212.97838541673</v>
      </c>
      <c r="N45" s="273">
        <f t="shared" si="48"/>
        <v>404162.54506597237</v>
      </c>
      <c r="Q45" s="273">
        <f t="shared" ref="Q45:AB45" si="49">SUM(Q42:Q44)</f>
        <v>421761.22569097229</v>
      </c>
      <c r="R45" s="273">
        <f t="shared" si="49"/>
        <v>403598.65955555561</v>
      </c>
      <c r="S45" s="273">
        <f t="shared" si="49"/>
        <v>351934.20256597229</v>
      </c>
      <c r="T45" s="273">
        <f t="shared" si="49"/>
        <v>357612.46760416677</v>
      </c>
      <c r="U45" s="273">
        <f t="shared" si="49"/>
        <v>386563.86444097228</v>
      </c>
      <c r="V45" s="273">
        <f t="shared" si="49"/>
        <v>383918.46119791683</v>
      </c>
      <c r="W45" s="273">
        <f t="shared" si="49"/>
        <v>412592.40242534736</v>
      </c>
      <c r="X45" s="273">
        <f t="shared" si="49"/>
        <v>430191.08305034734</v>
      </c>
      <c r="Y45" s="273">
        <f t="shared" si="49"/>
        <v>332257.81807291682</v>
      </c>
      <c r="Z45" s="273">
        <f t="shared" si="49"/>
        <v>360931.7593003473</v>
      </c>
      <c r="AA45" s="273">
        <f t="shared" si="49"/>
        <v>366887.47994791681</v>
      </c>
      <c r="AB45" s="273">
        <f t="shared" si="49"/>
        <v>386611.70131597231</v>
      </c>
      <c r="AE45" s="273">
        <f t="shared" ref="AE45:AP45" si="50">SUM(AE42:AE44)</f>
        <v>404210.38194097229</v>
      </c>
      <c r="AF45" s="273">
        <f t="shared" si="50"/>
        <v>387746.28455555561</v>
      </c>
      <c r="AG45" s="273">
        <f t="shared" si="50"/>
        <v>334383.35881597229</v>
      </c>
      <c r="AH45" s="273">
        <f t="shared" si="50"/>
        <v>340627.78010416677</v>
      </c>
      <c r="AI45" s="273">
        <f t="shared" si="50"/>
        <v>369013.02069097228</v>
      </c>
      <c r="AJ45" s="273">
        <f t="shared" si="50"/>
        <v>366251.53619791678</v>
      </c>
      <c r="AK45" s="273">
        <f t="shared" si="50"/>
        <v>394336.57992534724</v>
      </c>
      <c r="AL45" s="273">
        <f t="shared" si="50"/>
        <v>411935.26055034745</v>
      </c>
      <c r="AM45" s="273">
        <f t="shared" si="50"/>
        <v>314590.8930729166</v>
      </c>
      <c r="AN45" s="273">
        <f t="shared" si="50"/>
        <v>342675.93680034741</v>
      </c>
      <c r="AO45" s="273">
        <f t="shared" si="50"/>
        <v>349220.55494791659</v>
      </c>
      <c r="AP45" s="273">
        <f t="shared" si="50"/>
        <v>367625.16764409747</v>
      </c>
    </row>
    <row r="46" spans="2:42" hidden="1"/>
    <row r="47" spans="2:42" hidden="1"/>
    <row r="48" spans="2:42" hidden="1">
      <c r="B48" s="9" t="s">
        <v>115</v>
      </c>
      <c r="C48" s="17">
        <f>C33+C25-C39-C45</f>
        <v>0</v>
      </c>
      <c r="D48" s="17">
        <f t="shared" ref="D48:N48" si="51">D33+D25-D39-D45</f>
        <v>0</v>
      </c>
      <c r="E48" s="17">
        <f t="shared" si="51"/>
        <v>0</v>
      </c>
      <c r="F48" s="17">
        <f t="shared" si="51"/>
        <v>24999.999999999884</v>
      </c>
      <c r="G48" s="17">
        <f t="shared" si="51"/>
        <v>0</v>
      </c>
      <c r="H48" s="17">
        <f t="shared" si="51"/>
        <v>0</v>
      </c>
      <c r="I48" s="17">
        <f t="shared" si="51"/>
        <v>0</v>
      </c>
      <c r="J48" s="17">
        <f t="shared" si="51"/>
        <v>0</v>
      </c>
      <c r="K48" s="17">
        <f t="shared" si="51"/>
        <v>0</v>
      </c>
      <c r="L48" s="17">
        <f t="shared" si="51"/>
        <v>0</v>
      </c>
      <c r="M48" s="17">
        <f t="shared" si="51"/>
        <v>0</v>
      </c>
      <c r="N48" s="17">
        <f t="shared" si="51"/>
        <v>0</v>
      </c>
      <c r="P48" s="9" t="s">
        <v>115</v>
      </c>
      <c r="Q48" s="17">
        <f>Q33+Q25-Q39-Q45</f>
        <v>0</v>
      </c>
      <c r="R48" s="17">
        <f t="shared" ref="R48:AB48" si="52">R33+R25-R39-R45</f>
        <v>0</v>
      </c>
      <c r="S48" s="17">
        <f t="shared" si="52"/>
        <v>0</v>
      </c>
      <c r="T48" s="17">
        <f t="shared" si="52"/>
        <v>25000</v>
      </c>
      <c r="U48" s="17">
        <f t="shared" si="52"/>
        <v>0</v>
      </c>
      <c r="V48" s="17">
        <f t="shared" si="52"/>
        <v>0</v>
      </c>
      <c r="W48" s="17">
        <f t="shared" si="52"/>
        <v>0</v>
      </c>
      <c r="X48" s="17">
        <f t="shared" si="52"/>
        <v>0</v>
      </c>
      <c r="Y48" s="17">
        <f t="shared" si="52"/>
        <v>0</v>
      </c>
      <c r="Z48" s="17">
        <f t="shared" si="52"/>
        <v>0</v>
      </c>
      <c r="AA48" s="17">
        <f t="shared" si="52"/>
        <v>0</v>
      </c>
      <c r="AB48" s="17">
        <f t="shared" si="52"/>
        <v>0</v>
      </c>
      <c r="AD48" s="9" t="s">
        <v>115</v>
      </c>
      <c r="AE48" s="17">
        <f>AE33+AE25-AE39-AE45</f>
        <v>0</v>
      </c>
      <c r="AF48" s="17">
        <f t="shared" ref="AF48:AP48" si="53">AF33+AF25-AF39-AF45</f>
        <v>0</v>
      </c>
      <c r="AG48" s="17">
        <f t="shared" si="53"/>
        <v>0</v>
      </c>
      <c r="AH48" s="17">
        <f t="shared" si="53"/>
        <v>25000</v>
      </c>
      <c r="AI48" s="17">
        <f t="shared" si="53"/>
        <v>0</v>
      </c>
      <c r="AJ48" s="17">
        <f t="shared" si="53"/>
        <v>0</v>
      </c>
      <c r="AK48" s="17">
        <f t="shared" si="53"/>
        <v>0</v>
      </c>
      <c r="AL48" s="17">
        <f t="shared" si="53"/>
        <v>0</v>
      </c>
      <c r="AM48" s="17">
        <f t="shared" si="53"/>
        <v>0</v>
      </c>
      <c r="AN48" s="17">
        <f t="shared" si="53"/>
        <v>0</v>
      </c>
      <c r="AO48" s="17">
        <f t="shared" si="53"/>
        <v>0</v>
      </c>
      <c r="AP48" s="17">
        <f t="shared" si="53"/>
        <v>0</v>
      </c>
    </row>
    <row r="49" spans="2:42" hidden="1"/>
    <row r="50" spans="2:42" hidden="1"/>
    <row r="51" spans="2:42" hidden="1">
      <c r="B51" s="9" t="s">
        <v>119</v>
      </c>
      <c r="P51" s="9" t="s">
        <v>119</v>
      </c>
      <c r="AD51" s="9" t="s">
        <v>119</v>
      </c>
    </row>
    <row r="52" spans="2:42" hidden="1"/>
    <row r="53" spans="2:42" hidden="1">
      <c r="B53" s="68" t="s">
        <v>116</v>
      </c>
      <c r="P53" s="68" t="s">
        <v>116</v>
      </c>
      <c r="AD53" s="68" t="s">
        <v>116</v>
      </c>
    </row>
    <row r="54" spans="2:42" hidden="1"/>
    <row r="55" spans="2:42" hidden="1">
      <c r="C55" s="87" t="s">
        <v>50</v>
      </c>
      <c r="D55" s="87" t="s">
        <v>51</v>
      </c>
      <c r="E55" s="87" t="s">
        <v>52</v>
      </c>
      <c r="F55" s="87" t="s">
        <v>53</v>
      </c>
      <c r="G55" s="87" t="s">
        <v>54</v>
      </c>
      <c r="H55" s="87" t="s">
        <v>55</v>
      </c>
      <c r="I55" s="87" t="s">
        <v>56</v>
      </c>
      <c r="J55" s="87" t="s">
        <v>57</v>
      </c>
      <c r="K55" s="87" t="s">
        <v>58</v>
      </c>
      <c r="L55" s="87" t="s">
        <v>59</v>
      </c>
      <c r="M55" s="87" t="s">
        <v>60</v>
      </c>
      <c r="N55" s="87" t="s">
        <v>61</v>
      </c>
      <c r="Q55" s="87" t="s">
        <v>50</v>
      </c>
      <c r="R55" s="87" t="s">
        <v>51</v>
      </c>
      <c r="S55" s="87" t="s">
        <v>52</v>
      </c>
      <c r="T55" s="87" t="s">
        <v>53</v>
      </c>
      <c r="U55" s="87" t="s">
        <v>54</v>
      </c>
      <c r="V55" s="87" t="s">
        <v>55</v>
      </c>
      <c r="W55" s="87" t="s">
        <v>56</v>
      </c>
      <c r="X55" s="87" t="s">
        <v>57</v>
      </c>
      <c r="Y55" s="87" t="s">
        <v>58</v>
      </c>
      <c r="Z55" s="87" t="s">
        <v>59</v>
      </c>
      <c r="AA55" s="87" t="s">
        <v>60</v>
      </c>
      <c r="AB55" s="87" t="s">
        <v>61</v>
      </c>
      <c r="AE55" s="87" t="s">
        <v>50</v>
      </c>
      <c r="AF55" s="87" t="s">
        <v>51</v>
      </c>
      <c r="AG55" s="87" t="s">
        <v>52</v>
      </c>
      <c r="AH55" s="87" t="s">
        <v>53</v>
      </c>
      <c r="AI55" s="87" t="s">
        <v>54</v>
      </c>
      <c r="AJ55" s="87" t="s">
        <v>55</v>
      </c>
      <c r="AK55" s="87" t="s">
        <v>56</v>
      </c>
      <c r="AL55" s="87" t="s">
        <v>57</v>
      </c>
      <c r="AM55" s="87" t="s">
        <v>58</v>
      </c>
      <c r="AN55" s="87" t="s">
        <v>59</v>
      </c>
      <c r="AO55" s="87" t="s">
        <v>60</v>
      </c>
      <c r="AP55" s="87" t="s">
        <v>61</v>
      </c>
    </row>
    <row r="56" spans="2:42" hidden="1">
      <c r="B56" s="274" t="s">
        <v>112</v>
      </c>
      <c r="C56" s="17">
        <f>C33*Factors!B11</f>
        <v>1806541.5338804342</v>
      </c>
      <c r="D56" s="17">
        <f>C64</f>
        <v>1884805.142143907</v>
      </c>
      <c r="E56" s="17">
        <f t="shared" ref="E56:N56" si="54">D64</f>
        <v>1802406.4150286801</v>
      </c>
      <c r="F56" s="17">
        <f t="shared" si="54"/>
        <v>1588740.2557311824</v>
      </c>
      <c r="G56" s="17">
        <f t="shared" si="54"/>
        <v>1613232.8511081941</v>
      </c>
      <c r="H56" s="17">
        <f t="shared" si="54"/>
        <v>1743029.3545088975</v>
      </c>
      <c r="I56" s="17">
        <f t="shared" si="54"/>
        <v>1734456.4626311932</v>
      </c>
      <c r="J56" s="17">
        <f t="shared" si="54"/>
        <v>1863656.9499327727</v>
      </c>
      <c r="K56" s="17">
        <f t="shared" si="54"/>
        <v>1942716.3585405294</v>
      </c>
      <c r="L56" s="17">
        <f t="shared" si="54"/>
        <v>1516876.7688709511</v>
      </c>
      <c r="M56" s="17">
        <f t="shared" si="54"/>
        <v>1646293.8074123661</v>
      </c>
      <c r="N56" s="17">
        <f t="shared" si="54"/>
        <v>1672180.4728945186</v>
      </c>
      <c r="P56" s="274" t="s">
        <v>112</v>
      </c>
      <c r="Q56" s="17">
        <f>Q33*Factors!P11</f>
        <v>0</v>
      </c>
      <c r="R56" s="17">
        <f t="shared" ref="R56:AB56" si="55">Q64</f>
        <v>1842926.2996979633</v>
      </c>
      <c r="S56" s="17">
        <f t="shared" si="55"/>
        <v>1770911.3976240186</v>
      </c>
      <c r="T56" s="17">
        <f t="shared" si="55"/>
        <v>1550625.4830511948</v>
      </c>
      <c r="U56" s="17">
        <f t="shared" si="55"/>
        <v>1582154.8989596535</v>
      </c>
      <c r="V56" s="17">
        <f t="shared" si="55"/>
        <v>1717280.1734980231</v>
      </c>
      <c r="W56" s="17">
        <f t="shared" si="55"/>
        <v>1712518.0430477827</v>
      </c>
      <c r="X56" s="17">
        <f t="shared" si="55"/>
        <v>1847933.7993802018</v>
      </c>
      <c r="Y56" s="17">
        <f t="shared" si="55"/>
        <v>1934587.74678426</v>
      </c>
      <c r="Z56" s="17">
        <f t="shared" si="55"/>
        <v>1500226.957114069</v>
      </c>
      <c r="AA56" s="17">
        <f t="shared" si="55"/>
        <v>1636268.315480296</v>
      </c>
      <c r="AB56" s="17">
        <f t="shared" si="55"/>
        <v>1669948.1064942621</v>
      </c>
      <c r="AD56" s="274" t="s">
        <v>112</v>
      </c>
      <c r="AE56" s="17">
        <f>AE33*Factors!AD11</f>
        <v>0</v>
      </c>
      <c r="AF56" s="17">
        <f t="shared" ref="AF56:AP56" si="56">AE64</f>
        <v>0</v>
      </c>
      <c r="AG56" s="17">
        <f t="shared" si="56"/>
        <v>1779009.4749920107</v>
      </c>
      <c r="AH56" s="17">
        <f t="shared" si="56"/>
        <v>1540568.7101460011</v>
      </c>
      <c r="AI56" s="17">
        <f t="shared" si="56"/>
        <v>1575849.7407308719</v>
      </c>
      <c r="AJ56" s="17">
        <f t="shared" si="56"/>
        <v>1714223.0820318437</v>
      </c>
      <c r="AK56" s="17">
        <f t="shared" si="56"/>
        <v>1708396.4318863861</v>
      </c>
      <c r="AL56" s="17">
        <f t="shared" si="56"/>
        <v>1846938.8821554126</v>
      </c>
      <c r="AM56" s="17">
        <f t="shared" si="56"/>
        <v>1937240.0969706918</v>
      </c>
      <c r="AN56" s="17">
        <f t="shared" si="56"/>
        <v>1485465.1723765079</v>
      </c>
      <c r="AO56" s="17">
        <f t="shared" si="56"/>
        <v>1624630.730948956</v>
      </c>
      <c r="AP56" s="17">
        <f t="shared" si="56"/>
        <v>1662334.887895609</v>
      </c>
    </row>
    <row r="57" spans="2:42" hidden="1">
      <c r="B57" s="7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P57" s="7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D57" s="7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</row>
    <row r="58" spans="2:42" hidden="1">
      <c r="B58" s="68" t="s">
        <v>76</v>
      </c>
      <c r="C58" s="67">
        <f>Interest!C25*Factors!C11</f>
        <v>1660044.8385737236</v>
      </c>
      <c r="D58" s="67">
        <f>Interest!D25*Factors!D11</f>
        <v>1501491.5568336085</v>
      </c>
      <c r="E58" s="67">
        <f>Interest!E25*Factors!E11</f>
        <v>1664686.4658435525</v>
      </c>
      <c r="F58" s="67">
        <f>Interest!F25*Factors!F11</f>
        <v>1721269.4871081938</v>
      </c>
      <c r="G58" s="67">
        <f>Interest!G25*Factors!G11</f>
        <v>1669328.0931133812</v>
      </c>
      <c r="H58" s="67">
        <f>Interest!H25*Factors!H11</f>
        <v>1584388.8866144586</v>
      </c>
      <c r="I58" s="67">
        <f>Interest!I25*Factors!I11</f>
        <v>1639474.8389792969</v>
      </c>
      <c r="J58" s="67">
        <f>Interest!J25*Factors!J11</f>
        <v>1641747.8284569867</v>
      </c>
      <c r="K58" s="67">
        <f>Interest!K25*Factors!K11</f>
        <v>1590987.8883238805</v>
      </c>
      <c r="L58" s="67">
        <f>Interest!L25*Factors!L11</f>
        <v>1646293.8074123661</v>
      </c>
      <c r="M58" s="67">
        <f>Interest!M25*Factors!M11</f>
        <v>1595387.2227968285</v>
      </c>
      <c r="N58" s="67">
        <f>Interest!N25*Factors!N11</f>
        <v>1614709.5265102633</v>
      </c>
      <c r="P58" s="68" t="s">
        <v>76</v>
      </c>
      <c r="Q58" s="67">
        <f>Interest!Q25*Factors!Q11</f>
        <v>1614709.5265102633</v>
      </c>
      <c r="R58" s="67">
        <f>Interest!R25*Factors!R11</f>
        <v>1464524.178076782</v>
      </c>
      <c r="S58" s="67">
        <f>Interest!S25*Factors!S11</f>
        <v>1628165.4392311822</v>
      </c>
      <c r="T58" s="67">
        <f>Interest!T25*Factors!T11</f>
        <v>1692760.3058096534</v>
      </c>
      <c r="U58" s="67">
        <f>Interest!U25*Factors!U11</f>
        <v>1641621.3519521009</v>
      </c>
      <c r="V58" s="67">
        <f>Interest!V25*Factors!V11</f>
        <v>1558047.9490581914</v>
      </c>
      <c r="W58" s="67">
        <f>Interest!W25*Factors!W11</f>
        <v>1616554.2393901723</v>
      </c>
      <c r="X58" s="67">
        <f>Interest!X25*Factors!X11</f>
        <v>1623125.5980868803</v>
      </c>
      <c r="Y58" s="67">
        <f>Interest!Y25*Factors!Y11</f>
        <v>1577126.0872099241</v>
      </c>
      <c r="Z58" s="67">
        <f>Interest!Z25*Factors!Z11</f>
        <v>1636268.315480296</v>
      </c>
      <c r="AA58" s="67">
        <f>Interest!AA25*Factors!AA11</f>
        <v>1589844.8459777462</v>
      </c>
      <c r="AB58" s="67">
        <f>Interest!AB25*Factors!AB11</f>
        <v>1608511.9811920389</v>
      </c>
      <c r="AD58" s="68" t="s">
        <v>76</v>
      </c>
      <c r="AE58" s="67">
        <f>Interest!AE25*Factors!AE11</f>
        <v>0</v>
      </c>
      <c r="AF58" s="67">
        <f>Interest!AF25*Factors!AF11</f>
        <v>1458637.7765442783</v>
      </c>
      <c r="AG58" s="67">
        <f>Interest!AG25*Factors!AG11</f>
        <v>1621649.2304408185</v>
      </c>
      <c r="AH58" s="67">
        <f>Interest!AH25*Factors!AH11</f>
        <v>1691507.4933258719</v>
      </c>
      <c r="AI58" s="67">
        <f>Interest!AI25*Factors!AI11</f>
        <v>1635106.900402983</v>
      </c>
      <c r="AJ58" s="67">
        <f>Interest!AJ25*Factors!AJ11</f>
        <v>1546864.8478858424</v>
      </c>
      <c r="AK58" s="67">
        <f>Interest!AK25*Factors!AK11</f>
        <v>1604977.9398487664</v>
      </c>
      <c r="AL58" s="67">
        <f>Interest!AL25*Factors!AL11</f>
        <v>1611528.8702154963</v>
      </c>
      <c r="AM58" s="67">
        <f>Interest!AM25*Factors!AM11</f>
        <v>1565883.6779827995</v>
      </c>
      <c r="AN58" s="67">
        <f>Interest!AN25*Factors!AN11</f>
        <v>1624630.7309489555</v>
      </c>
      <c r="AO58" s="67">
        <f>Interest!AO25*Factors!AO11</f>
        <v>1578562.8980474377</v>
      </c>
      <c r="AP58" s="67">
        <f>Interest!AP25*Factors!AP11</f>
        <v>1591467.4306400479</v>
      </c>
    </row>
    <row r="59" spans="2:42" hidden="1">
      <c r="B59" s="7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P59" s="7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D59" s="7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</row>
    <row r="60" spans="2:42" hidden="1">
      <c r="B60" s="274" t="s">
        <v>113</v>
      </c>
      <c r="C60" s="17">
        <f>C39*Factors!C11*-1</f>
        <v>-1584310.3884576836</v>
      </c>
      <c r="D60" s="17">
        <f>D39*Factors!D11*-1</f>
        <v>-1586525.322094433</v>
      </c>
      <c r="E60" s="17">
        <f>E39*Factors!E11*-1</f>
        <v>-1880868.9484169181</v>
      </c>
      <c r="F60" s="17">
        <f>F39*Factors!F11*-1</f>
        <v>-1590955.1893679318</v>
      </c>
      <c r="G60" s="17">
        <f>G39*Factors!G11*-1</f>
        <v>-1541777.5383916271</v>
      </c>
      <c r="H60" s="17">
        <f>H39*Factors!H11*-1</f>
        <v>-1595385.0566414306</v>
      </c>
      <c r="I60" s="17">
        <f>I39*Factors!I11*-1</f>
        <v>-1512682.3634267098</v>
      </c>
      <c r="J60" s="17">
        <f>J39*Factors!J11*-1</f>
        <v>-1565272.2183537914</v>
      </c>
      <c r="K60" s="17">
        <f>K39*Factors!K11*-1</f>
        <v>-2019517.1564961851</v>
      </c>
      <c r="L60" s="17">
        <f>L39*Factors!L11*-1</f>
        <v>-1518973.9715930719</v>
      </c>
      <c r="M60" s="17">
        <f>M39*Factors!M11*-1</f>
        <v>-1571773.5467923656</v>
      </c>
      <c r="N60" s="17">
        <f>N39*Factors!N11*-1</f>
        <v>-1523168.3770373133</v>
      </c>
      <c r="P60" s="274" t="s">
        <v>113</v>
      </c>
      <c r="Q60" s="17">
        <f>Q39*Factors!Q11*-1</f>
        <v>-1537810.396414408</v>
      </c>
      <c r="R60" s="17">
        <f>R39*Factors!R11*-1</f>
        <v>-1544217.9397328014</v>
      </c>
      <c r="S60" s="17">
        <f>S39*Factors!S11*-1</f>
        <v>-1855799.5338771346</v>
      </c>
      <c r="T60" s="17">
        <f>T39*Factors!T11*-1</f>
        <v>-1557033.026369588</v>
      </c>
      <c r="U60" s="17">
        <f>U39*Factors!U11*-1</f>
        <v>-1513007.002923853</v>
      </c>
      <c r="V60" s="17">
        <f>V39*Factors!V11*-1</f>
        <v>-1569848.1130063748</v>
      </c>
      <c r="W60" s="17">
        <f>W39*Factors!W11*-1</f>
        <v>-1488128.3526212138</v>
      </c>
      <c r="X60" s="17">
        <f>X39*Factors!X11*-1</f>
        <v>-1543983.5766965626</v>
      </c>
      <c r="Y60" s="17">
        <f>Y39*Factors!Y11*-1</f>
        <v>-2019319.215935922</v>
      </c>
      <c r="Z60" s="17">
        <f>Z39*Factors!Z11*-1</f>
        <v>-1506276.2593604967</v>
      </c>
      <c r="AA60" s="17">
        <f>AA39*Factors!AA11*-1</f>
        <v>-1562736.4136604883</v>
      </c>
      <c r="AB60" s="17">
        <f>AB39*Factors!AB11*-1</f>
        <v>-1518374.8638533521</v>
      </c>
      <c r="AD60" s="274" t="s">
        <v>113</v>
      </c>
      <c r="AE60" s="17">
        <f>AE39*Factors!AE11*-1</f>
        <v>0</v>
      </c>
      <c r="AF60" s="17">
        <f>AF39*Factors!AF11*-1</f>
        <v>-1534176.3088590882</v>
      </c>
      <c r="AG60" s="17">
        <f>AG39*Factors!AG11*-1</f>
        <v>-1867502.5347659613</v>
      </c>
      <c r="AH60" s="17">
        <f>AH39*Factors!AH11*-1</f>
        <v>-1546961.1114329139</v>
      </c>
      <c r="AI60" s="17">
        <f>AI39*Factors!AI11*-1</f>
        <v>-1503245.3348901551</v>
      </c>
      <c r="AJ60" s="17">
        <f>AJ39*Factors!AJ11*-1</f>
        <v>-1559745.9140067396</v>
      </c>
      <c r="AK60" s="17">
        <f>AK39*Factors!AK11*-1</f>
        <v>-1473437.1143005856</v>
      </c>
      <c r="AL60" s="17">
        <f>AL39*Factors!AL11*-1</f>
        <v>-1528766.1814498315</v>
      </c>
      <c r="AM60" s="17">
        <f>AM39*Factors!AM11*-1</f>
        <v>-2025533.5623207658</v>
      </c>
      <c r="AN60" s="17">
        <f>AN39*Factors!AN11*-1</f>
        <v>-1491479.2014144696</v>
      </c>
      <c r="AO60" s="17">
        <f>AO39*Factors!AO11*-1</f>
        <v>-1547409.6714675135</v>
      </c>
      <c r="AP60" s="17">
        <f>AP39*Factors!AP11*-1</f>
        <v>-1503507.2594903926</v>
      </c>
    </row>
    <row r="61" spans="2:42" hidden="1">
      <c r="B61" s="7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P61" s="7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D61" s="7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</row>
    <row r="62" spans="2:42" hidden="1">
      <c r="B62" s="23" t="s">
        <v>120</v>
      </c>
      <c r="C62" s="17">
        <f>(C56+C58+C60-C64)*-1</f>
        <v>2529.1581474326085</v>
      </c>
      <c r="D62" s="17">
        <f t="shared" ref="D62:N62" si="57">(D56+D58+D60-D64)*-1</f>
        <v>2635.0381455975585</v>
      </c>
      <c r="E62" s="17">
        <f t="shared" si="57"/>
        <v>2516.3232758676168</v>
      </c>
      <c r="F62" s="17">
        <f t="shared" si="57"/>
        <v>-105821.70236325054</v>
      </c>
      <c r="G62" s="17">
        <f t="shared" si="57"/>
        <v>2245.9486789493822</v>
      </c>
      <c r="H62" s="17">
        <f t="shared" si="57"/>
        <v>2423.2781492678914</v>
      </c>
      <c r="I62" s="17">
        <f t="shared" si="57"/>
        <v>2408.0117489921395</v>
      </c>
      <c r="J62" s="17">
        <f t="shared" si="57"/>
        <v>2583.7985045614187</v>
      </c>
      <c r="K62" s="17">
        <f t="shared" si="57"/>
        <v>2689.6785027261358</v>
      </c>
      <c r="L62" s="17">
        <f t="shared" si="57"/>
        <v>2097.2027221210301</v>
      </c>
      <c r="M62" s="17">
        <f t="shared" si="57"/>
        <v>2272.989477689378</v>
      </c>
      <c r="N62" s="17">
        <f t="shared" si="57"/>
        <v>2305.5472346395254</v>
      </c>
      <c r="P62" s="23" t="s">
        <v>120</v>
      </c>
      <c r="Q62" s="17">
        <f>(Q56+Q58+Q60-Q64)*-1</f>
        <v>1766027.169602108</v>
      </c>
      <c r="R62" s="17">
        <f t="shared" ref="R62:AB62" si="58">(R56+R58+R60-R64)*-1</f>
        <v>7678.859582074685</v>
      </c>
      <c r="S62" s="17">
        <f t="shared" si="58"/>
        <v>7348.1800731283147</v>
      </c>
      <c r="T62" s="17">
        <f t="shared" si="58"/>
        <v>-104197.86353160674</v>
      </c>
      <c r="U62" s="17">
        <f t="shared" si="58"/>
        <v>6510.9255101215094</v>
      </c>
      <c r="V62" s="17">
        <f t="shared" si="58"/>
        <v>7038.0334979433101</v>
      </c>
      <c r="W62" s="17">
        <f t="shared" si="58"/>
        <v>6989.8695634605829</v>
      </c>
      <c r="X62" s="17">
        <f t="shared" si="58"/>
        <v>7511.9260137402453</v>
      </c>
      <c r="Y62" s="17">
        <f t="shared" si="58"/>
        <v>7832.3390558068641</v>
      </c>
      <c r="Z62" s="17">
        <f t="shared" si="58"/>
        <v>6049.3022464273963</v>
      </c>
      <c r="AA62" s="17">
        <f t="shared" si="58"/>
        <v>6571.35869670799</v>
      </c>
      <c r="AB62" s="17">
        <f t="shared" si="58"/>
        <v>6679.792425977299</v>
      </c>
      <c r="AD62" s="23" t="s">
        <v>120</v>
      </c>
      <c r="AE62" s="17">
        <f>(AE56+AE58+AE60-AE64)*-1</f>
        <v>0</v>
      </c>
      <c r="AF62" s="17">
        <f t="shared" ref="AF62:AP62" si="59">(AF56+AF58+AF60-AF64)*-1</f>
        <v>1854548.0073068207</v>
      </c>
      <c r="AG62" s="17">
        <f t="shared" si="59"/>
        <v>7412.5394791329745</v>
      </c>
      <c r="AH62" s="17">
        <f t="shared" si="59"/>
        <v>-109265.35130808712</v>
      </c>
      <c r="AI62" s="17">
        <f t="shared" si="59"/>
        <v>6511.7757881437428</v>
      </c>
      <c r="AJ62" s="17">
        <f t="shared" si="59"/>
        <v>7054.4159754395951</v>
      </c>
      <c r="AK62" s="17">
        <f t="shared" si="59"/>
        <v>7001.6247208453715</v>
      </c>
      <c r="AL62" s="17">
        <f t="shared" si="59"/>
        <v>7538.5260496144183</v>
      </c>
      <c r="AM62" s="17">
        <f t="shared" si="59"/>
        <v>7874.9597437826451</v>
      </c>
      <c r="AN62" s="17">
        <f t="shared" si="59"/>
        <v>6014.0290379619692</v>
      </c>
      <c r="AO62" s="17">
        <f t="shared" si="59"/>
        <v>6550.9303667289205</v>
      </c>
      <c r="AP62" s="17">
        <f t="shared" si="59"/>
        <v>6676.0437264898792</v>
      </c>
    </row>
    <row r="63" spans="2:42" hidden="1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</row>
    <row r="64" spans="2:42" hidden="1">
      <c r="B64" s="274" t="s">
        <v>114</v>
      </c>
      <c r="C64" s="17">
        <f>C45*Factors!C11</f>
        <v>1884805.142143907</v>
      </c>
      <c r="D64" s="17">
        <f>D45*Factors!D11</f>
        <v>1802406.4150286801</v>
      </c>
      <c r="E64" s="17">
        <f>E45*Factors!E11</f>
        <v>1588740.2557311824</v>
      </c>
      <c r="F64" s="17">
        <f>F45*Factors!F11</f>
        <v>1613232.8511081941</v>
      </c>
      <c r="G64" s="17">
        <f>G45*Factors!G11</f>
        <v>1743029.3545088975</v>
      </c>
      <c r="H64" s="17">
        <f>H45*Factors!H11</f>
        <v>1734456.4626311932</v>
      </c>
      <c r="I64" s="17">
        <f>I45*Factors!I11</f>
        <v>1863656.9499327727</v>
      </c>
      <c r="J64" s="17">
        <f>J45*Factors!J11</f>
        <v>1942716.3585405294</v>
      </c>
      <c r="K64" s="17">
        <f>K45*Factors!K11</f>
        <v>1516876.7688709511</v>
      </c>
      <c r="L64" s="17">
        <f>L45*Factors!L11</f>
        <v>1646293.8074123661</v>
      </c>
      <c r="M64" s="17">
        <f>M45*Factors!M11</f>
        <v>1672180.4728945186</v>
      </c>
      <c r="N64" s="17">
        <f>N45*Factors!N11</f>
        <v>1766027.1696021082</v>
      </c>
      <c r="P64" s="274" t="s">
        <v>114</v>
      </c>
      <c r="Q64" s="17">
        <f>Q45*Factors!Q11</f>
        <v>1842926.2996979633</v>
      </c>
      <c r="R64" s="17">
        <f>R45*Factors!R11</f>
        <v>1770911.3976240186</v>
      </c>
      <c r="S64" s="17">
        <f>S45*Factors!S11</f>
        <v>1550625.4830511948</v>
      </c>
      <c r="T64" s="17">
        <f>T45*Factors!T11</f>
        <v>1582154.8989596535</v>
      </c>
      <c r="U64" s="17">
        <f>U45*Factors!U11</f>
        <v>1717280.1734980231</v>
      </c>
      <c r="V64" s="17">
        <f>V45*Factors!V11</f>
        <v>1712518.0430477827</v>
      </c>
      <c r="W64" s="17">
        <f>W45*Factors!W11</f>
        <v>1847933.7993802018</v>
      </c>
      <c r="X64" s="17">
        <f>X45*Factors!X11</f>
        <v>1934587.74678426</v>
      </c>
      <c r="Y64" s="17">
        <f>Y45*Factors!Y11</f>
        <v>1500226.957114069</v>
      </c>
      <c r="Z64" s="17">
        <f>Z45*Factors!Z11</f>
        <v>1636268.315480296</v>
      </c>
      <c r="AA64" s="17">
        <f>AA45*Factors!AA11</f>
        <v>1669948.1064942621</v>
      </c>
      <c r="AB64" s="17">
        <f>AB45*Factors!AB11</f>
        <v>1766765.0162589264</v>
      </c>
      <c r="AD64" s="274" t="s">
        <v>114</v>
      </c>
      <c r="AE64" s="17">
        <f>AE45*Factors!AE11</f>
        <v>0</v>
      </c>
      <c r="AF64" s="17">
        <f>AF45*Factors!AF11</f>
        <v>1779009.4749920107</v>
      </c>
      <c r="AG64" s="17">
        <f>AG45*Factors!AG11</f>
        <v>1540568.7101460011</v>
      </c>
      <c r="AH64" s="17">
        <f>AH45*Factors!AH11</f>
        <v>1575849.7407308719</v>
      </c>
      <c r="AI64" s="17">
        <f>AI45*Factors!AI11</f>
        <v>1714223.0820318437</v>
      </c>
      <c r="AJ64" s="17">
        <f>AJ45*Factors!AJ11</f>
        <v>1708396.4318863861</v>
      </c>
      <c r="AK64" s="17">
        <f>AK45*Factors!AK11</f>
        <v>1846938.8821554126</v>
      </c>
      <c r="AL64" s="17">
        <f>AL45*Factors!AL11</f>
        <v>1937240.0969706918</v>
      </c>
      <c r="AM64" s="17">
        <f>AM45*Factors!AM11</f>
        <v>1485465.1723765079</v>
      </c>
      <c r="AN64" s="17">
        <f>AN45*Factors!AN11</f>
        <v>1624630.730948956</v>
      </c>
      <c r="AO64" s="17">
        <f>AO45*Factors!AO11</f>
        <v>1662334.887895609</v>
      </c>
      <c r="AP64" s="17">
        <f>AP45*Factors!AP11</f>
        <v>1756971.1027717539</v>
      </c>
    </row>
    <row r="65" spans="1:42" hidden="1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</row>
    <row r="66" spans="1:42" hidden="1">
      <c r="B66" s="9" t="s">
        <v>115</v>
      </c>
      <c r="C66" s="17">
        <f>SUM(C56:C62)</f>
        <v>1884805.142143907</v>
      </c>
      <c r="D66" s="17">
        <f t="shared" ref="D66:N66" si="60">SUM(D56:D62)</f>
        <v>1802406.4150286801</v>
      </c>
      <c r="E66" s="17">
        <f t="shared" si="60"/>
        <v>1588740.2557311824</v>
      </c>
      <c r="F66" s="17">
        <f t="shared" si="60"/>
        <v>1613232.8511081941</v>
      </c>
      <c r="G66" s="17">
        <f t="shared" si="60"/>
        <v>1743029.3545088975</v>
      </c>
      <c r="H66" s="17">
        <f t="shared" si="60"/>
        <v>1734456.4626311932</v>
      </c>
      <c r="I66" s="17">
        <f t="shared" si="60"/>
        <v>1863656.9499327727</v>
      </c>
      <c r="J66" s="17">
        <f t="shared" si="60"/>
        <v>1942716.3585405294</v>
      </c>
      <c r="K66" s="17">
        <f t="shared" si="60"/>
        <v>1516876.7688709511</v>
      </c>
      <c r="L66" s="17">
        <f t="shared" si="60"/>
        <v>1646293.8074123661</v>
      </c>
      <c r="M66" s="17">
        <f t="shared" si="60"/>
        <v>1672180.4728945186</v>
      </c>
      <c r="N66" s="17">
        <f t="shared" si="60"/>
        <v>1766027.1696021082</v>
      </c>
      <c r="P66" s="9" t="s">
        <v>115</v>
      </c>
      <c r="Q66" s="17">
        <f>SUM(Q56:Q62)</f>
        <v>1842926.2996979633</v>
      </c>
      <c r="R66" s="17">
        <f t="shared" ref="R66:AB66" si="61">SUM(R56:R62)</f>
        <v>1770911.3976240186</v>
      </c>
      <c r="S66" s="17">
        <f t="shared" si="61"/>
        <v>1550625.4830511948</v>
      </c>
      <c r="T66" s="17">
        <f t="shared" si="61"/>
        <v>1582154.8989596535</v>
      </c>
      <c r="U66" s="17">
        <f t="shared" si="61"/>
        <v>1717280.1734980231</v>
      </c>
      <c r="V66" s="17">
        <f t="shared" si="61"/>
        <v>1712518.0430477827</v>
      </c>
      <c r="W66" s="17">
        <f t="shared" si="61"/>
        <v>1847933.7993802018</v>
      </c>
      <c r="X66" s="17">
        <f t="shared" si="61"/>
        <v>1934587.74678426</v>
      </c>
      <c r="Y66" s="17">
        <f t="shared" si="61"/>
        <v>1500226.957114069</v>
      </c>
      <c r="Z66" s="17">
        <f t="shared" si="61"/>
        <v>1636268.315480296</v>
      </c>
      <c r="AA66" s="17">
        <f t="shared" si="61"/>
        <v>1669948.1064942621</v>
      </c>
      <c r="AB66" s="17">
        <f t="shared" si="61"/>
        <v>1766765.0162589264</v>
      </c>
      <c r="AD66" s="9" t="s">
        <v>115</v>
      </c>
      <c r="AE66" s="17">
        <f>SUM(AE56:AE62)</f>
        <v>0</v>
      </c>
      <c r="AF66" s="17">
        <f t="shared" ref="AF66:AP66" si="62">SUM(AF56:AF62)</f>
        <v>1779009.4749920107</v>
      </c>
      <c r="AG66" s="17">
        <f t="shared" si="62"/>
        <v>1540568.7101460011</v>
      </c>
      <c r="AH66" s="17">
        <f t="shared" si="62"/>
        <v>1575849.7407308719</v>
      </c>
      <c r="AI66" s="17">
        <f t="shared" si="62"/>
        <v>1714223.0820318437</v>
      </c>
      <c r="AJ66" s="17">
        <f t="shared" si="62"/>
        <v>1708396.4318863861</v>
      </c>
      <c r="AK66" s="17">
        <f t="shared" si="62"/>
        <v>1846938.8821554126</v>
      </c>
      <c r="AL66" s="17">
        <f t="shared" si="62"/>
        <v>1937240.0969706918</v>
      </c>
      <c r="AM66" s="17">
        <f t="shared" si="62"/>
        <v>1485465.1723765079</v>
      </c>
      <c r="AN66" s="17">
        <f t="shared" si="62"/>
        <v>1624630.730948956</v>
      </c>
      <c r="AO66" s="17">
        <f t="shared" si="62"/>
        <v>1662334.887895609</v>
      </c>
      <c r="AP66" s="17">
        <f t="shared" si="62"/>
        <v>1756971.1027717539</v>
      </c>
    </row>
    <row r="67" spans="1:42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</row>
    <row r="68" spans="1:42">
      <c r="C68" s="272" t="s">
        <v>50</v>
      </c>
      <c r="D68" s="272" t="s">
        <v>51</v>
      </c>
      <c r="E68" s="272" t="s">
        <v>52</v>
      </c>
      <c r="F68" s="272" t="s">
        <v>53</v>
      </c>
      <c r="G68" s="272" t="s">
        <v>54</v>
      </c>
      <c r="H68" s="272" t="s">
        <v>55</v>
      </c>
      <c r="I68" s="272" t="s">
        <v>56</v>
      </c>
      <c r="J68" s="272" t="s">
        <v>57</v>
      </c>
      <c r="K68" s="272" t="s">
        <v>58</v>
      </c>
      <c r="L68" s="272" t="s">
        <v>59</v>
      </c>
      <c r="M68" s="272" t="s">
        <v>60</v>
      </c>
      <c r="N68" s="272" t="s">
        <v>61</v>
      </c>
      <c r="Q68" s="272" t="s">
        <v>50</v>
      </c>
      <c r="R68" s="272" t="s">
        <v>51</v>
      </c>
      <c r="S68" s="272" t="s">
        <v>52</v>
      </c>
      <c r="T68" s="272" t="s">
        <v>53</v>
      </c>
      <c r="U68" s="272" t="s">
        <v>54</v>
      </c>
      <c r="V68" s="272" t="s">
        <v>55</v>
      </c>
      <c r="W68" s="272" t="s">
        <v>56</v>
      </c>
      <c r="X68" s="272" t="s">
        <v>57</v>
      </c>
      <c r="Y68" s="272" t="s">
        <v>58</v>
      </c>
      <c r="Z68" s="272" t="s">
        <v>59</v>
      </c>
      <c r="AA68" s="272" t="s">
        <v>60</v>
      </c>
      <c r="AB68" s="272" t="s">
        <v>61</v>
      </c>
      <c r="AE68" s="272" t="s">
        <v>50</v>
      </c>
      <c r="AF68" s="272" t="s">
        <v>51</v>
      </c>
      <c r="AG68" s="272" t="s">
        <v>52</v>
      </c>
      <c r="AH68" s="272" t="s">
        <v>53</v>
      </c>
      <c r="AI68" s="272" t="s">
        <v>54</v>
      </c>
      <c r="AJ68" s="272" t="s">
        <v>55</v>
      </c>
      <c r="AK68" s="272" t="s">
        <v>56</v>
      </c>
      <c r="AL68" s="272" t="s">
        <v>57</v>
      </c>
      <c r="AM68" s="272" t="s">
        <v>58</v>
      </c>
      <c r="AN68" s="272" t="s">
        <v>59</v>
      </c>
      <c r="AO68" s="272" t="s">
        <v>60</v>
      </c>
      <c r="AP68" s="272" t="s">
        <v>61</v>
      </c>
    </row>
    <row r="69" spans="1:42">
      <c r="A69" s="74" t="s">
        <v>462</v>
      </c>
      <c r="B69" s="60" t="s">
        <v>26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P69" s="60" t="s">
        <v>463</v>
      </c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D69" s="60" t="s">
        <v>463</v>
      </c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spans="1:42" ht="13.5" thickBot="1">
      <c r="A70" s="66" t="s">
        <v>464</v>
      </c>
      <c r="B70" s="59" t="s">
        <v>1221</v>
      </c>
      <c r="C70" s="209">
        <f>CashFlow!B37*0.01/12*1000*-1</f>
        <v>-30370.75</v>
      </c>
      <c r="D70" s="209">
        <f>CashFlow!C37*0.01/12*1000*-1</f>
        <v>-31836.170135774995</v>
      </c>
      <c r="E70" s="209">
        <f>CashFlow!D37*0.01/12*1000*-1</f>
        <v>-35486.802679538479</v>
      </c>
      <c r="F70" s="209">
        <f>CashFlow!E37*0.01/12*1000*-1</f>
        <v>-22226.649997995399</v>
      </c>
      <c r="G70" s="209">
        <f>CashFlow!F37*0.01/12*1000*-1</f>
        <v>-24844.16785610142</v>
      </c>
      <c r="H70" s="209">
        <f>CashFlow!G37*0.01/12*1000*-1</f>
        <v>-26942.588602986776</v>
      </c>
      <c r="I70" s="209">
        <f>CashFlow!H37*0.01/12*1000*-1</f>
        <v>-18071.932988126064</v>
      </c>
      <c r="J70" s="209">
        <f>CashFlow!I37*0.01/12*1000*-1</f>
        <v>-18390.957196397925</v>
      </c>
      <c r="K70" s="209">
        <f>CashFlow!J37*0.01/12*1000*-1</f>
        <v>-22643.931107240362</v>
      </c>
      <c r="L70" s="209">
        <f>CashFlow!K37*0.01/12*1000*-1</f>
        <v>-11411.887563679804</v>
      </c>
      <c r="M70" s="209">
        <f>CashFlow!L37*0.01/12*1000*-1</f>
        <v>-14030.254206356218</v>
      </c>
      <c r="N70" s="209">
        <f>CashFlow!M37*0.01/12*1000*-1</f>
        <v>-19209.843541206657</v>
      </c>
      <c r="P70" s="59" t="s">
        <v>465</v>
      </c>
      <c r="Q70" s="17">
        <v>-85000</v>
      </c>
      <c r="R70" s="17">
        <f>Q70</f>
        <v>-85000</v>
      </c>
      <c r="S70" s="17">
        <f t="shared" ref="S70:AB70" si="63">R70</f>
        <v>-85000</v>
      </c>
      <c r="T70" s="17">
        <f t="shared" si="63"/>
        <v>-85000</v>
      </c>
      <c r="U70" s="17">
        <f t="shared" si="63"/>
        <v>-85000</v>
      </c>
      <c r="V70" s="17">
        <f t="shared" si="63"/>
        <v>-85000</v>
      </c>
      <c r="W70" s="17">
        <f t="shared" si="63"/>
        <v>-85000</v>
      </c>
      <c r="X70" s="17">
        <f t="shared" si="63"/>
        <v>-85000</v>
      </c>
      <c r="Y70" s="17">
        <f t="shared" si="63"/>
        <v>-85000</v>
      </c>
      <c r="Z70" s="17">
        <f t="shared" si="63"/>
        <v>-85000</v>
      </c>
      <c r="AA70" s="17">
        <f t="shared" si="63"/>
        <v>-85000</v>
      </c>
      <c r="AB70" s="17">
        <f t="shared" si="63"/>
        <v>-85000</v>
      </c>
      <c r="AD70" s="59" t="s">
        <v>465</v>
      </c>
      <c r="AE70" s="17">
        <v>-85000</v>
      </c>
      <c r="AF70" s="17">
        <f>AE70</f>
        <v>-85000</v>
      </c>
      <c r="AG70" s="17">
        <f t="shared" ref="AG70:AP70" si="64">AF70</f>
        <v>-85000</v>
      </c>
      <c r="AH70" s="17">
        <f t="shared" si="64"/>
        <v>-85000</v>
      </c>
      <c r="AI70" s="17">
        <f t="shared" si="64"/>
        <v>-85000</v>
      </c>
      <c r="AJ70" s="17">
        <f t="shared" si="64"/>
        <v>-85000</v>
      </c>
      <c r="AK70" s="17">
        <f t="shared" si="64"/>
        <v>-85000</v>
      </c>
      <c r="AL70" s="17">
        <f t="shared" si="64"/>
        <v>-85000</v>
      </c>
      <c r="AM70" s="17">
        <f t="shared" si="64"/>
        <v>-85000</v>
      </c>
      <c r="AN70" s="17">
        <f t="shared" si="64"/>
        <v>-85000</v>
      </c>
      <c r="AO70" s="17">
        <f t="shared" si="64"/>
        <v>-85000</v>
      </c>
      <c r="AP70" s="17">
        <f t="shared" si="64"/>
        <v>-85000</v>
      </c>
    </row>
    <row r="71" spans="1:42" hidden="1">
      <c r="A71" s="66" t="s">
        <v>466</v>
      </c>
      <c r="B71" s="59" t="s">
        <v>467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P71" s="59" t="s">
        <v>467</v>
      </c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D71" s="59" t="s">
        <v>467</v>
      </c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</row>
    <row r="72" spans="1:42" hidden="1">
      <c r="A72" s="66" t="s">
        <v>468</v>
      </c>
      <c r="B72" s="59" t="s">
        <v>469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P72" s="59" t="s">
        <v>469</v>
      </c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D72" s="59" t="s">
        <v>469</v>
      </c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spans="1:42" hidden="1">
      <c r="A73" s="66" t="s">
        <v>470</v>
      </c>
      <c r="B73" s="59" t="s">
        <v>471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P73" s="59" t="s">
        <v>471</v>
      </c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D73" s="59" t="s">
        <v>471</v>
      </c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 spans="1:42" hidden="1">
      <c r="A74" s="66" t="s">
        <v>472</v>
      </c>
      <c r="B74" s="59" t="s">
        <v>461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P74" s="59" t="s">
        <v>461</v>
      </c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D74" s="59" t="s">
        <v>461</v>
      </c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spans="1:42" ht="13.5" thickTop="1">
      <c r="A75" s="66"/>
      <c r="B75" s="59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P75" s="59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D75" s="59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 spans="1:42">
      <c r="A76" s="66"/>
      <c r="B76" s="59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P76" s="59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D76" s="59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spans="1:42">
      <c r="A77" s="74" t="s">
        <v>473</v>
      </c>
      <c r="B77" s="60" t="s">
        <v>42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P77" s="60" t="s">
        <v>474</v>
      </c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D77" s="60" t="s">
        <v>474</v>
      </c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spans="1:42" hidden="1">
      <c r="A78" s="66" t="s">
        <v>475</v>
      </c>
      <c r="B78" s="59" t="s">
        <v>476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P78" s="59" t="s">
        <v>476</v>
      </c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D78" s="59" t="s">
        <v>476</v>
      </c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1:42" ht="13.5" thickBot="1">
      <c r="A79" s="66" t="s">
        <v>477</v>
      </c>
      <c r="B79" s="59" t="s">
        <v>1222</v>
      </c>
      <c r="C79" s="209">
        <v>2600</v>
      </c>
      <c r="D79" s="209">
        <f t="shared" ref="D79:N79" si="65">C79</f>
        <v>2600</v>
      </c>
      <c r="E79" s="209">
        <f t="shared" si="65"/>
        <v>2600</v>
      </c>
      <c r="F79" s="209">
        <f t="shared" si="65"/>
        <v>2600</v>
      </c>
      <c r="G79" s="209">
        <f t="shared" si="65"/>
        <v>2600</v>
      </c>
      <c r="H79" s="209">
        <f t="shared" si="65"/>
        <v>2600</v>
      </c>
      <c r="I79" s="209">
        <f t="shared" si="65"/>
        <v>2600</v>
      </c>
      <c r="J79" s="209">
        <f t="shared" si="65"/>
        <v>2600</v>
      </c>
      <c r="K79" s="209">
        <f t="shared" si="65"/>
        <v>2600</v>
      </c>
      <c r="L79" s="209">
        <f t="shared" si="65"/>
        <v>2600</v>
      </c>
      <c r="M79" s="209">
        <f t="shared" si="65"/>
        <v>2600</v>
      </c>
      <c r="N79" s="209">
        <f t="shared" si="65"/>
        <v>2600</v>
      </c>
      <c r="P79" s="59" t="s">
        <v>478</v>
      </c>
      <c r="Q79" s="17">
        <v>2600</v>
      </c>
      <c r="R79" s="17">
        <f>Q79</f>
        <v>2600</v>
      </c>
      <c r="S79" s="17">
        <f t="shared" ref="S79:AB79" si="66">R79</f>
        <v>2600</v>
      </c>
      <c r="T79" s="17">
        <f t="shared" si="66"/>
        <v>2600</v>
      </c>
      <c r="U79" s="17">
        <f t="shared" si="66"/>
        <v>2600</v>
      </c>
      <c r="V79" s="17">
        <f t="shared" si="66"/>
        <v>2600</v>
      </c>
      <c r="W79" s="17">
        <f t="shared" si="66"/>
        <v>2600</v>
      </c>
      <c r="X79" s="17">
        <f t="shared" si="66"/>
        <v>2600</v>
      </c>
      <c r="Y79" s="17">
        <f t="shared" si="66"/>
        <v>2600</v>
      </c>
      <c r="Z79" s="17">
        <f t="shared" si="66"/>
        <v>2600</v>
      </c>
      <c r="AA79" s="17">
        <f t="shared" si="66"/>
        <v>2600</v>
      </c>
      <c r="AB79" s="17">
        <f t="shared" si="66"/>
        <v>2600</v>
      </c>
      <c r="AD79" s="59" t="s">
        <v>478</v>
      </c>
      <c r="AE79" s="17">
        <v>2600</v>
      </c>
      <c r="AF79" s="17">
        <f>AE79</f>
        <v>2600</v>
      </c>
      <c r="AG79" s="17">
        <f t="shared" ref="AG79:AP79" si="67">AF79</f>
        <v>2600</v>
      </c>
      <c r="AH79" s="17">
        <f t="shared" si="67"/>
        <v>2600</v>
      </c>
      <c r="AI79" s="17">
        <f t="shared" si="67"/>
        <v>2600</v>
      </c>
      <c r="AJ79" s="17">
        <f t="shared" si="67"/>
        <v>2600</v>
      </c>
      <c r="AK79" s="17">
        <f t="shared" si="67"/>
        <v>2600</v>
      </c>
      <c r="AL79" s="17">
        <f t="shared" si="67"/>
        <v>2600</v>
      </c>
      <c r="AM79" s="17">
        <f t="shared" si="67"/>
        <v>2600</v>
      </c>
      <c r="AN79" s="17">
        <f t="shared" si="67"/>
        <v>2600</v>
      </c>
      <c r="AO79" s="17">
        <f t="shared" si="67"/>
        <v>2600</v>
      </c>
      <c r="AP79" s="17">
        <f t="shared" si="67"/>
        <v>2600</v>
      </c>
    </row>
    <row r="80" spans="1:42" ht="13.5" thickTop="1"/>
    <row r="81" spans="1:42" hidden="1">
      <c r="A81" s="66" t="s">
        <v>481</v>
      </c>
      <c r="B81" s="59" t="s">
        <v>482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P81" s="59" t="s">
        <v>482</v>
      </c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D81" s="59" t="s">
        <v>482</v>
      </c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</row>
    <row r="82" spans="1:42" hidden="1">
      <c r="A82" s="66" t="s">
        <v>483</v>
      </c>
      <c r="B82" s="59" t="s">
        <v>484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P82" s="59" t="s">
        <v>484</v>
      </c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D82" s="59" t="s">
        <v>484</v>
      </c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</row>
    <row r="83" spans="1:42" hidden="1">
      <c r="A83" s="66" t="s">
        <v>485</v>
      </c>
      <c r="B83" s="59" t="s">
        <v>486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P83" s="59" t="s">
        <v>486</v>
      </c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D83" s="59" t="s">
        <v>486</v>
      </c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</row>
    <row r="84" spans="1:42">
      <c r="A84" s="66"/>
      <c r="B84" s="59"/>
      <c r="P84" s="59"/>
      <c r="AD84" s="59"/>
    </row>
    <row r="85" spans="1:42" hidden="1">
      <c r="A85" s="66"/>
      <c r="B85" s="59"/>
      <c r="P85" s="59"/>
      <c r="AD85" s="59"/>
    </row>
    <row r="86" spans="1:42" hidden="1">
      <c r="A86" s="74" t="s">
        <v>487</v>
      </c>
      <c r="B86" s="60" t="s">
        <v>488</v>
      </c>
      <c r="P86" s="60" t="s">
        <v>488</v>
      </c>
      <c r="AD86" s="60" t="s">
        <v>488</v>
      </c>
    </row>
    <row r="87" spans="1:42" hidden="1">
      <c r="A87" s="66" t="s">
        <v>489</v>
      </c>
      <c r="B87" s="59" t="s">
        <v>490</v>
      </c>
      <c r="P87" s="59" t="s">
        <v>490</v>
      </c>
      <c r="AD87" s="59" t="s">
        <v>490</v>
      </c>
    </row>
    <row r="88" spans="1:42" hidden="1">
      <c r="A88" s="66" t="s">
        <v>491</v>
      </c>
      <c r="B88" s="59" t="s">
        <v>492</v>
      </c>
      <c r="P88" s="59" t="s">
        <v>492</v>
      </c>
      <c r="AD88" s="59" t="s">
        <v>492</v>
      </c>
    </row>
    <row r="89" spans="1:42" hidden="1">
      <c r="A89" s="66" t="s">
        <v>493</v>
      </c>
      <c r="B89" s="59" t="s">
        <v>494</v>
      </c>
      <c r="P89" s="59" t="s">
        <v>494</v>
      </c>
      <c r="AD89" s="59" t="s">
        <v>494</v>
      </c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Budget</vt:lpstr>
      <vt:lpstr>Factors</vt:lpstr>
      <vt:lpstr>Plans</vt:lpstr>
      <vt:lpstr>Sales</vt:lpstr>
      <vt:lpstr>Gas</vt:lpstr>
      <vt:lpstr>Materials</vt:lpstr>
      <vt:lpstr>SiteServices</vt:lpstr>
      <vt:lpstr>R&amp;M</vt:lpstr>
      <vt:lpstr>Interest</vt:lpstr>
      <vt:lpstr>Swap</vt:lpstr>
      <vt:lpstr>loans</vt:lpstr>
      <vt:lpstr>employees</vt:lpstr>
      <vt:lpstr>Depreciation</vt:lpstr>
      <vt:lpstr>Oheads</vt:lpstr>
      <vt:lpstr>Capital budget</vt:lpstr>
      <vt:lpstr>Donation</vt:lpstr>
      <vt:lpstr>P&amp;LPLN</vt:lpstr>
      <vt:lpstr>Balance</vt:lpstr>
      <vt:lpstr>CashFlow</vt:lpstr>
      <vt:lpstr>P&amp;L$</vt:lpstr>
      <vt:lpstr>O&amp;M Budget</vt:lpstr>
      <vt:lpstr>Balance!Print_Area</vt:lpstr>
      <vt:lpstr>Budget!Print_Area</vt:lpstr>
      <vt:lpstr>'Capital budget'!Print_Area</vt:lpstr>
      <vt:lpstr>CashFlow!Print_Area</vt:lpstr>
      <vt:lpstr>Depreciation!Print_Area</vt:lpstr>
      <vt:lpstr>Donation!Print_Area</vt:lpstr>
      <vt:lpstr>employees!Print_Area</vt:lpstr>
      <vt:lpstr>Factors!Print_Area</vt:lpstr>
      <vt:lpstr>Gas!Print_Area</vt:lpstr>
      <vt:lpstr>Interest!Print_Area</vt:lpstr>
      <vt:lpstr>loans!Print_Area</vt:lpstr>
      <vt:lpstr>Materials!Print_Area</vt:lpstr>
      <vt:lpstr>'O&amp;M Budget'!Print_Area</vt:lpstr>
      <vt:lpstr>Oheads!Print_Area</vt:lpstr>
      <vt:lpstr>'P&amp;L$'!Print_Area</vt:lpstr>
      <vt:lpstr>'P&amp;LPLN'!Print_Area</vt:lpstr>
      <vt:lpstr>Plans!Print_Area</vt:lpstr>
      <vt:lpstr>'R&amp;M'!Print_Area</vt:lpstr>
      <vt:lpstr>Sales!Print_Area</vt:lpstr>
      <vt:lpstr>SiteServices!Print_Area</vt:lpstr>
      <vt:lpstr>Swap!Print_Area</vt:lpstr>
    </vt:vector>
  </TitlesOfParts>
  <Company>Enron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International</dc:creator>
  <cp:lastModifiedBy>Jan Havlíček</cp:lastModifiedBy>
  <cp:lastPrinted>2001-11-15T12:13:27Z</cp:lastPrinted>
  <dcterms:created xsi:type="dcterms:W3CDTF">2000-09-28T11:03:38Z</dcterms:created>
  <dcterms:modified xsi:type="dcterms:W3CDTF">2023-09-15T16:49:28Z</dcterms:modified>
</cp:coreProperties>
</file>