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 userName="Jan Havlíček" reservationPassword="CC0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961AD5-B7BD-46E4-B30B-30DD7593CBA8}" xr6:coauthVersionLast="47" xr6:coauthVersionMax="47" xr10:uidLastSave="{00000000-0000-0000-0000-000000000000}"/>
  <bookViews>
    <workbookView xWindow="-120" yWindow="-120" windowWidth="38640" windowHeight="15720" tabRatio="876"/>
  </bookViews>
  <sheets>
    <sheet name="Rate Estimator" sheetId="64" r:id="rId1"/>
    <sheet name="Rate Inputs" sheetId="72" state="hidden" r:id="rId2"/>
  </sheets>
  <definedNames>
    <definedName name="GRAPHS12">#REF!</definedName>
    <definedName name="GRAPHS34">#REF!</definedName>
    <definedName name="_xlnm.Print_Area" localSheetId="0">'Rate Estimator'!$A$1:$O$104</definedName>
    <definedName name="_xlnm.Print_Area" localSheetId="1">'Rate Inputs'!$C$2:$K$53</definedName>
    <definedName name="rate01">#REF!</definedName>
    <definedName name="rate02">#REF!</definedName>
    <definedName name="rate03">#REF!</definedName>
    <definedName name="rate04">#REF!</definedName>
  </definedNames>
  <calcPr calcId="92512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" i="64" l="1"/>
  <c r="AB8" i="64"/>
  <c r="AG8" i="64"/>
  <c r="AL8" i="64"/>
  <c r="V9" i="64"/>
  <c r="AA9" i="64"/>
  <c r="AF9" i="64"/>
  <c r="AK9" i="64"/>
  <c r="A13" i="64"/>
  <c r="B14" i="64"/>
  <c r="E16" i="64"/>
  <c r="F16" i="64"/>
  <c r="G16" i="64"/>
  <c r="H16" i="64"/>
  <c r="I16" i="64"/>
  <c r="J16" i="64"/>
  <c r="K16" i="64"/>
  <c r="L16" i="64"/>
  <c r="M16" i="64"/>
  <c r="N16" i="64"/>
  <c r="E18" i="64"/>
  <c r="F18" i="64"/>
  <c r="G18" i="64"/>
  <c r="H18" i="64"/>
  <c r="I18" i="64"/>
  <c r="J18" i="64"/>
  <c r="K18" i="64"/>
  <c r="L18" i="64"/>
  <c r="M18" i="64"/>
  <c r="N18" i="64"/>
  <c r="C20" i="64"/>
  <c r="D20" i="64"/>
  <c r="E20" i="64"/>
  <c r="F20" i="64"/>
  <c r="G20" i="64"/>
  <c r="H20" i="64"/>
  <c r="I20" i="64"/>
  <c r="J20" i="64"/>
  <c r="K20" i="64"/>
  <c r="L20" i="64"/>
  <c r="M20" i="64"/>
  <c r="N20" i="64"/>
  <c r="C21" i="64"/>
  <c r="D21" i="64"/>
  <c r="E21" i="64"/>
  <c r="F21" i="64"/>
  <c r="G21" i="64"/>
  <c r="H21" i="64"/>
  <c r="I21" i="64"/>
  <c r="J21" i="64"/>
  <c r="K21" i="64"/>
  <c r="L21" i="64"/>
  <c r="M21" i="64"/>
  <c r="N21" i="64"/>
  <c r="C22" i="64"/>
  <c r="D22" i="64"/>
  <c r="E22" i="64"/>
  <c r="F22" i="64"/>
  <c r="G22" i="64"/>
  <c r="H22" i="64"/>
  <c r="I22" i="64"/>
  <c r="J22" i="64"/>
  <c r="K22" i="64"/>
  <c r="L22" i="64"/>
  <c r="M22" i="64"/>
  <c r="N22" i="64"/>
  <c r="C24" i="64"/>
  <c r="D24" i="64"/>
  <c r="E24" i="64"/>
  <c r="F24" i="64"/>
  <c r="G24" i="64"/>
  <c r="H24" i="64"/>
  <c r="I24" i="64"/>
  <c r="J24" i="64"/>
  <c r="K24" i="64"/>
  <c r="L24" i="64"/>
  <c r="M24" i="64"/>
  <c r="N24" i="64"/>
  <c r="C25" i="64"/>
  <c r="D25" i="64"/>
  <c r="E25" i="64"/>
  <c r="F25" i="64"/>
  <c r="G25" i="64"/>
  <c r="H25" i="64"/>
  <c r="I25" i="64"/>
  <c r="J25" i="64"/>
  <c r="K25" i="64"/>
  <c r="L25" i="64"/>
  <c r="M25" i="64"/>
  <c r="N25" i="64"/>
  <c r="C26" i="64"/>
  <c r="D26" i="64"/>
  <c r="E26" i="64"/>
  <c r="F26" i="64"/>
  <c r="G26" i="64"/>
  <c r="H26" i="64"/>
  <c r="I26" i="64"/>
  <c r="J26" i="64"/>
  <c r="K26" i="64"/>
  <c r="L26" i="64"/>
  <c r="M26" i="64"/>
  <c r="N26" i="64"/>
  <c r="C28" i="64"/>
  <c r="D28" i="64"/>
  <c r="E28" i="64"/>
  <c r="F28" i="64"/>
  <c r="G28" i="64"/>
  <c r="H28" i="64"/>
  <c r="I28" i="64"/>
  <c r="J28" i="64"/>
  <c r="K28" i="64"/>
  <c r="L28" i="64"/>
  <c r="M28" i="64"/>
  <c r="N28" i="64"/>
  <c r="C29" i="64"/>
  <c r="D29" i="64"/>
  <c r="E29" i="64"/>
  <c r="F29" i="64"/>
  <c r="G29" i="64"/>
  <c r="H29" i="64"/>
  <c r="I29" i="64"/>
  <c r="J29" i="64"/>
  <c r="K29" i="64"/>
  <c r="L29" i="64"/>
  <c r="M29" i="64"/>
  <c r="N29" i="64"/>
  <c r="C30" i="64"/>
  <c r="D30" i="64"/>
  <c r="E30" i="64"/>
  <c r="F30" i="64"/>
  <c r="G30" i="64"/>
  <c r="H30" i="64"/>
  <c r="I30" i="64"/>
  <c r="J30" i="64"/>
  <c r="K30" i="64"/>
  <c r="L30" i="64"/>
  <c r="M30" i="64"/>
  <c r="N30" i="64"/>
  <c r="C32" i="64"/>
  <c r="D32" i="64"/>
  <c r="E32" i="64"/>
  <c r="F32" i="64"/>
  <c r="G32" i="64"/>
  <c r="H32" i="64"/>
  <c r="I32" i="64"/>
  <c r="J32" i="64"/>
  <c r="K32" i="64"/>
  <c r="L32" i="64"/>
  <c r="M32" i="64"/>
  <c r="N32" i="64"/>
  <c r="C33" i="64"/>
  <c r="D33" i="64"/>
  <c r="E33" i="64"/>
  <c r="F33" i="64"/>
  <c r="G33" i="64"/>
  <c r="H33" i="64"/>
  <c r="I33" i="64"/>
  <c r="J33" i="64"/>
  <c r="K33" i="64"/>
  <c r="L33" i="64"/>
  <c r="M33" i="64"/>
  <c r="N33" i="64"/>
  <c r="C34" i="64"/>
  <c r="D34" i="64"/>
  <c r="E34" i="64"/>
  <c r="F34" i="64"/>
  <c r="G34" i="64"/>
  <c r="H34" i="64"/>
  <c r="I34" i="64"/>
  <c r="J34" i="64"/>
  <c r="K34" i="64"/>
  <c r="L34" i="64"/>
  <c r="M34" i="64"/>
  <c r="N34" i="64"/>
  <c r="C36" i="64"/>
  <c r="D36" i="64"/>
  <c r="E36" i="64"/>
  <c r="F36" i="64"/>
  <c r="G36" i="64"/>
  <c r="H36" i="64"/>
  <c r="I36" i="64"/>
  <c r="J36" i="64"/>
  <c r="K36" i="64"/>
  <c r="L36" i="64"/>
  <c r="M36" i="64"/>
  <c r="N36" i="64"/>
  <c r="C37" i="64"/>
  <c r="D37" i="64"/>
  <c r="E37" i="64"/>
  <c r="F37" i="64"/>
  <c r="G37" i="64"/>
  <c r="H37" i="64"/>
  <c r="I37" i="64"/>
  <c r="J37" i="64"/>
  <c r="K37" i="64"/>
  <c r="L37" i="64"/>
  <c r="M37" i="64"/>
  <c r="N37" i="64"/>
  <c r="C38" i="64"/>
  <c r="D38" i="64"/>
  <c r="E38" i="64"/>
  <c r="F38" i="64"/>
  <c r="G38" i="64"/>
  <c r="H38" i="64"/>
  <c r="I38" i="64"/>
  <c r="J38" i="64"/>
  <c r="K38" i="64"/>
  <c r="L38" i="64"/>
  <c r="M38" i="64"/>
  <c r="N38" i="64"/>
  <c r="C40" i="64"/>
  <c r="D40" i="64"/>
  <c r="E40" i="64"/>
  <c r="F40" i="64"/>
  <c r="G40" i="64"/>
  <c r="H40" i="64"/>
  <c r="I40" i="64"/>
  <c r="J40" i="64"/>
  <c r="K40" i="64"/>
  <c r="L40" i="64"/>
  <c r="M40" i="64"/>
  <c r="N40" i="64"/>
  <c r="C41" i="64"/>
  <c r="D41" i="64"/>
  <c r="E41" i="64"/>
  <c r="F41" i="64"/>
  <c r="G41" i="64"/>
  <c r="H41" i="64"/>
  <c r="I41" i="64"/>
  <c r="J41" i="64"/>
  <c r="K41" i="64"/>
  <c r="L41" i="64"/>
  <c r="M41" i="64"/>
  <c r="N41" i="64"/>
  <c r="C42" i="64"/>
  <c r="D42" i="64"/>
  <c r="E42" i="64"/>
  <c r="F42" i="64"/>
  <c r="G42" i="64"/>
  <c r="H42" i="64"/>
  <c r="I42" i="64"/>
  <c r="J42" i="64"/>
  <c r="K42" i="64"/>
  <c r="L42" i="64"/>
  <c r="M42" i="64"/>
  <c r="N42" i="64"/>
  <c r="C44" i="64"/>
  <c r="C45" i="64"/>
  <c r="C46" i="64"/>
  <c r="E46" i="64"/>
  <c r="F46" i="64"/>
  <c r="G46" i="64"/>
  <c r="H46" i="64"/>
  <c r="I46" i="64"/>
  <c r="J46" i="64"/>
  <c r="K46" i="64"/>
  <c r="L46" i="64"/>
  <c r="M46" i="64"/>
  <c r="N46" i="64"/>
  <c r="D48" i="64"/>
  <c r="E48" i="64"/>
  <c r="F48" i="64"/>
  <c r="G48" i="64"/>
  <c r="H48" i="64"/>
  <c r="I48" i="64"/>
  <c r="J48" i="64"/>
  <c r="K48" i="64"/>
  <c r="L48" i="64"/>
  <c r="M48" i="64"/>
  <c r="N48" i="64"/>
  <c r="D49" i="64"/>
  <c r="E49" i="64"/>
  <c r="F49" i="64"/>
  <c r="G49" i="64"/>
  <c r="H49" i="64"/>
  <c r="I49" i="64"/>
  <c r="J49" i="64"/>
  <c r="K49" i="64"/>
  <c r="L49" i="64"/>
  <c r="M49" i="64"/>
  <c r="N49" i="64"/>
  <c r="D50" i="64"/>
  <c r="E50" i="64"/>
  <c r="F50" i="64"/>
  <c r="G50" i="64"/>
  <c r="H50" i="64"/>
  <c r="I50" i="64"/>
  <c r="J50" i="64"/>
  <c r="K50" i="64"/>
  <c r="L50" i="64"/>
  <c r="M50" i="64"/>
  <c r="N50" i="64"/>
  <c r="D52" i="64"/>
  <c r="E52" i="64"/>
  <c r="F52" i="64"/>
  <c r="G52" i="64"/>
  <c r="H52" i="64"/>
  <c r="I52" i="64"/>
  <c r="J52" i="64"/>
  <c r="K52" i="64"/>
  <c r="L52" i="64"/>
  <c r="M52" i="64"/>
  <c r="N52" i="64"/>
  <c r="D53" i="64"/>
  <c r="E53" i="64"/>
  <c r="F53" i="64"/>
  <c r="G53" i="64"/>
  <c r="H53" i="64"/>
  <c r="I53" i="64"/>
  <c r="J53" i="64"/>
  <c r="K53" i="64"/>
  <c r="L53" i="64"/>
  <c r="M53" i="64"/>
  <c r="N53" i="64"/>
  <c r="D54" i="64"/>
  <c r="E54" i="64"/>
  <c r="F54" i="64"/>
  <c r="G54" i="64"/>
  <c r="H54" i="64"/>
  <c r="I54" i="64"/>
  <c r="J54" i="64"/>
  <c r="K54" i="64"/>
  <c r="L54" i="64"/>
  <c r="M54" i="64"/>
  <c r="N54" i="64"/>
  <c r="E58" i="64"/>
  <c r="F58" i="64"/>
  <c r="G58" i="64"/>
  <c r="H58" i="64"/>
  <c r="I58" i="64"/>
  <c r="J58" i="64"/>
  <c r="K58" i="64"/>
  <c r="L58" i="64"/>
  <c r="M58" i="64"/>
  <c r="N58" i="64"/>
  <c r="E62" i="64"/>
  <c r="F62" i="64"/>
  <c r="G62" i="64"/>
  <c r="H62" i="64"/>
  <c r="I62" i="64"/>
  <c r="J62" i="64"/>
  <c r="K62" i="64"/>
  <c r="L62" i="64"/>
  <c r="M62" i="64"/>
  <c r="N62" i="64"/>
  <c r="A70" i="64"/>
  <c r="L70" i="64"/>
  <c r="A77" i="64"/>
  <c r="B77" i="64"/>
  <c r="B78" i="64"/>
  <c r="B79" i="64"/>
  <c r="B80" i="64"/>
  <c r="B82" i="64"/>
  <c r="D83" i="64"/>
  <c r="E83" i="64"/>
  <c r="F83" i="64"/>
  <c r="G83" i="64"/>
  <c r="H83" i="64"/>
  <c r="I83" i="64"/>
  <c r="J83" i="64"/>
  <c r="K83" i="64"/>
  <c r="L83" i="64"/>
  <c r="M83" i="64"/>
  <c r="N83" i="64"/>
  <c r="C86" i="64"/>
  <c r="D86" i="64"/>
  <c r="E86" i="64"/>
  <c r="F86" i="64"/>
  <c r="G86" i="64"/>
  <c r="H86" i="64"/>
  <c r="I86" i="64"/>
  <c r="J86" i="64"/>
  <c r="K86" i="64"/>
  <c r="L86" i="64"/>
  <c r="M86" i="64"/>
  <c r="N86" i="64"/>
  <c r="A87" i="64"/>
  <c r="B87" i="64"/>
  <c r="C87" i="64"/>
  <c r="D87" i="64"/>
  <c r="E87" i="64"/>
  <c r="F87" i="64"/>
  <c r="G87" i="64"/>
  <c r="H87" i="64"/>
  <c r="I87" i="64"/>
  <c r="J87" i="64"/>
  <c r="K87" i="64"/>
  <c r="L87" i="64"/>
  <c r="M87" i="64"/>
  <c r="N87" i="64"/>
  <c r="A88" i="64"/>
  <c r="B88" i="64"/>
  <c r="C88" i="64"/>
  <c r="D88" i="64"/>
  <c r="E88" i="64"/>
  <c r="F88" i="64"/>
  <c r="G88" i="64"/>
  <c r="H88" i="64"/>
  <c r="I88" i="64"/>
  <c r="J88" i="64"/>
  <c r="K88" i="64"/>
  <c r="L88" i="64"/>
  <c r="M88" i="64"/>
  <c r="N88" i="64"/>
  <c r="A89" i="64"/>
  <c r="B89" i="64"/>
  <c r="C89" i="64"/>
  <c r="D89" i="64"/>
  <c r="E89" i="64"/>
  <c r="F89" i="64"/>
  <c r="G89" i="64"/>
  <c r="H89" i="64"/>
  <c r="I89" i="64"/>
  <c r="J89" i="64"/>
  <c r="K89" i="64"/>
  <c r="L89" i="64"/>
  <c r="M89" i="64"/>
  <c r="N89" i="64"/>
  <c r="A90" i="64"/>
  <c r="B90" i="64"/>
  <c r="C90" i="64"/>
  <c r="D90" i="64"/>
  <c r="E90" i="64"/>
  <c r="F90" i="64"/>
  <c r="G90" i="64"/>
  <c r="H90" i="64"/>
  <c r="I90" i="64"/>
  <c r="J90" i="64"/>
  <c r="K90" i="64"/>
  <c r="L90" i="64"/>
  <c r="M90" i="64"/>
  <c r="N90" i="64"/>
  <c r="A91" i="64"/>
  <c r="B91" i="64"/>
  <c r="C91" i="64"/>
  <c r="D91" i="64"/>
  <c r="E91" i="64"/>
  <c r="F91" i="64"/>
  <c r="G91" i="64"/>
  <c r="H91" i="64"/>
  <c r="I91" i="64"/>
  <c r="J91" i="64"/>
  <c r="K91" i="64"/>
  <c r="L91" i="64"/>
  <c r="M91" i="64"/>
  <c r="N91" i="64"/>
  <c r="B92" i="64"/>
  <c r="C92" i="64"/>
  <c r="D92" i="64"/>
  <c r="E92" i="64"/>
  <c r="F92" i="64"/>
  <c r="G92" i="64"/>
  <c r="H92" i="64"/>
  <c r="I92" i="64"/>
  <c r="J92" i="64"/>
  <c r="K92" i="64"/>
  <c r="L92" i="64"/>
  <c r="M92" i="64"/>
  <c r="N92" i="64"/>
  <c r="S92" i="64"/>
  <c r="T92" i="64"/>
  <c r="U92" i="64"/>
  <c r="V92" i="64"/>
  <c r="W92" i="64"/>
  <c r="X92" i="64"/>
  <c r="Y92" i="64"/>
  <c r="Z92" i="64"/>
  <c r="AA92" i="64"/>
  <c r="AB92" i="64"/>
  <c r="AC92" i="64"/>
  <c r="AD92" i="64"/>
  <c r="AE92" i="64"/>
  <c r="B93" i="64"/>
  <c r="C93" i="64"/>
  <c r="D93" i="64"/>
  <c r="E93" i="64"/>
  <c r="F93" i="64"/>
  <c r="G93" i="64"/>
  <c r="H93" i="64"/>
  <c r="I93" i="64"/>
  <c r="J93" i="64"/>
  <c r="K93" i="64"/>
  <c r="L93" i="64"/>
  <c r="M93" i="64"/>
  <c r="N93" i="64"/>
  <c r="B94" i="64"/>
  <c r="D94" i="64"/>
  <c r="E94" i="64"/>
  <c r="F94" i="64"/>
  <c r="G94" i="64"/>
  <c r="H94" i="64"/>
  <c r="I94" i="64"/>
  <c r="J94" i="64"/>
  <c r="K94" i="64"/>
  <c r="L94" i="64"/>
  <c r="M94" i="64"/>
  <c r="N94" i="64"/>
  <c r="B95" i="64"/>
  <c r="D95" i="64"/>
  <c r="E95" i="64"/>
  <c r="F95" i="64"/>
  <c r="G95" i="64"/>
  <c r="H95" i="64"/>
  <c r="I95" i="64"/>
  <c r="J95" i="64"/>
  <c r="K95" i="64"/>
  <c r="L95" i="64"/>
  <c r="M95" i="64"/>
  <c r="N95" i="64"/>
  <c r="B96" i="64"/>
  <c r="D96" i="64"/>
  <c r="E96" i="64"/>
  <c r="F96" i="64"/>
  <c r="G96" i="64"/>
  <c r="H96" i="64"/>
  <c r="I96" i="64"/>
  <c r="J96" i="64"/>
  <c r="K96" i="64"/>
  <c r="L96" i="64"/>
  <c r="M96" i="64"/>
  <c r="N96" i="64"/>
  <c r="C98" i="64"/>
  <c r="D98" i="64"/>
  <c r="E98" i="64"/>
  <c r="F98" i="64"/>
  <c r="G98" i="64"/>
  <c r="H98" i="64"/>
  <c r="I98" i="64"/>
  <c r="J98" i="64"/>
  <c r="K98" i="64"/>
  <c r="L98" i="64"/>
  <c r="M98" i="64"/>
  <c r="N98" i="64"/>
  <c r="B99" i="64"/>
  <c r="C99" i="64"/>
  <c r="D99" i="64"/>
  <c r="E99" i="64"/>
  <c r="F99" i="64"/>
  <c r="G99" i="64"/>
  <c r="H99" i="64"/>
  <c r="I99" i="64"/>
  <c r="J99" i="64"/>
  <c r="K99" i="64"/>
  <c r="L99" i="64"/>
  <c r="M99" i="64"/>
  <c r="N99" i="64"/>
  <c r="B100" i="64"/>
  <c r="C100" i="64"/>
  <c r="D100" i="64"/>
  <c r="E100" i="64"/>
  <c r="F100" i="64"/>
  <c r="G100" i="64"/>
  <c r="H100" i="64"/>
  <c r="I100" i="64"/>
  <c r="J100" i="64"/>
  <c r="K100" i="64"/>
  <c r="L100" i="64"/>
  <c r="M100" i="64"/>
  <c r="N100" i="64"/>
  <c r="F9" i="72"/>
  <c r="H9" i="72"/>
  <c r="K9" i="72"/>
  <c r="E28" i="72"/>
  <c r="E41" i="72"/>
</calcChain>
</file>

<file path=xl/sharedStrings.xml><?xml version="1.0" encoding="utf-8"?>
<sst xmlns="http://schemas.openxmlformats.org/spreadsheetml/2006/main" count="243" uniqueCount="114">
  <si>
    <t xml:space="preserve">Includes </t>
  </si>
  <si>
    <t>"No" means to add</t>
  </si>
  <si>
    <t>Commodity?</t>
  </si>
  <si>
    <t>commodity</t>
  </si>
  <si>
    <t>Demand 1</t>
  </si>
  <si>
    <t>Demand 2</t>
  </si>
  <si>
    <t>Demand 3</t>
  </si>
  <si>
    <t>Demand 4</t>
  </si>
  <si>
    <t>$</t>
  </si>
  <si>
    <t>`</t>
  </si>
  <si>
    <t>Tariff Charges</t>
  </si>
  <si>
    <t>Sub-Part</t>
  </si>
  <si>
    <t>Notes</t>
  </si>
  <si>
    <t xml:space="preserve"> Energy 1</t>
  </si>
  <si>
    <t xml:space="preserve"> Energy 2</t>
  </si>
  <si>
    <t>NOTES:</t>
  </si>
  <si>
    <t>Customer =</t>
  </si>
  <si>
    <t>Load Factor =</t>
  </si>
  <si>
    <t>Voltage =</t>
  </si>
  <si>
    <t>Secondary</t>
  </si>
  <si>
    <t>Tariff Charges:</t>
  </si>
  <si>
    <t xml:space="preserve">  Billing Units:</t>
  </si>
  <si>
    <t>Annual</t>
  </si>
  <si>
    <t>Transmission</t>
  </si>
  <si>
    <t>Primary</t>
  </si>
  <si>
    <t>CTC</t>
  </si>
  <si>
    <t>($/kWh)</t>
  </si>
  <si>
    <t>BILL ESTIMATE:</t>
  </si>
  <si>
    <t>No</t>
  </si>
  <si>
    <t>ELECTRIC RATE FORECAST-- Proposed T&amp;D Charges</t>
  </si>
  <si>
    <t xml:space="preserve">                 Workpaper 2.0</t>
  </si>
  <si>
    <t xml:space="preserve">                 Page 1 of 2</t>
  </si>
  <si>
    <t>Customer &amp; Metering</t>
  </si>
  <si>
    <t>Trans Charge</t>
  </si>
  <si>
    <t>Dist charge</t>
  </si>
  <si>
    <t>Nucl. Decomm.</t>
  </si>
  <si>
    <t>Transition Chg</t>
  </si>
  <si>
    <t>Demand 5</t>
  </si>
  <si>
    <t>Exc. Mit. Cred.</t>
  </si>
  <si>
    <t>Demand 6</t>
  </si>
  <si>
    <t>Syst Benefit</t>
  </si>
  <si>
    <t>Energy 3</t>
  </si>
  <si>
    <t>Energy 4</t>
  </si>
  <si>
    <t>The proposed tariff is pending PUCT approval.</t>
  </si>
  <si>
    <t xml:space="preserve">                 Page 2 of 2</t>
  </si>
  <si>
    <t xml:space="preserve"> XFRMR Discount =</t>
  </si>
  <si>
    <t>Facilities</t>
  </si>
  <si>
    <t>Sys Ben ($/kWh)</t>
  </si>
  <si>
    <t>Bill Total</t>
  </si>
  <si>
    <t>Demand ($/kW)</t>
  </si>
  <si>
    <t>Energy ($/kWh)</t>
  </si>
  <si>
    <t>Avg Rate ($/kWh)</t>
  </si>
  <si>
    <t>Notes:</t>
  </si>
  <si>
    <t>IDR =</t>
  </si>
  <si>
    <t>Cust. &amp; Meter.</t>
  </si>
  <si>
    <t>Muni Fran Fee</t>
  </si>
  <si>
    <t>Non-PTB Customer assumed to have IDR Metering</t>
  </si>
  <si>
    <t>Utility</t>
  </si>
  <si>
    <t>Voltage</t>
  </si>
  <si>
    <t>EMC</t>
  </si>
  <si>
    <t>CPL</t>
  </si>
  <si>
    <t>Entergy</t>
  </si>
  <si>
    <t>Reliant</t>
  </si>
  <si>
    <t>SWEPCO</t>
  </si>
  <si>
    <t>TNMP</t>
  </si>
  <si>
    <t>TXU</t>
  </si>
  <si>
    <t>WTU</t>
  </si>
  <si>
    <t>Company Name</t>
  </si>
  <si>
    <t>Number</t>
  </si>
  <si>
    <t>Yes</t>
  </si>
  <si>
    <t>CPL-Commercial and Small Industrial</t>
  </si>
  <si>
    <t>CPL-Large Industrial-Firm</t>
  </si>
  <si>
    <t>CPL-Large Industrial-Non-Firm</t>
  </si>
  <si>
    <t>Reliant-MGS-D</t>
  </si>
  <si>
    <t>Reliant-MGS-T</t>
  </si>
  <si>
    <t>Reliant-LGS-D</t>
  </si>
  <si>
    <t>Reliant-LGS-T</t>
  </si>
  <si>
    <t>Reliant-LOS_A</t>
  </si>
  <si>
    <t>Reliant-LOS-B</t>
  </si>
  <si>
    <t>TXU-Primary</t>
  </si>
  <si>
    <t>TXU-Secondary</t>
  </si>
  <si>
    <t>TXU-Transmission</t>
  </si>
  <si>
    <t>Customer</t>
  </si>
  <si>
    <t>Metering</t>
  </si>
  <si>
    <t>Current Tariff</t>
  </si>
  <si>
    <t>Distribution</t>
  </si>
  <si>
    <t>S</t>
  </si>
  <si>
    <t>P</t>
  </si>
  <si>
    <t>T</t>
  </si>
  <si>
    <t>TC</t>
  </si>
  <si>
    <t>Yes or No</t>
  </si>
  <si>
    <t>Nuc</t>
  </si>
  <si>
    <t>Sys B</t>
  </si>
  <si>
    <t>Muni FF</t>
  </si>
  <si>
    <t>S(IDR)</t>
  </si>
  <si>
    <t>S(NonIDR)</t>
  </si>
  <si>
    <t>P(IDR)</t>
  </si>
  <si>
    <t>P(NonIDR)</t>
  </si>
  <si>
    <t>INPUTS:</t>
  </si>
  <si>
    <t>Customer assumed to be within the city for Municipal Franchise Fees</t>
  </si>
  <si>
    <t>The proposed tariffs are pending PUCT approval.</t>
  </si>
  <si>
    <t>Other Utility Tariff</t>
  </si>
  <si>
    <t>T&amp;D Estimator for Texas IOU's</t>
  </si>
  <si>
    <t>Load Factor  (%)</t>
  </si>
  <si>
    <t>Typical Monthly Bill</t>
  </si>
  <si>
    <t>Make sure to select the correct current tariff !</t>
  </si>
  <si>
    <t>Voltage Level</t>
  </si>
  <si>
    <t>Demand Subtotal</t>
  </si>
  <si>
    <t>Energy Subtotal</t>
  </si>
  <si>
    <t>System Benefit Fund ($/kWh)</t>
  </si>
  <si>
    <t>Muni Franchise Fees ($/kWh)</t>
  </si>
  <si>
    <t>Entergy's Primary customers assumed to have three phase meters</t>
  </si>
  <si>
    <t>IDR (interval) Meter?</t>
  </si>
  <si>
    <t>Energy (kwh)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</si>
</sst>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6" formatCode="&quot;$&quot;#,##0_);[Red]\(&quot;$&quot;#,##0\)"/>
    <numFmt numFmtId="43" formatCode="_(* #,##0.00_);_(* \(#,##0.00\);_(* &quot;-&quot;??_);_(@_)"/>
    <numFmt numFmtId="164" formatCode="0.000"/>
    <numFmt numFmtId="165" formatCode="0.0000"/>
    <numFmt numFmtId="166" formatCode="0.00000"/>
    <numFmt numFmtId="168" formatCode="_(* #,##0.000_);_(* \(#,##0.000\);_(* &quot;-&quot;??_);_(@_)"/>
    <numFmt numFmtId="169" formatCode="_(* #,##0.0000_);_(* \(#,##0.0000\);_(* &quot;-&quot;??_);_(@_)"/>
    <numFmt numFmtId="170" formatCode="_(* #,##0.00000_);_(* \(#,##0.00000\);_(* &quot;-&quot;??_);_(@_)"/>
    <numFmt numFmtId="171" formatCode="_(* #,##0_);_(* \(#,##0\);_(* &quot;-&quot;??_);_(@_)"/>
    <numFmt numFmtId="172" formatCode="_(* #,##0.000000_);_(* \(#,##0.000000\);_(* &quot;-&quot;??_);_(@_)"/>
    <numFmt numFmtId="173" formatCode="0.000000"/>
    <numFmt numFmtId="175" formatCode="0.0000000"/>
    <numFmt numFmtId="183" formatCode="#,##0.00&quot; $&quot;;\-#,##0.00&quot; $&quot;"/>
    <numFmt numFmtId="184" formatCode="_-* #,##0.0_-;\-* #,##0.0_-;_-* &quot;-&quot;??_-;_-@_-"/>
    <numFmt numFmtId="185" formatCode="0.0%;_(* &quot;-&quot;_)"/>
    <numFmt numFmtId="186" formatCode="0.0%;_(&quot;-&quot;_)"/>
    <numFmt numFmtId="188" formatCode="&quot;$&quot;#,##0.000000"/>
    <numFmt numFmtId="191" formatCode="#,##0.000000_);\(#,##0.000000\)"/>
  </numFmts>
  <fonts count="28">
    <font>
      <sz val="10"/>
      <name val="Arial"/>
    </font>
    <font>
      <b/>
      <sz val="10"/>
      <name val="Arial"/>
    </font>
    <font>
      <sz val="10"/>
      <name val="Arial"/>
    </font>
    <font>
      <u/>
      <sz val="10"/>
      <name val="Arial"/>
    </font>
    <font>
      <sz val="8"/>
      <name val="Arial"/>
    </font>
    <font>
      <sz val="9"/>
      <name val="Arial"/>
    </font>
    <font>
      <sz val="12"/>
      <name val="Arial"/>
    </font>
    <font>
      <sz val="8"/>
      <name val="Arial"/>
      <family val="2"/>
    </font>
    <font>
      <b/>
      <sz val="10"/>
      <color indexed="39"/>
      <name val="Arial"/>
    </font>
    <font>
      <sz val="10"/>
      <color indexed="39"/>
      <name val="Arial"/>
    </font>
    <font>
      <b/>
      <sz val="8"/>
      <name val="Arial"/>
    </font>
    <font>
      <b/>
      <sz val="8"/>
      <color indexed="39"/>
      <name val="Arial"/>
    </font>
    <font>
      <sz val="10"/>
      <color indexed="8"/>
      <name val="Arial"/>
    </font>
    <font>
      <b/>
      <sz val="10"/>
      <color indexed="12"/>
      <name val="Arial"/>
    </font>
    <font>
      <sz val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sz val="8"/>
      <color indexed="12"/>
      <name val="Arial"/>
      <family val="2"/>
    </font>
    <font>
      <u/>
      <sz val="10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 val="singleAccounting"/>
      <sz val="10"/>
      <name val="Arial"/>
      <family val="2"/>
    </font>
    <font>
      <sz val="10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186" fontId="2" fillId="2" borderId="1">
      <alignment horizontal="center" vertical="center"/>
    </xf>
    <xf numFmtId="43" fontId="2" fillId="0" borderId="0" applyFont="0" applyFill="0" applyBorder="0" applyAlignment="0" applyProtection="0"/>
    <xf numFmtId="6" fontId="15" fillId="0" borderId="0">
      <protection locked="0"/>
    </xf>
    <xf numFmtId="184" fontId="2" fillId="0" borderId="0">
      <protection locked="0"/>
    </xf>
    <xf numFmtId="38" fontId="7" fillId="3" borderId="0" applyNumberFormat="0" applyBorder="0" applyAlignment="0" applyProtection="0"/>
    <xf numFmtId="0" fontId="16" fillId="0" borderId="0" applyNumberFormat="0" applyFill="0" applyBorder="0" applyAlignment="0" applyProtection="0"/>
    <xf numFmtId="183" fontId="2" fillId="0" borderId="0">
      <protection locked="0"/>
    </xf>
    <xf numFmtId="183" fontId="2" fillId="0" borderId="0">
      <protection locked="0"/>
    </xf>
    <xf numFmtId="0" fontId="17" fillId="0" borderId="2" applyNumberFormat="0" applyFill="0" applyAlignment="0" applyProtection="0"/>
    <xf numFmtId="10" fontId="7" fillId="4" borderId="3" applyNumberFormat="0" applyBorder="0" applyAlignment="0" applyProtection="0"/>
    <xf numFmtId="37" fontId="18" fillId="0" borderId="0"/>
    <xf numFmtId="185" fontId="2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83" fontId="2" fillId="0" borderId="4">
      <protection locked="0"/>
    </xf>
    <xf numFmtId="37" fontId="7" fillId="5" borderId="0" applyNumberFormat="0" applyBorder="0" applyAlignment="0" applyProtection="0"/>
    <xf numFmtId="37" fontId="4" fillId="0" borderId="0"/>
    <xf numFmtId="3" fontId="19" fillId="0" borderId="2" applyProtection="0"/>
  </cellStyleXfs>
  <cellXfs count="243">
    <xf numFmtId="0" fontId="0" fillId="0" borderId="0" xfId="0"/>
    <xf numFmtId="43" fontId="0" fillId="0" borderId="0" xfId="2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170" fontId="0" fillId="0" borderId="0" xfId="2" applyNumberFormat="1" applyFont="1" applyBorder="1"/>
    <xf numFmtId="15" fontId="0" fillId="0" borderId="0" xfId="0" applyNumberFormat="1" applyBorder="1"/>
    <xf numFmtId="43" fontId="0" fillId="3" borderId="0" xfId="2" applyFont="1" applyFill="1" applyBorder="1"/>
    <xf numFmtId="0" fontId="0" fillId="3" borderId="0" xfId="0" applyFill="1" applyBorder="1"/>
    <xf numFmtId="0" fontId="0" fillId="0" borderId="0" xfId="0" applyBorder="1" applyAlignment="1">
      <alignment horizontal="centerContinuous"/>
    </xf>
    <xf numFmtId="0" fontId="0" fillId="0" borderId="0" xfId="0" applyAlignment="1">
      <alignment horizontal="centerContinuous"/>
    </xf>
    <xf numFmtId="43" fontId="0" fillId="0" borderId="0" xfId="2" applyFont="1" applyBorder="1" applyAlignment="1">
      <alignment horizontal="centerContinuous"/>
    </xf>
    <xf numFmtId="0" fontId="1" fillId="0" borderId="0" xfId="0" applyFont="1" applyBorder="1"/>
    <xf numFmtId="0" fontId="0" fillId="0" borderId="5" xfId="0" applyBorder="1" applyAlignment="1">
      <alignment horizontal="centerContinuous"/>
    </xf>
    <xf numFmtId="43" fontId="0" fillId="0" borderId="0" xfId="2" applyFont="1" applyAlignment="1">
      <alignment horizontal="centerContinuous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43" fontId="0" fillId="0" borderId="5" xfId="2" applyFont="1" applyBorder="1"/>
    <xf numFmtId="0" fontId="0" fillId="0" borderId="8" xfId="0" applyBorder="1"/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3" fontId="0" fillId="0" borderId="5" xfId="2" applyFont="1" applyBorder="1" applyAlignment="1">
      <alignment horizontal="centerContinuous"/>
    </xf>
    <xf numFmtId="15" fontId="0" fillId="0" borderId="0" xfId="0" applyNumberFormat="1" applyBorder="1" applyAlignment="1">
      <alignment horizontal="left"/>
    </xf>
    <xf numFmtId="0" fontId="2" fillId="0" borderId="3" xfId="0" applyFont="1" applyBorder="1" applyAlignment="1">
      <alignment horizontal="center"/>
    </xf>
    <xf numFmtId="43" fontId="0" fillId="3" borderId="9" xfId="2" applyFont="1" applyFill="1" applyBorder="1" applyAlignment="1">
      <alignment horizontal="center"/>
    </xf>
    <xf numFmtId="43" fontId="4" fillId="3" borderId="9" xfId="2" applyFont="1" applyFill="1" applyBorder="1"/>
    <xf numFmtId="43" fontId="2" fillId="3" borderId="0" xfId="2" applyFont="1" applyFill="1" applyBorder="1"/>
    <xf numFmtId="43" fontId="10" fillId="3" borderId="10" xfId="2" applyFont="1" applyFill="1" applyBorder="1" applyAlignment="1">
      <alignment horizontal="left"/>
    </xf>
    <xf numFmtId="43" fontId="4" fillId="0" borderId="9" xfId="2" applyFont="1" applyFill="1" applyBorder="1"/>
    <xf numFmtId="0" fontId="0" fillId="3" borderId="10" xfId="0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172" fontId="2" fillId="0" borderId="0" xfId="2" applyNumberFormat="1" applyFont="1" applyBorder="1"/>
    <xf numFmtId="0" fontId="4" fillId="3" borderId="9" xfId="2" applyNumberFormat="1" applyFont="1" applyFill="1" applyBorder="1"/>
    <xf numFmtId="172" fontId="2" fillId="3" borderId="0" xfId="2" applyNumberFormat="1" applyFont="1" applyFill="1" applyBorder="1"/>
    <xf numFmtId="0" fontId="4" fillId="0" borderId="9" xfId="2" applyNumberFormat="1" applyFont="1" applyFill="1" applyBorder="1"/>
    <xf numFmtId="0" fontId="4" fillId="3" borderId="9" xfId="0" applyFont="1" applyFill="1" applyBorder="1"/>
    <xf numFmtId="43" fontId="0" fillId="0" borderId="10" xfId="2" applyFont="1" applyBorder="1"/>
    <xf numFmtId="172" fontId="2" fillId="0" borderId="0" xfId="2" applyNumberFormat="1" applyFont="1" applyBorder="1" applyAlignment="1">
      <alignment horizontal="center"/>
    </xf>
    <xf numFmtId="43" fontId="0" fillId="0" borderId="11" xfId="2" applyFont="1" applyBorder="1"/>
    <xf numFmtId="0" fontId="0" fillId="0" borderId="12" xfId="0" applyBorder="1" applyAlignment="1">
      <alignment horizontal="center"/>
    </xf>
    <xf numFmtId="0" fontId="4" fillId="0" borderId="12" xfId="0" applyFont="1" applyBorder="1"/>
    <xf numFmtId="172" fontId="2" fillId="0" borderId="12" xfId="0" applyNumberFormat="1" applyFont="1" applyBorder="1"/>
    <xf numFmtId="172" fontId="2" fillId="0" borderId="12" xfId="2" applyNumberFormat="1" applyFont="1" applyBorder="1" applyAlignment="1">
      <alignment horizontal="center"/>
    </xf>
    <xf numFmtId="43" fontId="1" fillId="0" borderId="9" xfId="2" applyFont="1" applyBorder="1" applyAlignment="1">
      <alignment horizontal="left"/>
    </xf>
    <xf numFmtId="0" fontId="4" fillId="0" borderId="0" xfId="0" applyFont="1" applyBorder="1"/>
    <xf numFmtId="172" fontId="2" fillId="0" borderId="0" xfId="0" applyNumberFormat="1" applyFont="1" applyBorder="1"/>
    <xf numFmtId="43" fontId="0" fillId="0" borderId="9" xfId="2" applyFont="1" applyBorder="1"/>
    <xf numFmtId="43" fontId="0" fillId="0" borderId="13" xfId="2" applyFont="1" applyBorder="1"/>
    <xf numFmtId="0" fontId="4" fillId="0" borderId="5" xfId="0" applyFont="1" applyBorder="1"/>
    <xf numFmtId="172" fontId="2" fillId="0" borderId="5" xfId="0" applyNumberFormat="1" applyFont="1" applyBorder="1"/>
    <xf numFmtId="172" fontId="2" fillId="0" borderId="5" xfId="2" applyNumberFormat="1" applyFont="1" applyBorder="1" applyAlignment="1">
      <alignment horizontal="center"/>
    </xf>
    <xf numFmtId="172" fontId="1" fillId="0" borderId="0" xfId="0" applyNumberFormat="1" applyFont="1" applyBorder="1" applyAlignment="1"/>
    <xf numFmtId="166" fontId="1" fillId="0" borderId="5" xfId="2" applyNumberFormat="1" applyFont="1" applyBorder="1"/>
    <xf numFmtId="166" fontId="1" fillId="0" borderId="0" xfId="2" applyNumberFormat="1" applyFont="1" applyBorder="1"/>
    <xf numFmtId="43" fontId="1" fillId="0" borderId="11" xfId="2" applyFont="1" applyBorder="1"/>
    <xf numFmtId="43" fontId="1" fillId="0" borderId="14" xfId="2" applyFont="1" applyBorder="1"/>
    <xf numFmtId="0" fontId="0" fillId="0" borderId="15" xfId="0" applyBorder="1" applyAlignment="1">
      <alignment horizontal="center"/>
    </xf>
    <xf numFmtId="2" fontId="6" fillId="0" borderId="0" xfId="0" applyNumberFormat="1" applyFont="1" applyBorder="1"/>
    <xf numFmtId="0" fontId="11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6" xfId="2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43" fontId="1" fillId="0" borderId="13" xfId="2" applyFont="1" applyBorder="1" applyAlignment="1">
      <alignment horizontal="left"/>
    </xf>
    <xf numFmtId="171" fontId="1" fillId="0" borderId="16" xfId="0" applyNumberFormat="1" applyFont="1" applyBorder="1" applyAlignment="1">
      <alignment horizontal="center"/>
    </xf>
    <xf numFmtId="43" fontId="0" fillId="0" borderId="6" xfId="2" applyFont="1" applyBorder="1"/>
    <xf numFmtId="171" fontId="0" fillId="0" borderId="10" xfId="2" applyNumberFormat="1" applyFont="1" applyBorder="1"/>
    <xf numFmtId="43" fontId="2" fillId="0" borderId="6" xfId="2" applyFont="1" applyBorder="1"/>
    <xf numFmtId="43" fontId="2" fillId="0" borderId="11" xfId="2" applyFont="1" applyBorder="1"/>
    <xf numFmtId="43" fontId="2" fillId="0" borderId="10" xfId="2" applyFont="1" applyBorder="1"/>
    <xf numFmtId="43" fontId="5" fillId="0" borderId="10" xfId="2" applyFont="1" applyBorder="1"/>
    <xf numFmtId="43" fontId="0" fillId="0" borderId="16" xfId="2" applyFont="1" applyBorder="1"/>
    <xf numFmtId="0" fontId="4" fillId="0" borderId="16" xfId="0" applyFont="1" applyBorder="1" applyAlignment="1">
      <alignment horizontal="center"/>
    </xf>
    <xf numFmtId="171" fontId="0" fillId="0" borderId="16" xfId="2" applyNumberFormat="1" applyFont="1" applyBorder="1"/>
    <xf numFmtId="171" fontId="0" fillId="0" borderId="8" xfId="2" applyNumberFormat="1" applyFont="1" applyBorder="1"/>
    <xf numFmtId="43" fontId="2" fillId="0" borderId="16" xfId="2" applyFont="1" applyBorder="1"/>
    <xf numFmtId="43" fontId="2" fillId="0" borderId="13" xfId="2" applyFont="1" applyBorder="1"/>
    <xf numFmtId="0" fontId="4" fillId="0" borderId="13" xfId="0" applyFont="1" applyBorder="1" applyAlignment="1">
      <alignment horizontal="center"/>
    </xf>
    <xf numFmtId="0" fontId="0" fillId="0" borderId="12" xfId="0" applyBorder="1"/>
    <xf numFmtId="0" fontId="0" fillId="0" borderId="17" xfId="0" applyBorder="1"/>
    <xf numFmtId="43" fontId="12" fillId="0" borderId="9" xfId="2" applyFont="1" applyBorder="1"/>
    <xf numFmtId="43" fontId="2" fillId="0" borderId="0" xfId="2" applyFont="1" applyFill="1" applyBorder="1"/>
    <xf numFmtId="43" fontId="10" fillId="3" borderId="9" xfId="2" applyFont="1" applyFill="1" applyBorder="1" applyAlignment="1">
      <alignment horizontal="center"/>
    </xf>
    <xf numFmtId="0" fontId="0" fillId="0" borderId="8" xfId="0" applyFill="1" applyBorder="1"/>
    <xf numFmtId="0" fontId="3" fillId="0" borderId="8" xfId="0" applyFont="1" applyBorder="1" applyAlignment="1">
      <alignment horizontal="center"/>
    </xf>
    <xf numFmtId="171" fontId="0" fillId="0" borderId="8" xfId="0" applyNumberFormat="1" applyBorder="1"/>
    <xf numFmtId="0" fontId="10" fillId="3" borderId="10" xfId="0" applyFont="1" applyFill="1" applyBorder="1" applyAlignment="1">
      <alignment horizontal="left"/>
    </xf>
    <xf numFmtId="0" fontId="10" fillId="3" borderId="9" xfId="0" applyFont="1" applyFill="1" applyBorder="1" applyAlignment="1">
      <alignment horizontal="center"/>
    </xf>
    <xf numFmtId="175" fontId="0" fillId="0" borderId="8" xfId="0" applyNumberFormat="1" applyBorder="1"/>
    <xf numFmtId="43" fontId="5" fillId="0" borderId="6" xfId="2" applyFont="1" applyBorder="1"/>
    <xf numFmtId="0" fontId="4" fillId="0" borderId="6" xfId="0" applyFont="1" applyBorder="1"/>
    <xf numFmtId="170" fontId="0" fillId="0" borderId="8" xfId="2" applyNumberFormat="1" applyFont="1" applyBorder="1"/>
    <xf numFmtId="170" fontId="0" fillId="0" borderId="7" xfId="2" applyNumberFormat="1" applyFont="1" applyBorder="1"/>
    <xf numFmtId="172" fontId="0" fillId="0" borderId="8" xfId="2" applyNumberFormat="1" applyFont="1" applyBorder="1"/>
    <xf numFmtId="10" fontId="0" fillId="0" borderId="8" xfId="13" applyNumberFormat="1" applyFont="1" applyBorder="1"/>
    <xf numFmtId="172" fontId="2" fillId="0" borderId="8" xfId="2" applyNumberFormat="1" applyFont="1" applyBorder="1" applyAlignment="1">
      <alignment horizontal="center"/>
    </xf>
    <xf numFmtId="172" fontId="2" fillId="0" borderId="17" xfId="2" applyNumberFormat="1" applyFont="1" applyBorder="1" applyAlignment="1">
      <alignment horizontal="center"/>
    </xf>
    <xf numFmtId="172" fontId="2" fillId="0" borderId="7" xfId="2" applyNumberFormat="1" applyFont="1" applyBorder="1" applyAlignment="1">
      <alignment horizontal="center"/>
    </xf>
    <xf numFmtId="0" fontId="4" fillId="0" borderId="7" xfId="0" applyFont="1" applyBorder="1"/>
    <xf numFmtId="43" fontId="1" fillId="0" borderId="8" xfId="2" applyFont="1" applyBorder="1"/>
    <xf numFmtId="172" fontId="1" fillId="0" borderId="12" xfId="0" applyNumberFormat="1" applyFont="1" applyBorder="1"/>
    <xf numFmtId="43" fontId="8" fillId="0" borderId="9" xfId="2" applyFont="1" applyBorder="1" applyAlignment="1">
      <alignment horizontal="left"/>
    </xf>
    <xf numFmtId="43" fontId="0" fillId="0" borderId="13" xfId="2" applyFont="1" applyBorder="1" applyAlignment="1">
      <alignment horizontal="centerContinuous"/>
    </xf>
    <xf numFmtId="0" fontId="2" fillId="3" borderId="6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left"/>
    </xf>
    <xf numFmtId="0" fontId="3" fillId="3" borderId="11" xfId="0" applyFont="1" applyFill="1" applyBorder="1"/>
    <xf numFmtId="0" fontId="3" fillId="3" borderId="0" xfId="0" applyFont="1" applyFill="1" applyBorder="1"/>
    <xf numFmtId="0" fontId="0" fillId="3" borderId="8" xfId="0" applyFill="1" applyBorder="1"/>
    <xf numFmtId="0" fontId="3" fillId="3" borderId="9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43" fontId="20" fillId="0" borderId="10" xfId="2" applyFont="1" applyFill="1" applyBorder="1" applyAlignment="1">
      <alignment horizontal="left"/>
    </xf>
    <xf numFmtId="43" fontId="0" fillId="0" borderId="9" xfId="2" applyFont="1" applyFill="1" applyBorder="1" applyAlignment="1">
      <alignment horizontal="center"/>
    </xf>
    <xf numFmtId="43" fontId="0" fillId="0" borderId="0" xfId="2" applyFont="1" applyFill="1" applyBorder="1" applyAlignment="1">
      <alignment horizontal="center"/>
    </xf>
    <xf numFmtId="43" fontId="10" fillId="0" borderId="10" xfId="2" applyFont="1" applyFill="1" applyBorder="1" applyAlignment="1">
      <alignment horizontal="left"/>
    </xf>
    <xf numFmtId="43" fontId="10" fillId="0" borderId="9" xfId="2" applyFont="1" applyFill="1" applyBorder="1" applyAlignment="1">
      <alignment horizontal="center"/>
    </xf>
    <xf numFmtId="43" fontId="17" fillId="0" borderId="9" xfId="2" applyFont="1" applyFill="1" applyBorder="1" applyAlignment="1">
      <alignment horizontal="center"/>
    </xf>
    <xf numFmtId="43" fontId="2" fillId="0" borderId="0" xfId="2" applyFont="1" applyFill="1" applyBorder="1" applyAlignment="1">
      <alignment horizontal="center"/>
    </xf>
    <xf numFmtId="43" fontId="20" fillId="3" borderId="10" xfId="2" applyFont="1" applyFill="1" applyBorder="1" applyAlignment="1">
      <alignment horizontal="left"/>
    </xf>
    <xf numFmtId="43" fontId="21" fillId="3" borderId="10" xfId="2" applyFont="1" applyFill="1" applyBorder="1" applyAlignment="1">
      <alignment horizontal="left"/>
    </xf>
    <xf numFmtId="43" fontId="2" fillId="3" borderId="0" xfId="2" applyNumberFormat="1" applyFont="1" applyFill="1" applyBorder="1" applyAlignment="1">
      <alignment horizontal="center"/>
    </xf>
    <xf numFmtId="43" fontId="10" fillId="0" borderId="10" xfId="2" applyFont="1" applyFill="1" applyBorder="1" applyAlignment="1">
      <alignment horizontal="center"/>
    </xf>
    <xf numFmtId="0" fontId="21" fillId="3" borderId="9" xfId="0" applyFont="1" applyFill="1" applyBorder="1" applyAlignment="1">
      <alignment horizontal="center"/>
    </xf>
    <xf numFmtId="169" fontId="2" fillId="3" borderId="0" xfId="2" applyNumberFormat="1" applyFont="1" applyFill="1" applyBorder="1" applyAlignment="1">
      <alignment horizontal="center"/>
    </xf>
    <xf numFmtId="168" fontId="2" fillId="0" borderId="0" xfId="2" applyNumberFormat="1" applyFont="1" applyFill="1" applyBorder="1"/>
    <xf numFmtId="43" fontId="21" fillId="3" borderId="9" xfId="2" applyFont="1" applyFill="1" applyBorder="1" applyAlignment="1">
      <alignment horizontal="center"/>
    </xf>
    <xf numFmtId="0" fontId="20" fillId="3" borderId="10" xfId="0" applyFont="1" applyFill="1" applyBorder="1" applyAlignment="1">
      <alignment horizontal="left"/>
    </xf>
    <xf numFmtId="0" fontId="1" fillId="3" borderId="9" xfId="0" applyFont="1" applyFill="1" applyBorder="1" applyAlignment="1">
      <alignment horizontal="center"/>
    </xf>
    <xf numFmtId="0" fontId="20" fillId="0" borderId="10" xfId="0" applyFont="1" applyFill="1" applyBorder="1" applyAlignment="1">
      <alignment horizontal="left"/>
    </xf>
    <xf numFmtId="0" fontId="0" fillId="0" borderId="9" xfId="0" applyFill="1" applyBorder="1" applyAlignment="1">
      <alignment horizontal="center"/>
    </xf>
    <xf numFmtId="172" fontId="2" fillId="0" borderId="0" xfId="2" applyNumberFormat="1" applyFont="1" applyFill="1" applyBorder="1"/>
    <xf numFmtId="0" fontId="0" fillId="0" borderId="10" xfId="0" applyFill="1" applyBorder="1" applyAlignment="1">
      <alignment horizontal="left"/>
    </xf>
    <xf numFmtId="0" fontId="10" fillId="0" borderId="10" xfId="0" applyFont="1" applyFill="1" applyBorder="1" applyAlignment="1">
      <alignment horizontal="left"/>
    </xf>
    <xf numFmtId="0" fontId="10" fillId="0" borderId="9" xfId="0" applyFont="1" applyFill="1" applyBorder="1"/>
    <xf numFmtId="170" fontId="9" fillId="0" borderId="9" xfId="2" applyNumberFormat="1" applyFont="1" applyFill="1" applyBorder="1"/>
    <xf numFmtId="0" fontId="4" fillId="0" borderId="9" xfId="0" applyFont="1" applyFill="1" applyBorder="1"/>
    <xf numFmtId="172" fontId="9" fillId="0" borderId="9" xfId="2" applyNumberFormat="1" applyFont="1" applyFill="1" applyBorder="1"/>
    <xf numFmtId="0" fontId="4" fillId="0" borderId="0" xfId="0" applyFont="1" applyBorder="1" applyAlignment="1">
      <alignment horizontal="left"/>
    </xf>
    <xf numFmtId="173" fontId="6" fillId="0" borderId="0" xfId="0" applyNumberFormat="1" applyFont="1" applyBorder="1"/>
    <xf numFmtId="0" fontId="10" fillId="0" borderId="10" xfId="0" applyFont="1" applyBorder="1" applyAlignment="1">
      <alignment horizontal="center"/>
    </xf>
    <xf numFmtId="173" fontId="5" fillId="0" borderId="0" xfId="0" applyNumberFormat="1" applyFont="1" applyBorder="1"/>
    <xf numFmtId="0" fontId="5" fillId="0" borderId="10" xfId="0" applyFont="1" applyBorder="1" applyAlignment="1">
      <alignment horizontal="left"/>
    </xf>
    <xf numFmtId="43" fontId="2" fillId="0" borderId="10" xfId="2" quotePrefix="1" applyFont="1" applyBorder="1"/>
    <xf numFmtId="43" fontId="1" fillId="0" borderId="16" xfId="2" applyFont="1" applyBorder="1"/>
    <xf numFmtId="0" fontId="11" fillId="0" borderId="11" xfId="0" applyFont="1" applyBorder="1" applyAlignment="1">
      <alignment horizontal="center"/>
    </xf>
    <xf numFmtId="171" fontId="0" fillId="0" borderId="6" xfId="2" applyNumberFormat="1" applyFont="1" applyBorder="1"/>
    <xf numFmtId="170" fontId="1" fillId="0" borderId="7" xfId="2" applyNumberFormat="1" applyFont="1" applyBorder="1"/>
    <xf numFmtId="170" fontId="1" fillId="0" borderId="17" xfId="2" applyNumberFormat="1" applyFont="1" applyBorder="1"/>
    <xf numFmtId="0" fontId="1" fillId="0" borderId="12" xfId="0" applyFont="1" applyBorder="1"/>
    <xf numFmtId="188" fontId="13" fillId="0" borderId="0" xfId="0" applyNumberFormat="1" applyFont="1" applyBorder="1"/>
    <xf numFmtId="0" fontId="0" fillId="0" borderId="11" xfId="0" applyBorder="1"/>
    <xf numFmtId="43" fontId="1" fillId="0" borderId="5" xfId="2" applyFont="1" applyBorder="1" applyAlignment="1">
      <alignment horizontal="left"/>
    </xf>
    <xf numFmtId="15" fontId="10" fillId="0" borderId="10" xfId="2" applyNumberFormat="1" applyFont="1" applyFill="1" applyBorder="1" applyAlignment="1">
      <alignment horizontal="left"/>
    </xf>
    <xf numFmtId="43" fontId="21" fillId="0" borderId="9" xfId="2" applyFont="1" applyFill="1" applyBorder="1" applyAlignment="1">
      <alignment horizontal="center"/>
    </xf>
    <xf numFmtId="0" fontId="21" fillId="0" borderId="9" xfId="0" applyFont="1" applyFill="1" applyBorder="1" applyAlignment="1">
      <alignment horizontal="center"/>
    </xf>
    <xf numFmtId="43" fontId="7" fillId="3" borderId="9" xfId="2" applyFont="1" applyFill="1" applyBorder="1"/>
    <xf numFmtId="0" fontId="22" fillId="6" borderId="18" xfId="0" applyFont="1" applyFill="1" applyBorder="1"/>
    <xf numFmtId="0" fontId="22" fillId="6" borderId="19" xfId="0" applyFont="1" applyFill="1" applyBorder="1"/>
    <xf numFmtId="0" fontId="0" fillId="3" borderId="3" xfId="0" applyFill="1" applyBorder="1"/>
    <xf numFmtId="0" fontId="0" fillId="3" borderId="14" xfId="0" applyFill="1" applyBorder="1"/>
    <xf numFmtId="0" fontId="22" fillId="6" borderId="20" xfId="0" applyFont="1" applyFill="1" applyBorder="1"/>
    <xf numFmtId="0" fontId="0" fillId="0" borderId="0" xfId="0" applyFill="1" applyBorder="1" applyAlignment="1"/>
    <xf numFmtId="0" fontId="0" fillId="0" borderId="0" xfId="2" applyNumberFormat="1" applyFont="1" applyFill="1" applyBorder="1" applyAlignment="1"/>
    <xf numFmtId="165" fontId="9" fillId="3" borderId="9" xfId="2" applyNumberFormat="1" applyFont="1" applyFill="1" applyBorder="1"/>
    <xf numFmtId="43" fontId="17" fillId="3" borderId="9" xfId="2" applyFont="1" applyFill="1" applyBorder="1" applyAlignment="1">
      <alignment horizontal="center"/>
    </xf>
    <xf numFmtId="0" fontId="23" fillId="0" borderId="10" xfId="0" applyFont="1" applyFill="1" applyBorder="1" applyAlignment="1">
      <alignment horizontal="left"/>
    </xf>
    <xf numFmtId="165" fontId="17" fillId="3" borderId="9" xfId="2" applyNumberFormat="1" applyFont="1" applyFill="1" applyBorder="1" applyAlignment="1">
      <alignment horizontal="right"/>
    </xf>
    <xf numFmtId="165" fontId="17" fillId="0" borderId="9" xfId="2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quotePrefix="1"/>
    <xf numFmtId="0" fontId="0" fillId="7" borderId="0" xfId="0" applyFill="1"/>
    <xf numFmtId="2" fontId="14" fillId="0" borderId="0" xfId="0" applyNumberFormat="1" applyFont="1" applyFill="1" applyBorder="1"/>
    <xf numFmtId="2" fontId="6" fillId="0" borderId="0" xfId="0" applyNumberFormat="1" applyFont="1" applyFill="1" applyBorder="1"/>
    <xf numFmtId="43" fontId="14" fillId="0" borderId="0" xfId="2" applyFont="1" applyFill="1" applyBorder="1"/>
    <xf numFmtId="43" fontId="6" fillId="0" borderId="0" xfId="2" applyFont="1" applyFill="1" applyBorder="1"/>
    <xf numFmtId="0" fontId="10" fillId="0" borderId="6" xfId="0" applyFont="1" applyFill="1" applyBorder="1" applyAlignment="1">
      <alignment horizontal="center"/>
    </xf>
    <xf numFmtId="0" fontId="10" fillId="0" borderId="10" xfId="0" applyNumberFormat="1" applyFont="1" applyFill="1" applyBorder="1" applyAlignment="1">
      <alignment horizontal="center"/>
    </xf>
    <xf numFmtId="15" fontId="10" fillId="0" borderId="10" xfId="0" applyNumberFormat="1" applyFont="1" applyFill="1" applyBorder="1" applyAlignment="1">
      <alignment horizontal="center"/>
    </xf>
    <xf numFmtId="0" fontId="21" fillId="0" borderId="10" xfId="0" applyNumberFormat="1" applyFont="1" applyFill="1" applyBorder="1" applyAlignment="1">
      <alignment horizontal="center"/>
    </xf>
    <xf numFmtId="191" fontId="17" fillId="3" borderId="9" xfId="2" applyNumberFormat="1" applyFont="1" applyFill="1" applyBorder="1" applyAlignment="1">
      <alignment horizontal="right"/>
    </xf>
    <xf numFmtId="39" fontId="17" fillId="0" borderId="9" xfId="2" applyNumberFormat="1" applyFont="1" applyFill="1" applyBorder="1" applyAlignment="1">
      <alignment horizontal="right"/>
    </xf>
    <xf numFmtId="172" fontId="9" fillId="3" borderId="9" xfId="2" applyNumberFormat="1" applyFont="1" applyFill="1" applyBorder="1"/>
    <xf numFmtId="15" fontId="9" fillId="8" borderId="0" xfId="0" applyNumberFormat="1" applyFont="1" applyFill="1" applyBorder="1" applyAlignment="1">
      <alignment horizontal="left"/>
    </xf>
    <xf numFmtId="15" fontId="0" fillId="8" borderId="0" xfId="0" applyNumberFormat="1" applyFill="1" applyBorder="1" applyAlignment="1">
      <alignment horizontal="left"/>
    </xf>
    <xf numFmtId="0" fontId="0" fillId="8" borderId="0" xfId="0" applyFill="1" applyBorder="1"/>
    <xf numFmtId="15" fontId="0" fillId="8" borderId="0" xfId="0" applyNumberFormat="1" applyFill="1" applyBorder="1"/>
    <xf numFmtId="0" fontId="0" fillId="8" borderId="0" xfId="0" applyFill="1" applyBorder="1" applyAlignment="1">
      <alignment horizontal="centerContinuous"/>
    </xf>
    <xf numFmtId="0" fontId="2" fillId="0" borderId="16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8" borderId="21" xfId="0" applyFill="1" applyBorder="1" applyAlignment="1">
      <alignment horizontal="centerContinuous"/>
    </xf>
    <xf numFmtId="0" fontId="0" fillId="8" borderId="19" xfId="0" applyFill="1" applyBorder="1" applyAlignment="1">
      <alignment horizontal="centerContinuous"/>
    </xf>
    <xf numFmtId="15" fontId="0" fillId="8" borderId="22" xfId="0" applyNumberFormat="1" applyFill="1" applyBorder="1" applyAlignment="1">
      <alignment horizontal="left"/>
    </xf>
    <xf numFmtId="15" fontId="0" fillId="8" borderId="22" xfId="0" applyNumberFormat="1" applyFill="1" applyBorder="1"/>
    <xf numFmtId="0" fontId="0" fillId="8" borderId="22" xfId="0" applyFill="1" applyBorder="1"/>
    <xf numFmtId="15" fontId="0" fillId="8" borderId="23" xfId="0" applyNumberFormat="1" applyFill="1" applyBorder="1" applyAlignment="1">
      <alignment horizontal="left"/>
    </xf>
    <xf numFmtId="43" fontId="0" fillId="8" borderId="23" xfId="2" applyFont="1" applyFill="1" applyBorder="1"/>
    <xf numFmtId="0" fontId="0" fillId="8" borderId="23" xfId="0" applyFill="1" applyBorder="1"/>
    <xf numFmtId="0" fontId="0" fillId="8" borderId="20" xfId="0" applyFill="1" applyBorder="1"/>
    <xf numFmtId="43" fontId="0" fillId="8" borderId="21" xfId="2" applyFont="1" applyFill="1" applyBorder="1" applyAlignment="1">
      <alignment horizontal="centerContinuous"/>
    </xf>
    <xf numFmtId="0" fontId="0" fillId="8" borderId="21" xfId="0" applyFill="1" applyBorder="1"/>
    <xf numFmtId="0" fontId="0" fillId="8" borderId="22" xfId="0" applyFill="1" applyBorder="1" applyAlignment="1">
      <alignment horizontal="centerContinuous"/>
    </xf>
    <xf numFmtId="43" fontId="0" fillId="0" borderId="9" xfId="2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43" fontId="0" fillId="0" borderId="0" xfId="2" applyFont="1" applyFill="1" applyBorder="1" applyAlignment="1">
      <alignment horizontal="centerContinuous"/>
    </xf>
    <xf numFmtId="0" fontId="0" fillId="0" borderId="0" xfId="0" applyFill="1" applyBorder="1"/>
    <xf numFmtId="0" fontId="7" fillId="0" borderId="5" xfId="0" applyFont="1" applyBorder="1"/>
    <xf numFmtId="169" fontId="17" fillId="3" borderId="9" xfId="2" applyNumberFormat="1" applyFont="1" applyFill="1" applyBorder="1" applyAlignment="1">
      <alignment horizontal="center"/>
    </xf>
    <xf numFmtId="169" fontId="17" fillId="0" borderId="9" xfId="2" applyNumberFormat="1" applyFont="1" applyFill="1" applyBorder="1" applyAlignment="1">
      <alignment horizontal="center"/>
    </xf>
    <xf numFmtId="169" fontId="2" fillId="0" borderId="0" xfId="2" applyNumberFormat="1" applyFont="1" applyFill="1" applyBorder="1" applyAlignment="1">
      <alignment horizontal="center"/>
    </xf>
    <xf numFmtId="169" fontId="2" fillId="0" borderId="0" xfId="2" applyNumberFormat="1" applyFont="1" applyFill="1" applyBorder="1"/>
    <xf numFmtId="169" fontId="17" fillId="3" borderId="9" xfId="2" applyNumberFormat="1" applyFont="1" applyFill="1" applyBorder="1" applyAlignment="1">
      <alignment horizontal="right"/>
    </xf>
    <xf numFmtId="169" fontId="17" fillId="0" borderId="9" xfId="2" applyNumberFormat="1" applyFont="1" applyFill="1" applyBorder="1" applyAlignment="1">
      <alignment horizontal="right"/>
    </xf>
    <xf numFmtId="43" fontId="17" fillId="3" borderId="9" xfId="2" applyNumberFormat="1" applyFont="1" applyFill="1" applyBorder="1" applyAlignment="1">
      <alignment horizontal="center"/>
    </xf>
    <xf numFmtId="43" fontId="17" fillId="0" borderId="9" xfId="2" applyNumberFormat="1" applyFont="1" applyFill="1" applyBorder="1" applyAlignment="1">
      <alignment horizontal="center"/>
    </xf>
    <xf numFmtId="43" fontId="2" fillId="0" borderId="0" xfId="2" applyNumberFormat="1" applyFont="1" applyFill="1" applyBorder="1" applyAlignment="1">
      <alignment horizontal="center"/>
    </xf>
    <xf numFmtId="43" fontId="2" fillId="0" borderId="0" xfId="2" applyNumberFormat="1" applyFont="1" applyFill="1" applyBorder="1"/>
    <xf numFmtId="43" fontId="17" fillId="3" borderId="9" xfId="2" applyNumberFormat="1" applyFont="1" applyFill="1" applyBorder="1" applyAlignment="1">
      <alignment horizontal="right"/>
    </xf>
    <xf numFmtId="43" fontId="0" fillId="0" borderId="0" xfId="0" applyNumberFormat="1" applyBorder="1"/>
    <xf numFmtId="0" fontId="25" fillId="0" borderId="6" xfId="0" applyFont="1" applyBorder="1"/>
    <xf numFmtId="171" fontId="25" fillId="0" borderId="16" xfId="0" applyNumberFormat="1" applyFont="1" applyBorder="1" applyAlignment="1">
      <alignment horizontal="center"/>
    </xf>
    <xf numFmtId="43" fontId="26" fillId="0" borderId="10" xfId="2" applyFont="1" applyBorder="1"/>
    <xf numFmtId="43" fontId="27" fillId="8" borderId="0" xfId="0" applyNumberFormat="1" applyFont="1" applyFill="1" applyBorder="1" applyAlignment="1">
      <alignment vertical="center"/>
    </xf>
    <xf numFmtId="0" fontId="0" fillId="0" borderId="12" xfId="0" applyBorder="1" applyAlignment="1">
      <alignment horizontal="centerContinuous"/>
    </xf>
    <xf numFmtId="43" fontId="25" fillId="9" borderId="24" xfId="2" applyFont="1" applyFill="1" applyBorder="1" applyAlignment="1">
      <alignment horizontal="center"/>
    </xf>
    <xf numFmtId="0" fontId="2" fillId="8" borderId="9" xfId="0" applyFont="1" applyFill="1" applyBorder="1" applyAlignment="1">
      <alignment horizontal="left" vertical="center"/>
    </xf>
    <xf numFmtId="15" fontId="0" fillId="8" borderId="9" xfId="0" applyNumberFormat="1" applyFill="1" applyBorder="1" applyAlignment="1">
      <alignment horizontal="left" vertical="center"/>
    </xf>
    <xf numFmtId="15" fontId="2" fillId="8" borderId="25" xfId="0" applyNumberFormat="1" applyFont="1" applyFill="1" applyBorder="1"/>
    <xf numFmtId="0" fontId="0" fillId="0" borderId="9" xfId="0" applyBorder="1"/>
    <xf numFmtId="0" fontId="9" fillId="0" borderId="26" xfId="0" applyNumberFormat="1" applyFont="1" applyFill="1" applyBorder="1" applyAlignment="1">
      <alignment horizontal="center" vertical="center"/>
    </xf>
    <xf numFmtId="9" fontId="9" fillId="0" borderId="26" xfId="13" applyFont="1" applyFill="1" applyBorder="1" applyAlignment="1">
      <alignment horizontal="center" vertical="center"/>
    </xf>
    <xf numFmtId="43" fontId="2" fillId="5" borderId="9" xfId="2" applyFont="1" applyFill="1" applyBorder="1"/>
    <xf numFmtId="0" fontId="4" fillId="5" borderId="9" xfId="0" applyFont="1" applyFill="1" applyBorder="1" applyAlignment="1">
      <alignment horizontal="center"/>
    </xf>
    <xf numFmtId="171" fontId="2" fillId="5" borderId="10" xfId="0" applyNumberFormat="1" applyFont="1" applyFill="1" applyBorder="1"/>
    <xf numFmtId="170" fontId="1" fillId="5" borderId="17" xfId="2" applyNumberFormat="1" applyFont="1" applyFill="1" applyBorder="1"/>
    <xf numFmtId="164" fontId="10" fillId="0" borderId="10" xfId="0" applyNumberFormat="1" applyFont="1" applyFill="1" applyBorder="1" applyAlignment="1">
      <alignment horizontal="center"/>
    </xf>
    <xf numFmtId="1" fontId="10" fillId="0" borderId="10" xfId="0" applyNumberFormat="1" applyFont="1" applyFill="1" applyBorder="1" applyAlignment="1">
      <alignment horizontal="center"/>
    </xf>
    <xf numFmtId="43" fontId="24" fillId="0" borderId="11" xfId="2" applyFont="1" applyFill="1" applyBorder="1" applyAlignment="1">
      <alignment horizontal="center"/>
    </xf>
    <xf numFmtId="43" fontId="24" fillId="0" borderId="12" xfId="2" applyFont="1" applyFill="1" applyBorder="1" applyAlignment="1">
      <alignment horizontal="center"/>
    </xf>
    <xf numFmtId="0" fontId="25" fillId="3" borderId="14" xfId="0" applyFont="1" applyFill="1" applyBorder="1" applyAlignment="1">
      <alignment horizontal="center"/>
    </xf>
    <xf numFmtId="0" fontId="25" fillId="3" borderId="27" xfId="0" applyFont="1" applyFill="1" applyBorder="1" applyAlignment="1">
      <alignment horizontal="center"/>
    </xf>
    <xf numFmtId="0" fontId="25" fillId="3" borderId="15" xfId="0" applyFont="1" applyFill="1" applyBorder="1" applyAlignment="1">
      <alignment horizontal="center"/>
    </xf>
  </cellXfs>
  <cellStyles count="19">
    <cellStyle name="Actual Date" xfId="1"/>
    <cellStyle name="Comma" xfId="2" builtinId="3"/>
    <cellStyle name="Date" xfId="3"/>
    <cellStyle name="Fixed" xfId="4"/>
    <cellStyle name="Grey" xfId="5"/>
    <cellStyle name="HEADER" xfId="6"/>
    <cellStyle name="Heading1" xfId="7"/>
    <cellStyle name="Heading2" xfId="8"/>
    <cellStyle name="HIGHLIGHT" xfId="9"/>
    <cellStyle name="Input [yellow]" xfId="10"/>
    <cellStyle name="no dec" xfId="11"/>
    <cellStyle name="Normal" xfId="0" builtinId="0"/>
    <cellStyle name="Normal - Style1" xfId="12"/>
    <cellStyle name="Percent" xfId="13" builtinId="5"/>
    <cellStyle name="Percent [2]" xfId="14"/>
    <cellStyle name="Total" xfId="15" builtinId="25" customBuiltin="1"/>
    <cellStyle name="Unprot" xfId="16"/>
    <cellStyle name="Unprot$" xfId="17"/>
    <cellStyle name="Unprotect" xfId="1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0" dropStyle="combo" dx="22" fmlaLink="$V$8" fmlaRange="$T$9:$T$16" sel="2" val="0"/>
</file>

<file path=xl/ctrlProps/ctrlProp2.xml><?xml version="1.0" encoding="utf-8"?>
<formControlPr xmlns="http://schemas.microsoft.com/office/spreadsheetml/2009/9/main" objectType="Drop" dropLines="10" dropStyle="combo" dx="22" fmlaLink="$AA$8" fmlaRange="$Y$9:$Y$12" sel="2" val="0"/>
</file>

<file path=xl/ctrlProps/ctrlProp3.xml><?xml version="1.0" encoding="utf-8"?>
<formControlPr xmlns="http://schemas.microsoft.com/office/spreadsheetml/2009/9/main" objectType="Drop" dropLines="10" dropStyle="combo" dx="22" fmlaLink="$AF$8" fmlaRange="$AD$9:$AD$11" sel="3" val="0"/>
</file>

<file path=xl/ctrlProps/ctrlProp4.xml><?xml version="1.0" encoding="utf-8"?>
<formControlPr xmlns="http://schemas.microsoft.com/office/spreadsheetml/2009/9/main" objectType="Drop" dropLines="20" dropStyle="combo" dx="22" fmlaLink="$AK$8" fmlaRange="$AI$9:$AI$18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180975</xdr:rowOff>
        </xdr:from>
        <xdr:to>
          <xdr:col>3</xdr:col>
          <xdr:colOff>0</xdr:colOff>
          <xdr:row>8</xdr:row>
          <xdr:rowOff>200025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79F75F3-2585-9446-A27C-58D023E260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9</xdr:row>
          <xdr:rowOff>9525</xdr:rowOff>
        </xdr:from>
        <xdr:to>
          <xdr:col>3</xdr:col>
          <xdr:colOff>0</xdr:colOff>
          <xdr:row>9</xdr:row>
          <xdr:rowOff>209550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FD98B80C-50BB-A439-CF70-5C10E78F6F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0</xdr:rowOff>
        </xdr:from>
        <xdr:to>
          <xdr:col>3</xdr:col>
          <xdr:colOff>0</xdr:colOff>
          <xdr:row>10</xdr:row>
          <xdr:rowOff>200025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6C9C16A-D638-8451-8C5D-17E3D5174A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0</xdr:rowOff>
        </xdr:from>
        <xdr:to>
          <xdr:col>3</xdr:col>
          <xdr:colOff>0</xdr:colOff>
          <xdr:row>11</xdr:row>
          <xdr:rowOff>200025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59D7515F-6F25-95CE-2570-49033BA985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U270"/>
  <sheetViews>
    <sheetView tabSelected="1" topLeftCell="A6" zoomScale="75" workbookViewId="0">
      <selection activeCell="A6" sqref="A6:H6"/>
    </sheetView>
  </sheetViews>
  <sheetFormatPr defaultRowHeight="12.75"/>
  <cols>
    <col min="1" max="1" width="28.42578125" style="3" customWidth="1"/>
    <col min="2" max="2" width="15.42578125" style="3" customWidth="1"/>
    <col min="3" max="3" width="16.42578125" style="3" customWidth="1"/>
    <col min="4" max="8" width="14.7109375" style="3" customWidth="1"/>
    <col min="9" max="14" width="12.28515625" style="3" hidden="1" customWidth="1"/>
    <col min="15" max="15" width="3.85546875" style="3" customWidth="1"/>
    <col min="16" max="19" width="9.7109375" style="3" hidden="1" customWidth="1"/>
    <col min="20" max="20" width="14.28515625" style="3" hidden="1" customWidth="1"/>
    <col min="21" max="21" width="11.140625" style="3" hidden="1" customWidth="1"/>
    <col min="22" max="34" width="9.7109375" style="3" hidden="1" customWidth="1"/>
    <col min="35" max="35" width="31.85546875" style="3" hidden="1" customWidth="1"/>
    <col min="36" max="36" width="8.140625" style="3" hidden="1" customWidth="1"/>
    <col min="37" max="37" width="0.140625" style="3" hidden="1" customWidth="1"/>
    <col min="38" max="38" width="6.85546875" style="3" hidden="1" customWidth="1"/>
    <col min="39" max="16384" width="9.140625" style="3"/>
  </cols>
  <sheetData>
    <row r="1" spans="1:47" ht="3.95" hidden="1" customHeight="1">
      <c r="A1" s="18"/>
      <c r="B1" s="14"/>
      <c r="C1" s="18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AU1" s="3">
        <v>1</v>
      </c>
    </row>
    <row r="2" spans="1:47" ht="5.0999999999999996" hidden="1" customHeight="1">
      <c r="A2" s="39"/>
      <c r="C2" s="1"/>
      <c r="O2" s="19"/>
    </row>
    <row r="3" spans="1:47" hidden="1">
      <c r="A3" s="101" t="s">
        <v>29</v>
      </c>
      <c r="B3" s="8"/>
      <c r="C3" s="13"/>
      <c r="D3" s="9"/>
      <c r="E3" s="9"/>
      <c r="F3" s="9"/>
      <c r="G3" s="9"/>
      <c r="H3" s="9"/>
      <c r="I3" s="9"/>
      <c r="J3" s="9"/>
      <c r="K3" s="9"/>
      <c r="L3" s="20" t="s">
        <v>30</v>
      </c>
      <c r="O3" s="19"/>
    </row>
    <row r="4" spans="1:47" hidden="1">
      <c r="A4" s="101"/>
      <c r="B4" s="8"/>
      <c r="C4" s="10"/>
      <c r="D4" s="9"/>
      <c r="E4" s="9"/>
      <c r="F4" s="9"/>
      <c r="G4" s="9"/>
      <c r="H4" s="9"/>
      <c r="I4" s="9"/>
      <c r="J4" s="9"/>
      <c r="K4" s="9"/>
      <c r="L4" s="21" t="s">
        <v>31</v>
      </c>
      <c r="O4" s="19"/>
    </row>
    <row r="5" spans="1:47" hidden="1">
      <c r="A5" s="102"/>
      <c r="B5" s="12"/>
      <c r="C5" s="22"/>
      <c r="D5" s="12"/>
      <c r="E5" s="14"/>
      <c r="F5" s="12"/>
      <c r="G5" s="12"/>
      <c r="H5" s="12"/>
      <c r="I5" s="12"/>
      <c r="J5" s="12"/>
      <c r="K5" s="12"/>
      <c r="L5" s="12"/>
      <c r="M5" s="12"/>
      <c r="N5" s="12"/>
      <c r="O5" s="17"/>
    </row>
    <row r="6" spans="1:47" ht="15.75">
      <c r="A6" s="238" t="s">
        <v>102</v>
      </c>
      <c r="B6" s="239"/>
      <c r="C6" s="239"/>
      <c r="D6" s="239"/>
      <c r="E6" s="239"/>
      <c r="F6" s="239"/>
      <c r="G6" s="239"/>
      <c r="H6" s="239"/>
      <c r="I6" s="224"/>
      <c r="J6" s="224"/>
      <c r="K6" s="224"/>
      <c r="L6" s="224"/>
      <c r="M6" s="224"/>
      <c r="N6" s="224"/>
      <c r="O6" s="79"/>
    </row>
    <row r="7" spans="1:47" ht="13.5" thickBot="1">
      <c r="A7" s="203"/>
      <c r="B7" s="204"/>
      <c r="C7" s="205"/>
      <c r="D7" s="204"/>
      <c r="E7" s="206"/>
      <c r="F7" s="204"/>
      <c r="G7" s="204"/>
      <c r="H7" s="204"/>
      <c r="I7" s="8"/>
      <c r="J7" s="8"/>
      <c r="K7" s="8"/>
      <c r="L7" s="8"/>
      <c r="M7" s="8"/>
      <c r="N7" s="8"/>
      <c r="O7" s="19"/>
    </row>
    <row r="8" spans="1:47" ht="13.5" thickBot="1">
      <c r="A8" s="225" t="s">
        <v>98</v>
      </c>
      <c r="B8" s="191"/>
      <c r="C8" s="200"/>
      <c r="D8" s="191"/>
      <c r="E8" s="201"/>
      <c r="F8" s="191"/>
      <c r="G8" s="191"/>
      <c r="H8" s="192"/>
      <c r="I8" s="8"/>
      <c r="J8" s="8"/>
      <c r="K8" s="8"/>
      <c r="L8" s="8"/>
      <c r="M8" s="8"/>
      <c r="N8" s="8"/>
      <c r="O8" s="19"/>
      <c r="Q8" s="3" t="s">
        <v>60</v>
      </c>
      <c r="T8" s="160" t="s">
        <v>67</v>
      </c>
      <c r="U8" s="161" t="s">
        <v>68</v>
      </c>
      <c r="V8" s="158">
        <v>2</v>
      </c>
      <c r="W8" s="159">
        <f>INDEX(U9:U16,V8,1)</f>
        <v>2</v>
      </c>
      <c r="Y8" s="160" t="s">
        <v>58</v>
      </c>
      <c r="Z8" s="161" t="s">
        <v>68</v>
      </c>
      <c r="AA8" s="158">
        <v>2</v>
      </c>
      <c r="AB8" s="159">
        <f>INDEX(Z9:Z15,AA8,1)</f>
        <v>2</v>
      </c>
      <c r="AD8" s="160" t="s">
        <v>90</v>
      </c>
      <c r="AE8" s="161" t="s">
        <v>68</v>
      </c>
      <c r="AF8" s="158">
        <v>3</v>
      </c>
      <c r="AG8" s="159">
        <f>INDEX(AE9:AE11,AF8,1)</f>
        <v>3</v>
      </c>
      <c r="AI8" s="160" t="s">
        <v>67</v>
      </c>
      <c r="AJ8" s="161" t="s">
        <v>68</v>
      </c>
      <c r="AK8" s="158">
        <v>2</v>
      </c>
      <c r="AL8" s="159">
        <f>INDEX(AJ9:AJ20,AK8,1)</f>
        <v>2</v>
      </c>
    </row>
    <row r="9" spans="1:47" ht="17.25" customHeight="1" thickBot="1">
      <c r="A9" s="226" t="s">
        <v>57</v>
      </c>
      <c r="B9" s="187"/>
      <c r="C9" s="184"/>
      <c r="D9" s="188"/>
      <c r="E9" s="188"/>
      <c r="F9" s="188"/>
      <c r="G9" s="188"/>
      <c r="H9" s="202"/>
      <c r="I9" s="8"/>
      <c r="J9" s="8"/>
      <c r="K9" s="8"/>
      <c r="L9" s="8"/>
      <c r="M9" s="8"/>
      <c r="N9" s="8"/>
      <c r="O9" s="19"/>
      <c r="Q9" s="3" t="s">
        <v>61</v>
      </c>
      <c r="T9"/>
      <c r="U9">
        <v>1</v>
      </c>
      <c r="V9" s="159" t="str">
        <f>INDEX(T9:T16,V8,1)</f>
        <v>CPL</v>
      </c>
      <c r="W9" s="162"/>
      <c r="Y9"/>
      <c r="Z9">
        <v>1</v>
      </c>
      <c r="AA9" s="159" t="str">
        <f>INDEX(Y9:Y12,AA8,1)</f>
        <v>Secondary</v>
      </c>
      <c r="AB9" s="162"/>
      <c r="AD9"/>
      <c r="AE9">
        <v>1</v>
      </c>
      <c r="AF9" s="159" t="str">
        <f>INDEX(AD9:AD11,AF8,1)</f>
        <v>No</v>
      </c>
      <c r="AG9" s="162"/>
      <c r="AI9" t="s">
        <v>101</v>
      </c>
      <c r="AJ9">
        <v>1</v>
      </c>
      <c r="AK9" s="159" t="str">
        <f>INDEX(AI9:AI20,AK8,1)</f>
        <v>CPL-Commercial and Small Industrial</v>
      </c>
      <c r="AL9" s="162"/>
    </row>
    <row r="10" spans="1:47" ht="19.5" customHeight="1">
      <c r="A10" s="227" t="s">
        <v>106</v>
      </c>
      <c r="B10" s="184"/>
      <c r="C10" s="184"/>
      <c r="D10" s="184"/>
      <c r="E10" s="185"/>
      <c r="F10" s="185"/>
      <c r="G10" s="185"/>
      <c r="H10" s="193"/>
      <c r="I10" s="23"/>
      <c r="J10" s="5"/>
      <c r="K10" s="5"/>
      <c r="L10" s="5"/>
      <c r="M10" s="5"/>
      <c r="N10" s="5"/>
      <c r="O10" s="19"/>
      <c r="Q10" s="3" t="s">
        <v>62</v>
      </c>
      <c r="T10" s="3" t="s">
        <v>60</v>
      </c>
      <c r="U10">
        <v>2</v>
      </c>
      <c r="W10"/>
      <c r="Y10" s="3" t="s">
        <v>19</v>
      </c>
      <c r="Z10">
        <v>2</v>
      </c>
      <c r="AB10"/>
      <c r="AD10" s="3" t="s">
        <v>69</v>
      </c>
      <c r="AE10">
        <v>2</v>
      </c>
      <c r="AG10"/>
      <c r="AI10" s="163" t="s">
        <v>70</v>
      </c>
      <c r="AJ10">
        <v>2</v>
      </c>
      <c r="AL10"/>
    </row>
    <row r="11" spans="1:47" ht="18.75" customHeight="1">
      <c r="A11" s="227" t="s">
        <v>112</v>
      </c>
      <c r="B11" s="184"/>
      <c r="C11" s="186"/>
      <c r="D11" s="223"/>
      <c r="E11" s="187"/>
      <c r="F11" s="187"/>
      <c r="G11" s="186"/>
      <c r="H11" s="194"/>
      <c r="I11" s="5"/>
      <c r="J11" s="5"/>
      <c r="K11" s="5"/>
      <c r="L11" s="5"/>
      <c r="M11" s="5"/>
      <c r="N11" s="5"/>
      <c r="O11" s="19"/>
      <c r="Q11" s="3" t="s">
        <v>63</v>
      </c>
      <c r="T11" s="3" t="s">
        <v>61</v>
      </c>
      <c r="U11">
        <v>3</v>
      </c>
      <c r="W11"/>
      <c r="Y11" s="3" t="s">
        <v>24</v>
      </c>
      <c r="Z11">
        <v>3</v>
      </c>
      <c r="AB11"/>
      <c r="AD11" s="3" t="s">
        <v>28</v>
      </c>
      <c r="AE11">
        <v>3</v>
      </c>
      <c r="AG11"/>
      <c r="AI11" s="163" t="s">
        <v>71</v>
      </c>
      <c r="AJ11">
        <v>3</v>
      </c>
      <c r="AL11"/>
    </row>
    <row r="12" spans="1:47" ht="19.5" customHeight="1" thickBot="1">
      <c r="A12" s="227" t="s">
        <v>84</v>
      </c>
      <c r="B12" s="184"/>
      <c r="C12" s="184"/>
      <c r="D12" s="223" t="s">
        <v>105</v>
      </c>
      <c r="E12" s="187"/>
      <c r="F12" s="186"/>
      <c r="G12" s="186"/>
      <c r="H12" s="195"/>
      <c r="L12" s="5"/>
      <c r="O12" s="19"/>
      <c r="Q12" s="3" t="s">
        <v>64</v>
      </c>
      <c r="T12" s="3" t="s">
        <v>62</v>
      </c>
      <c r="U12">
        <v>4</v>
      </c>
      <c r="W12"/>
      <c r="Y12" s="3" t="s">
        <v>23</v>
      </c>
      <c r="Z12">
        <v>4</v>
      </c>
      <c r="AB12"/>
      <c r="AE12"/>
      <c r="AG12"/>
      <c r="AI12" s="163" t="s">
        <v>72</v>
      </c>
      <c r="AJ12">
        <v>4</v>
      </c>
      <c r="AL12"/>
    </row>
    <row r="13" spans="1:47" ht="17.25" customHeight="1" thickBot="1">
      <c r="A13" s="226" t="str">
        <f>"Demand  "&amp;IF(V$9="Reliant","(Kva)","(KW)")</f>
        <v>Demand  (KW)</v>
      </c>
      <c r="B13" s="230">
        <v>700</v>
      </c>
      <c r="C13" s="184"/>
      <c r="D13" s="185"/>
      <c r="E13" s="186"/>
      <c r="F13" s="186"/>
      <c r="G13" s="186"/>
      <c r="H13" s="195"/>
      <c r="L13" s="5"/>
      <c r="O13" s="19"/>
      <c r="Q13" s="3" t="s">
        <v>65</v>
      </c>
      <c r="T13" s="3" t="s">
        <v>63</v>
      </c>
      <c r="U13">
        <v>5</v>
      </c>
      <c r="W13"/>
      <c r="Z13"/>
      <c r="AB13"/>
      <c r="AE13"/>
      <c r="AG13"/>
      <c r="AI13" s="163" t="s">
        <v>75</v>
      </c>
      <c r="AJ13">
        <v>5</v>
      </c>
      <c r="AL13"/>
    </row>
    <row r="14" spans="1:47" ht="15.75" customHeight="1" thickBot="1">
      <c r="A14" s="226" t="s">
        <v>103</v>
      </c>
      <c r="B14" s="231">
        <f>(293310/(659*730)+315910/(682*730))/2</f>
        <v>0.62211959142641882</v>
      </c>
      <c r="C14" s="184"/>
      <c r="D14" s="185"/>
      <c r="E14" s="186"/>
      <c r="F14" s="186"/>
      <c r="G14" s="186"/>
      <c r="H14" s="195"/>
      <c r="O14" s="19"/>
      <c r="T14" s="3" t="s">
        <v>64</v>
      </c>
      <c r="U14">
        <v>6</v>
      </c>
      <c r="W14"/>
      <c r="Z14"/>
      <c r="AB14"/>
      <c r="AE14"/>
      <c r="AG14"/>
      <c r="AI14" s="163" t="s">
        <v>76</v>
      </c>
      <c r="AJ14">
        <v>6</v>
      </c>
      <c r="AL14"/>
    </row>
    <row r="15" spans="1:47" ht="13.5" thickBot="1">
      <c r="A15" s="228"/>
      <c r="B15" s="196"/>
      <c r="C15" s="197"/>
      <c r="D15" s="198"/>
      <c r="E15" s="198"/>
      <c r="F15" s="198"/>
      <c r="G15" s="198"/>
      <c r="H15" s="199"/>
      <c r="O15" s="19"/>
      <c r="T15" s="3" t="s">
        <v>65</v>
      </c>
      <c r="U15">
        <v>7</v>
      </c>
      <c r="W15"/>
      <c r="Z15"/>
      <c r="AB15"/>
      <c r="AE15"/>
      <c r="AG15"/>
      <c r="AI15" s="163" t="s">
        <v>77</v>
      </c>
      <c r="AJ15">
        <v>7</v>
      </c>
      <c r="AL15"/>
    </row>
    <row r="16" spans="1:47" hidden="1">
      <c r="A16" s="189" t="s">
        <v>10</v>
      </c>
      <c r="B16" s="189" t="s">
        <v>11</v>
      </c>
      <c r="C16" s="189" t="s">
        <v>12</v>
      </c>
      <c r="D16" s="190">
        <v>2002</v>
      </c>
      <c r="E16" s="189">
        <f>D16+1</f>
        <v>2003</v>
      </c>
      <c r="F16" s="189">
        <f t="shared" ref="F16:L16" si="0">E16+1</f>
        <v>2004</v>
      </c>
      <c r="G16" s="189">
        <f t="shared" si="0"/>
        <v>2005</v>
      </c>
      <c r="H16" s="189">
        <f t="shared" si="0"/>
        <v>2006</v>
      </c>
      <c r="I16" s="24">
        <f t="shared" si="0"/>
        <v>2007</v>
      </c>
      <c r="J16" s="24">
        <f t="shared" si="0"/>
        <v>2008</v>
      </c>
      <c r="K16" s="24">
        <f t="shared" si="0"/>
        <v>2009</v>
      </c>
      <c r="L16" s="24">
        <f t="shared" si="0"/>
        <v>2010</v>
      </c>
      <c r="M16" s="24">
        <f>L16+1</f>
        <v>2011</v>
      </c>
      <c r="N16" s="24">
        <f>M16+1</f>
        <v>2012</v>
      </c>
      <c r="O16" s="84"/>
      <c r="T16" s="3" t="s">
        <v>66</v>
      </c>
      <c r="U16">
        <v>8</v>
      </c>
      <c r="W16"/>
      <c r="AI16" s="164" t="s">
        <v>78</v>
      </c>
      <c r="AJ16" s="3">
        <v>8</v>
      </c>
    </row>
    <row r="17" spans="1:36" s="6" customFormat="1" hidden="1">
      <c r="A17" s="103" t="s">
        <v>0</v>
      </c>
      <c r="B17" s="104"/>
      <c r="C17" s="105" t="s">
        <v>1</v>
      </c>
      <c r="D17" s="106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8"/>
      <c r="AI17" s="163" t="s">
        <v>73</v>
      </c>
      <c r="AJ17" s="3">
        <v>9</v>
      </c>
    </row>
    <row r="18" spans="1:36" s="6" customFormat="1" hidden="1">
      <c r="A18" s="30" t="s">
        <v>2</v>
      </c>
      <c r="B18" s="109"/>
      <c r="C18" s="36" t="s">
        <v>3</v>
      </c>
      <c r="D18" s="110" t="s">
        <v>28</v>
      </c>
      <c r="E18" s="111" t="str">
        <f>D18</f>
        <v>No</v>
      </c>
      <c r="F18" s="111" t="str">
        <f t="shared" ref="F18:L18" si="1">E18</f>
        <v>No</v>
      </c>
      <c r="G18" s="111" t="str">
        <f t="shared" si="1"/>
        <v>No</v>
      </c>
      <c r="H18" s="111" t="str">
        <f t="shared" si="1"/>
        <v>No</v>
      </c>
      <c r="I18" s="111" t="str">
        <f t="shared" si="1"/>
        <v>No</v>
      </c>
      <c r="J18" s="111" t="str">
        <f t="shared" si="1"/>
        <v>No</v>
      </c>
      <c r="K18" s="111" t="str">
        <f t="shared" si="1"/>
        <v>No</v>
      </c>
      <c r="L18" s="111" t="str">
        <f t="shared" si="1"/>
        <v>No</v>
      </c>
      <c r="M18" s="111" t="str">
        <f>L18</f>
        <v>No</v>
      </c>
      <c r="N18" s="111" t="str">
        <f>M18</f>
        <v>No</v>
      </c>
      <c r="O18" s="112"/>
      <c r="AI18" s="163" t="s">
        <v>74</v>
      </c>
      <c r="AJ18">
        <v>10</v>
      </c>
    </row>
    <row r="19" spans="1:36" s="1" customFormat="1" hidden="1">
      <c r="A19" s="113" t="s">
        <v>32</v>
      </c>
      <c r="B19" s="155" t="s">
        <v>54</v>
      </c>
      <c r="C19" s="29"/>
      <c r="D19" s="114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83"/>
      <c r="Q19" s="171"/>
      <c r="R19"/>
      <c r="AI19" s="164"/>
      <c r="AJ19"/>
    </row>
    <row r="20" spans="1:36" s="1" customFormat="1" hidden="1">
      <c r="A20" s="116" t="s">
        <v>19</v>
      </c>
      <c r="B20" s="117"/>
      <c r="C20" s="29" t="str">
        <f>IF($V$9="Reliant","$/kVa","$/Mth")</f>
        <v>$/Mth</v>
      </c>
      <c r="D20" s="118">
        <f>HLOOKUP('Rate Estimator'!V$9,'Rate Inputs'!$E$2:$K$18,IF(A20="Secondary",2,IF(A20="Primary",3,4)))+HLOOKUP('Rate Estimator'!V$9,'Rate Inputs'!$E$2:$K$18,IF(A20="Secondary",IF('Rate Estimator'!AF$9="Yes",5,6),IF(A20="Primary",7,8)))</f>
        <v>11.55</v>
      </c>
      <c r="E20" s="119">
        <f>D20</f>
        <v>11.55</v>
      </c>
      <c r="F20" s="119">
        <f t="shared" ref="F20:N22" si="2">E20</f>
        <v>11.55</v>
      </c>
      <c r="G20" s="119">
        <f t="shared" si="2"/>
        <v>11.55</v>
      </c>
      <c r="H20" s="119">
        <f t="shared" si="2"/>
        <v>11.55</v>
      </c>
      <c r="I20" s="119">
        <f t="shared" si="2"/>
        <v>11.55</v>
      </c>
      <c r="J20" s="119">
        <f t="shared" si="2"/>
        <v>11.55</v>
      </c>
      <c r="K20" s="119">
        <f t="shared" si="2"/>
        <v>11.55</v>
      </c>
      <c r="L20" s="119">
        <f t="shared" si="2"/>
        <v>11.55</v>
      </c>
      <c r="M20" s="119">
        <f t="shared" si="2"/>
        <v>11.55</v>
      </c>
      <c r="N20" s="119">
        <f t="shared" si="2"/>
        <v>11.55</v>
      </c>
      <c r="O20" s="83"/>
      <c r="Q20"/>
      <c r="R20"/>
      <c r="AI20" s="164"/>
      <c r="AJ20"/>
    </row>
    <row r="21" spans="1:36" s="1" customFormat="1" hidden="1">
      <c r="A21" s="116" t="s">
        <v>24</v>
      </c>
      <c r="B21" s="117"/>
      <c r="C21" s="29" t="str">
        <f>IF($V$9="Reliant","$/kVa","$/Mth")</f>
        <v>$/Mth</v>
      </c>
      <c r="D21" s="118">
        <f>HLOOKUP('Rate Estimator'!V$9,'Rate Inputs'!$E$2:$K$18,IF(A21="Secondary",2,IF(A21="Primary",3,4)))+HLOOKUP('Rate Estimator'!V$9,'Rate Inputs'!$E$2:$K$18,IF(A21="Secondary",IF('Rate Estimator'!AF$9="Yes",5,6),IF(A21="Primary",7,8)))</f>
        <v>90.56</v>
      </c>
      <c r="E21" s="81">
        <f>D21</f>
        <v>90.56</v>
      </c>
      <c r="F21" s="81">
        <f t="shared" si="2"/>
        <v>90.56</v>
      </c>
      <c r="G21" s="81">
        <f t="shared" si="2"/>
        <v>90.56</v>
      </c>
      <c r="H21" s="81">
        <f t="shared" si="2"/>
        <v>90.56</v>
      </c>
      <c r="I21" s="81">
        <f t="shared" si="2"/>
        <v>90.56</v>
      </c>
      <c r="J21" s="81">
        <f t="shared" si="2"/>
        <v>90.56</v>
      </c>
      <c r="K21" s="81">
        <f t="shared" si="2"/>
        <v>90.56</v>
      </c>
      <c r="L21" s="81">
        <f t="shared" si="2"/>
        <v>90.56</v>
      </c>
      <c r="M21" s="81">
        <f t="shared" si="2"/>
        <v>90.56</v>
      </c>
      <c r="N21" s="81">
        <f t="shared" si="2"/>
        <v>90.56</v>
      </c>
      <c r="O21" s="83"/>
      <c r="Q21"/>
      <c r="R21"/>
      <c r="AJ21"/>
    </row>
    <row r="22" spans="1:36" s="1" customFormat="1" hidden="1">
      <c r="A22" s="116" t="s">
        <v>23</v>
      </c>
      <c r="B22" s="117"/>
      <c r="C22" s="29" t="str">
        <f>IF($V$9="Reliant","$/kVa","$/Mth")</f>
        <v>$/Mth</v>
      </c>
      <c r="D22" s="118">
        <f>HLOOKUP('Rate Estimator'!V$9,'Rate Inputs'!$E$2:$K$18,IF(A22="Secondary",2,IF(A22="Primary",3,4)))+HLOOKUP('Rate Estimator'!V$9,'Rate Inputs'!$E$2:$K$18,IF(A22="Secondary",IF('Rate Estimator'!AF$9="Yes",5,6),IF(A22="Primary",7,8)))</f>
        <v>90.41</v>
      </c>
      <c r="E22" s="81">
        <f>D22</f>
        <v>90.41</v>
      </c>
      <c r="F22" s="81">
        <f t="shared" si="2"/>
        <v>90.41</v>
      </c>
      <c r="G22" s="81">
        <f t="shared" si="2"/>
        <v>90.41</v>
      </c>
      <c r="H22" s="81">
        <f t="shared" si="2"/>
        <v>90.41</v>
      </c>
      <c r="I22" s="81">
        <f t="shared" si="2"/>
        <v>90.41</v>
      </c>
      <c r="J22" s="81">
        <f t="shared" si="2"/>
        <v>90.41</v>
      </c>
      <c r="K22" s="81">
        <f t="shared" si="2"/>
        <v>90.41</v>
      </c>
      <c r="L22" s="81">
        <f t="shared" si="2"/>
        <v>90.41</v>
      </c>
      <c r="M22" s="81">
        <f t="shared" si="2"/>
        <v>90.41</v>
      </c>
      <c r="N22" s="81">
        <f t="shared" si="2"/>
        <v>90.41</v>
      </c>
      <c r="O22" s="83"/>
      <c r="Q22"/>
      <c r="R22"/>
      <c r="AJ22"/>
    </row>
    <row r="23" spans="1:36" s="6" customFormat="1" hidden="1">
      <c r="A23" s="120" t="s">
        <v>4</v>
      </c>
      <c r="B23" s="82" t="s">
        <v>33</v>
      </c>
      <c r="C23" s="26"/>
      <c r="D23" s="166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108"/>
      <c r="Q23"/>
      <c r="R23"/>
      <c r="AJ23"/>
    </row>
    <row r="24" spans="1:36" s="6" customFormat="1" hidden="1">
      <c r="A24" s="121" t="s">
        <v>19</v>
      </c>
      <c r="B24" s="25"/>
      <c r="C24" s="26" t="str">
        <f>IF($V$9="Reliant","$/kVa","$/KW")</f>
        <v>$/KW</v>
      </c>
      <c r="D24" s="214">
        <f>HLOOKUP('Rate Estimator'!V$9,'Rate Inputs'!$E$2:$K$18,IF(A24="Secondary",IF('Rate Estimator'!AF$9="Yes",10,11),IF(A24="Primary",IF('Rate Estimator'!AF$9="Yes",12,13),14)))</f>
        <v>0.97</v>
      </c>
      <c r="E24" s="122">
        <f>D24</f>
        <v>0.97</v>
      </c>
      <c r="F24" s="122">
        <f t="shared" ref="F24:N26" si="3">E24</f>
        <v>0.97</v>
      </c>
      <c r="G24" s="122">
        <f t="shared" si="3"/>
        <v>0.97</v>
      </c>
      <c r="H24" s="122">
        <f t="shared" si="3"/>
        <v>0.97</v>
      </c>
      <c r="I24" s="122">
        <f t="shared" si="3"/>
        <v>0.97</v>
      </c>
      <c r="J24" s="122">
        <f t="shared" si="3"/>
        <v>0.97</v>
      </c>
      <c r="K24" s="122">
        <f t="shared" si="3"/>
        <v>0.97</v>
      </c>
      <c r="L24" s="122">
        <f t="shared" si="3"/>
        <v>0.97</v>
      </c>
      <c r="M24" s="122">
        <f t="shared" si="3"/>
        <v>0.97</v>
      </c>
      <c r="N24" s="122">
        <f t="shared" si="3"/>
        <v>0.97</v>
      </c>
      <c r="O24" s="108"/>
      <c r="Q24"/>
      <c r="R24"/>
      <c r="AJ24"/>
    </row>
    <row r="25" spans="1:36" s="6" customFormat="1" hidden="1">
      <c r="A25" s="28" t="s">
        <v>24</v>
      </c>
      <c r="B25" s="82"/>
      <c r="C25" s="26" t="str">
        <f t="shared" ref="C25:C46" si="4">IF($V$9="Reliant","$/kVa","$/KW")</f>
        <v>$/KW</v>
      </c>
      <c r="D25" s="214">
        <f>HLOOKUP('Rate Estimator'!V$9,'Rate Inputs'!$E$2:$K$18,IF(A25="Secondary",IF('Rate Estimator'!AF$9="Yes",10,11),IF(A25="Primary",IF('Rate Estimator'!AF$9="Yes",12,13),14)))</f>
        <v>2.0699999999999998</v>
      </c>
      <c r="E25" s="122">
        <f>D25</f>
        <v>2.0699999999999998</v>
      </c>
      <c r="F25" s="122">
        <f t="shared" si="3"/>
        <v>2.0699999999999998</v>
      </c>
      <c r="G25" s="122">
        <f t="shared" si="3"/>
        <v>2.0699999999999998</v>
      </c>
      <c r="H25" s="122">
        <f t="shared" si="3"/>
        <v>2.0699999999999998</v>
      </c>
      <c r="I25" s="122">
        <f t="shared" si="3"/>
        <v>2.0699999999999998</v>
      </c>
      <c r="J25" s="122">
        <f t="shared" si="3"/>
        <v>2.0699999999999998</v>
      </c>
      <c r="K25" s="122">
        <f t="shared" si="3"/>
        <v>2.0699999999999998</v>
      </c>
      <c r="L25" s="122">
        <f t="shared" si="3"/>
        <v>2.0699999999999998</v>
      </c>
      <c r="M25" s="122">
        <f t="shared" si="3"/>
        <v>2.0699999999999998</v>
      </c>
      <c r="N25" s="122">
        <f t="shared" si="3"/>
        <v>2.0699999999999998</v>
      </c>
      <c r="O25" s="108"/>
      <c r="Q25"/>
      <c r="R25"/>
    </row>
    <row r="26" spans="1:36" s="6" customFormat="1" hidden="1">
      <c r="A26" s="28" t="s">
        <v>23</v>
      </c>
      <c r="B26" s="82"/>
      <c r="C26" s="26" t="str">
        <f t="shared" si="4"/>
        <v>$/KW</v>
      </c>
      <c r="D26" s="214">
        <f>HLOOKUP('Rate Estimator'!V$9,'Rate Inputs'!$E$2:$K$18,IF(A26="Secondary",IF('Rate Estimator'!AF$9="Yes",10,11),IF(A26="Primary",IF('Rate Estimator'!AF$9="Yes",12,13),14)))</f>
        <v>1.38</v>
      </c>
      <c r="E26" s="122">
        <f>D26</f>
        <v>1.38</v>
      </c>
      <c r="F26" s="122">
        <f t="shared" si="3"/>
        <v>1.38</v>
      </c>
      <c r="G26" s="122">
        <f t="shared" si="3"/>
        <v>1.38</v>
      </c>
      <c r="H26" s="122">
        <f t="shared" si="3"/>
        <v>1.38</v>
      </c>
      <c r="I26" s="122">
        <f t="shared" si="3"/>
        <v>1.38</v>
      </c>
      <c r="J26" s="122">
        <f t="shared" si="3"/>
        <v>1.38</v>
      </c>
      <c r="K26" s="122">
        <f t="shared" si="3"/>
        <v>1.38</v>
      </c>
      <c r="L26" s="122">
        <f t="shared" si="3"/>
        <v>1.38</v>
      </c>
      <c r="M26" s="122">
        <f t="shared" si="3"/>
        <v>1.38</v>
      </c>
      <c r="N26" s="122">
        <f t="shared" si="3"/>
        <v>1.38</v>
      </c>
      <c r="O26" s="108"/>
      <c r="Q26"/>
      <c r="R26"/>
    </row>
    <row r="27" spans="1:36" s="1" customFormat="1" hidden="1">
      <c r="A27" s="113" t="s">
        <v>5</v>
      </c>
      <c r="B27" s="123" t="s">
        <v>34</v>
      </c>
      <c r="C27" s="29"/>
      <c r="D27" s="215"/>
      <c r="E27" s="216"/>
      <c r="F27" s="216"/>
      <c r="G27" s="216"/>
      <c r="H27" s="216"/>
      <c r="I27" s="119"/>
      <c r="J27" s="119"/>
      <c r="K27" s="119"/>
      <c r="L27" s="119"/>
      <c r="M27" s="119"/>
      <c r="N27" s="119"/>
      <c r="O27" s="83"/>
      <c r="Q27"/>
      <c r="R27"/>
    </row>
    <row r="28" spans="1:36" s="1" customFormat="1" hidden="1">
      <c r="A28" s="116" t="s">
        <v>19</v>
      </c>
      <c r="B28" s="114"/>
      <c r="C28" s="29" t="str">
        <f t="shared" si="4"/>
        <v>$/KW</v>
      </c>
      <c r="D28" s="215">
        <f>HLOOKUP('Rate Estimator'!V$9,'Rate Inputs'!$E$2:$K$18,IF(A28="Secondary",15,IF(A28="Primary",16,17)))</f>
        <v>3.27</v>
      </c>
      <c r="E28" s="217">
        <f>D28</f>
        <v>3.27</v>
      </c>
      <c r="F28" s="217">
        <f t="shared" ref="F28:N30" si="5">E28</f>
        <v>3.27</v>
      </c>
      <c r="G28" s="217">
        <f t="shared" si="5"/>
        <v>3.27</v>
      </c>
      <c r="H28" s="217">
        <f t="shared" si="5"/>
        <v>3.27</v>
      </c>
      <c r="I28" s="81">
        <f t="shared" si="5"/>
        <v>3.27</v>
      </c>
      <c r="J28" s="81">
        <f t="shared" si="5"/>
        <v>3.27</v>
      </c>
      <c r="K28" s="81">
        <f t="shared" si="5"/>
        <v>3.27</v>
      </c>
      <c r="L28" s="81">
        <f t="shared" si="5"/>
        <v>3.27</v>
      </c>
      <c r="M28" s="81">
        <f t="shared" si="5"/>
        <v>3.27</v>
      </c>
      <c r="N28" s="81">
        <f t="shared" si="5"/>
        <v>3.27</v>
      </c>
      <c r="O28" s="83"/>
      <c r="Q28"/>
      <c r="R28"/>
    </row>
    <row r="29" spans="1:36" s="1" customFormat="1" hidden="1">
      <c r="A29" s="116" t="s">
        <v>24</v>
      </c>
      <c r="B29" s="114"/>
      <c r="C29" s="29" t="str">
        <f t="shared" si="4"/>
        <v>$/KW</v>
      </c>
      <c r="D29" s="215">
        <f>HLOOKUP('Rate Estimator'!V$9,'Rate Inputs'!$E$2:$K$18,IF(A29="Secondary",15,IF(A29="Primary",16,17)))</f>
        <v>2.62</v>
      </c>
      <c r="E29" s="217">
        <f>D29</f>
        <v>2.62</v>
      </c>
      <c r="F29" s="217">
        <f t="shared" si="5"/>
        <v>2.62</v>
      </c>
      <c r="G29" s="217">
        <f t="shared" si="5"/>
        <v>2.62</v>
      </c>
      <c r="H29" s="217">
        <f t="shared" si="5"/>
        <v>2.62</v>
      </c>
      <c r="I29" s="81">
        <f t="shared" si="5"/>
        <v>2.62</v>
      </c>
      <c r="J29" s="81">
        <f t="shared" si="5"/>
        <v>2.62</v>
      </c>
      <c r="K29" s="81">
        <f t="shared" si="5"/>
        <v>2.62</v>
      </c>
      <c r="L29" s="81">
        <f t="shared" si="5"/>
        <v>2.62</v>
      </c>
      <c r="M29" s="81">
        <f t="shared" si="5"/>
        <v>2.62</v>
      </c>
      <c r="N29" s="81">
        <f t="shared" si="5"/>
        <v>2.62</v>
      </c>
      <c r="O29" s="83"/>
      <c r="Q29" s="171"/>
      <c r="R29"/>
    </row>
    <row r="30" spans="1:36" s="1" customFormat="1" hidden="1">
      <c r="A30" s="116" t="s">
        <v>23</v>
      </c>
      <c r="B30" s="123"/>
      <c r="C30" s="29" t="str">
        <f t="shared" si="4"/>
        <v>$/KW</v>
      </c>
      <c r="D30" s="215">
        <f>HLOOKUP('Rate Estimator'!V$9,'Rate Inputs'!$E$2:$K$18,IF(A30="Secondary",15,IF(A30="Primary",16,17)))</f>
        <v>0.12</v>
      </c>
      <c r="E30" s="217">
        <f>D30</f>
        <v>0.12</v>
      </c>
      <c r="F30" s="217">
        <f t="shared" si="5"/>
        <v>0.12</v>
      </c>
      <c r="G30" s="217">
        <f t="shared" si="5"/>
        <v>0.12</v>
      </c>
      <c r="H30" s="217">
        <f t="shared" si="5"/>
        <v>0.12</v>
      </c>
      <c r="I30" s="81">
        <f t="shared" si="5"/>
        <v>0.12</v>
      </c>
      <c r="J30" s="81">
        <f t="shared" si="5"/>
        <v>0.12</v>
      </c>
      <c r="K30" s="81">
        <f t="shared" si="5"/>
        <v>0.12</v>
      </c>
      <c r="L30" s="81">
        <f t="shared" si="5"/>
        <v>0.12</v>
      </c>
      <c r="M30" s="81">
        <f t="shared" si="5"/>
        <v>0.12</v>
      </c>
      <c r="N30" s="81">
        <f t="shared" si="5"/>
        <v>0.12</v>
      </c>
      <c r="O30" s="83"/>
      <c r="Q30"/>
      <c r="R30"/>
    </row>
    <row r="31" spans="1:36" s="6" customFormat="1" hidden="1">
      <c r="A31" s="120" t="s">
        <v>6</v>
      </c>
      <c r="B31" s="124" t="s">
        <v>35</v>
      </c>
      <c r="C31" s="26"/>
      <c r="D31" s="218"/>
      <c r="E31" s="122"/>
      <c r="F31" s="122"/>
      <c r="G31" s="122"/>
      <c r="H31" s="122"/>
      <c r="I31" s="125"/>
      <c r="J31" s="125"/>
      <c r="K31" s="125"/>
      <c r="L31" s="125"/>
      <c r="M31" s="125"/>
      <c r="N31" s="125"/>
      <c r="O31" s="108"/>
      <c r="Q31"/>
      <c r="R31"/>
    </row>
    <row r="32" spans="1:36" s="6" customFormat="1" hidden="1">
      <c r="A32" s="121" t="s">
        <v>19</v>
      </c>
      <c r="B32" s="25"/>
      <c r="C32" s="26" t="str">
        <f t="shared" si="4"/>
        <v>$/KW</v>
      </c>
      <c r="D32" s="214">
        <f>HLOOKUP('Rate Estimator'!V$9,'Rate Inputs'!$E$2:$K$27,IF(A32="Secondary",18,IF(A32="Primary",19,20)))</f>
        <v>0</v>
      </c>
      <c r="E32" s="122">
        <f t="shared" ref="E32:N34" si="6">D32</f>
        <v>0</v>
      </c>
      <c r="F32" s="122">
        <f t="shared" si="6"/>
        <v>0</v>
      </c>
      <c r="G32" s="122">
        <f t="shared" si="6"/>
        <v>0</v>
      </c>
      <c r="H32" s="122">
        <f t="shared" si="6"/>
        <v>0</v>
      </c>
      <c r="I32" s="125">
        <f t="shared" si="6"/>
        <v>0</v>
      </c>
      <c r="J32" s="125">
        <f t="shared" si="6"/>
        <v>0</v>
      </c>
      <c r="K32" s="125">
        <f t="shared" si="6"/>
        <v>0</v>
      </c>
      <c r="L32" s="125">
        <f t="shared" si="6"/>
        <v>0</v>
      </c>
      <c r="M32" s="125">
        <f t="shared" si="6"/>
        <v>0</v>
      </c>
      <c r="N32" s="125">
        <f t="shared" si="6"/>
        <v>0</v>
      </c>
      <c r="O32" s="108"/>
      <c r="Q32"/>
      <c r="R32"/>
    </row>
    <row r="33" spans="1:33" s="6" customFormat="1" hidden="1">
      <c r="A33" s="28" t="s">
        <v>24</v>
      </c>
      <c r="B33" s="25"/>
      <c r="C33" s="26" t="str">
        <f t="shared" si="4"/>
        <v>$/KW</v>
      </c>
      <c r="D33" s="214">
        <f>HLOOKUP('Rate Estimator'!V$9,'Rate Inputs'!$E$2:$K$27,IF(A33="Secondary",18,IF(A33="Primary",19,20)))</f>
        <v>0</v>
      </c>
      <c r="E33" s="122">
        <f t="shared" si="6"/>
        <v>0</v>
      </c>
      <c r="F33" s="122">
        <f t="shared" si="6"/>
        <v>0</v>
      </c>
      <c r="G33" s="122">
        <f t="shared" si="6"/>
        <v>0</v>
      </c>
      <c r="H33" s="122">
        <f t="shared" si="6"/>
        <v>0</v>
      </c>
      <c r="I33" s="125">
        <f t="shared" si="6"/>
        <v>0</v>
      </c>
      <c r="J33" s="125">
        <f t="shared" si="6"/>
        <v>0</v>
      </c>
      <c r="K33" s="125">
        <f t="shared" si="6"/>
        <v>0</v>
      </c>
      <c r="L33" s="125">
        <f t="shared" si="6"/>
        <v>0</v>
      </c>
      <c r="M33" s="125">
        <f t="shared" si="6"/>
        <v>0</v>
      </c>
      <c r="N33" s="125">
        <f t="shared" si="6"/>
        <v>0</v>
      </c>
      <c r="O33" s="108"/>
      <c r="Q33"/>
      <c r="R33"/>
    </row>
    <row r="34" spans="1:33" s="6" customFormat="1" hidden="1">
      <c r="A34" s="28" t="s">
        <v>23</v>
      </c>
      <c r="B34" s="82"/>
      <c r="C34" s="26" t="str">
        <f t="shared" si="4"/>
        <v>$/KW</v>
      </c>
      <c r="D34" s="214">
        <f>HLOOKUP('Rate Estimator'!V$9,'Rate Inputs'!$E$2:$K$27,IF(A34="Secondary",18,IF(A34="Primary",19,20)))</f>
        <v>0</v>
      </c>
      <c r="E34" s="122">
        <f>D34</f>
        <v>0</v>
      </c>
      <c r="F34" s="122">
        <f t="shared" si="6"/>
        <v>0</v>
      </c>
      <c r="G34" s="122">
        <f t="shared" si="6"/>
        <v>0</v>
      </c>
      <c r="H34" s="122">
        <f t="shared" si="6"/>
        <v>0</v>
      </c>
      <c r="I34" s="125">
        <f t="shared" si="6"/>
        <v>0</v>
      </c>
      <c r="J34" s="125">
        <f t="shared" si="6"/>
        <v>0</v>
      </c>
      <c r="K34" s="125">
        <f t="shared" si="6"/>
        <v>0</v>
      </c>
      <c r="L34" s="125">
        <f t="shared" si="6"/>
        <v>0</v>
      </c>
      <c r="M34" s="125">
        <f t="shared" si="6"/>
        <v>0</v>
      </c>
      <c r="N34" s="125">
        <f t="shared" si="6"/>
        <v>0</v>
      </c>
      <c r="O34" s="108"/>
      <c r="Q34"/>
      <c r="R34"/>
    </row>
    <row r="35" spans="1:33" s="1" customFormat="1" hidden="1">
      <c r="A35" s="113" t="s">
        <v>7</v>
      </c>
      <c r="B35" s="117" t="s">
        <v>36</v>
      </c>
      <c r="C35" s="29"/>
      <c r="D35" s="213"/>
      <c r="E35" s="210"/>
      <c r="F35" s="210"/>
      <c r="G35" s="210"/>
      <c r="H35" s="210"/>
      <c r="I35" s="119"/>
      <c r="J35" s="119"/>
      <c r="K35" s="119"/>
      <c r="L35" s="119"/>
      <c r="M35" s="119"/>
      <c r="N35" s="119"/>
      <c r="O35" s="83"/>
      <c r="Q35"/>
      <c r="R35"/>
    </row>
    <row r="36" spans="1:33" s="1" customFormat="1" hidden="1">
      <c r="A36" s="116" t="s">
        <v>19</v>
      </c>
      <c r="B36" s="114"/>
      <c r="C36" s="29" t="str">
        <f t="shared" si="4"/>
        <v>$/KW</v>
      </c>
      <c r="D36" s="209">
        <f>IF(V$9="TXU",IF(A36="Secondary",'Rate Inputs'!E$52,IF(A36="Primary",'Rate Inputs'!E$51,'Rate Inputs'!E$53)),VLOOKUP('Rate Estimator'!AK$9,'Rate Inputs'!D$41:E$50,2,FALSE))</f>
        <v>1.954</v>
      </c>
      <c r="E36" s="211">
        <f>D36</f>
        <v>1.954</v>
      </c>
      <c r="F36" s="211">
        <f t="shared" ref="F36:N38" si="7">E36</f>
        <v>1.954</v>
      </c>
      <c r="G36" s="211">
        <f t="shared" si="7"/>
        <v>1.954</v>
      </c>
      <c r="H36" s="211">
        <f t="shared" si="7"/>
        <v>1.954</v>
      </c>
      <c r="I36" s="126">
        <f t="shared" si="7"/>
        <v>1.954</v>
      </c>
      <c r="J36" s="126">
        <f t="shared" si="7"/>
        <v>1.954</v>
      </c>
      <c r="K36" s="126">
        <f t="shared" si="7"/>
        <v>1.954</v>
      </c>
      <c r="L36" s="126">
        <f t="shared" si="7"/>
        <v>1.954</v>
      </c>
      <c r="M36" s="126">
        <f t="shared" si="7"/>
        <v>1.954</v>
      </c>
      <c r="N36" s="126">
        <f t="shared" si="7"/>
        <v>1.954</v>
      </c>
      <c r="O36" s="83"/>
      <c r="Q36"/>
      <c r="R36"/>
    </row>
    <row r="37" spans="1:33" s="1" customFormat="1" hidden="1">
      <c r="A37" s="116" t="s">
        <v>24</v>
      </c>
      <c r="B37" s="114"/>
      <c r="C37" s="29" t="str">
        <f t="shared" si="4"/>
        <v>$/KW</v>
      </c>
      <c r="D37" s="209">
        <f>IF(V$9="TXU",IF(A37="Secondary",'Rate Inputs'!E$52,IF(A37="Primary",'Rate Inputs'!E$51,'Rate Inputs'!E$53)),VLOOKUP('Rate Estimator'!AK$9,'Rate Inputs'!D$41:E$50,2,FALSE))</f>
        <v>1.954</v>
      </c>
      <c r="E37" s="211">
        <f>D37</f>
        <v>1.954</v>
      </c>
      <c r="F37" s="211">
        <f t="shared" si="7"/>
        <v>1.954</v>
      </c>
      <c r="G37" s="211">
        <f t="shared" si="7"/>
        <v>1.954</v>
      </c>
      <c r="H37" s="211">
        <f t="shared" si="7"/>
        <v>1.954</v>
      </c>
      <c r="I37" s="126">
        <f t="shared" si="7"/>
        <v>1.954</v>
      </c>
      <c r="J37" s="126">
        <f t="shared" si="7"/>
        <v>1.954</v>
      </c>
      <c r="K37" s="126">
        <f t="shared" si="7"/>
        <v>1.954</v>
      </c>
      <c r="L37" s="126">
        <f t="shared" si="7"/>
        <v>1.954</v>
      </c>
      <c r="M37" s="126">
        <f t="shared" si="7"/>
        <v>1.954</v>
      </c>
      <c r="N37" s="126">
        <f t="shared" si="7"/>
        <v>1.954</v>
      </c>
      <c r="O37" s="83"/>
      <c r="Q37"/>
      <c r="R37"/>
    </row>
    <row r="38" spans="1:33" s="1" customFormat="1" hidden="1">
      <c r="A38" s="116" t="s">
        <v>23</v>
      </c>
      <c r="B38" s="123"/>
      <c r="C38" s="29" t="str">
        <f t="shared" si="4"/>
        <v>$/KW</v>
      </c>
      <c r="D38" s="209">
        <f>IF(V$9="TXU",IF(A38="Secondary",'Rate Inputs'!E$52,IF(A38="Primary",'Rate Inputs'!E$51,'Rate Inputs'!E$53)),VLOOKUP('Rate Estimator'!AK$9,'Rate Inputs'!D$41:E$50,2,FALSE))</f>
        <v>1.954</v>
      </c>
      <c r="E38" s="211">
        <f>D38</f>
        <v>1.954</v>
      </c>
      <c r="F38" s="211">
        <f t="shared" si="7"/>
        <v>1.954</v>
      </c>
      <c r="G38" s="211">
        <f t="shared" si="7"/>
        <v>1.954</v>
      </c>
      <c r="H38" s="211">
        <f t="shared" si="7"/>
        <v>1.954</v>
      </c>
      <c r="I38" s="126">
        <f t="shared" si="7"/>
        <v>1.954</v>
      </c>
      <c r="J38" s="126">
        <f t="shared" si="7"/>
        <v>1.954</v>
      </c>
      <c r="K38" s="126">
        <f t="shared" si="7"/>
        <v>1.954</v>
      </c>
      <c r="L38" s="126">
        <f t="shared" si="7"/>
        <v>1.954</v>
      </c>
      <c r="M38" s="126">
        <f t="shared" si="7"/>
        <v>1.954</v>
      </c>
      <c r="N38" s="126">
        <f t="shared" si="7"/>
        <v>1.954</v>
      </c>
      <c r="O38" s="83"/>
      <c r="Q38"/>
      <c r="R38"/>
    </row>
    <row r="39" spans="1:33" s="7" customFormat="1" hidden="1">
      <c r="A39" s="120" t="s">
        <v>37</v>
      </c>
      <c r="B39" s="127" t="s">
        <v>38</v>
      </c>
      <c r="C39" s="26"/>
      <c r="D39" s="212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08"/>
      <c r="Q39"/>
      <c r="R39"/>
    </row>
    <row r="40" spans="1:33" s="7" customFormat="1" hidden="1">
      <c r="A40" s="121" t="s">
        <v>19</v>
      </c>
      <c r="B40" s="25"/>
      <c r="C40" s="26" t="str">
        <f t="shared" si="4"/>
        <v>$/KW</v>
      </c>
      <c r="D40" s="208">
        <f>IF(V$9="TXU",IF(A40="Secondary",'Rate Inputs'!E$39,IF(A40="Primary",'Rate Inputs'!E$38,'Rate Inputs'!E$40)),VLOOKUP('Rate Estimator'!AK$9,'Rate Inputs'!D$28:E$37,2,FALSE))</f>
        <v>-0.25800000000000001</v>
      </c>
      <c r="E40" s="125">
        <f t="shared" ref="E40:N42" si="8">D40</f>
        <v>-0.25800000000000001</v>
      </c>
      <c r="F40" s="125">
        <f t="shared" si="8"/>
        <v>-0.25800000000000001</v>
      </c>
      <c r="G40" s="125">
        <f t="shared" si="8"/>
        <v>-0.25800000000000001</v>
      </c>
      <c r="H40" s="125">
        <f t="shared" si="8"/>
        <v>-0.25800000000000001</v>
      </c>
      <c r="I40" s="125">
        <f t="shared" si="8"/>
        <v>-0.25800000000000001</v>
      </c>
      <c r="J40" s="125">
        <f t="shared" si="8"/>
        <v>-0.25800000000000001</v>
      </c>
      <c r="K40" s="125">
        <f>J40*0</f>
        <v>0</v>
      </c>
      <c r="L40" s="125">
        <f t="shared" si="8"/>
        <v>0</v>
      </c>
      <c r="M40" s="125">
        <f t="shared" si="8"/>
        <v>0</v>
      </c>
      <c r="N40" s="125">
        <f t="shared" si="8"/>
        <v>0</v>
      </c>
      <c r="O40" s="108"/>
      <c r="Q40"/>
      <c r="R40"/>
    </row>
    <row r="41" spans="1:33" s="7" customFormat="1" hidden="1">
      <c r="A41" s="28" t="s">
        <v>24</v>
      </c>
      <c r="B41" s="25"/>
      <c r="C41" s="26" t="str">
        <f t="shared" si="4"/>
        <v>$/KW</v>
      </c>
      <c r="D41" s="208">
        <f>IF(V$9="TXU",IF(A41="Secondary",'Rate Inputs'!E$39,IF(A41="Primary",'Rate Inputs'!E$38,'Rate Inputs'!E$40)),VLOOKUP('Rate Estimator'!AK$9,'Rate Inputs'!D$28:E$37,2,FALSE))</f>
        <v>-0.25800000000000001</v>
      </c>
      <c r="E41" s="125">
        <f t="shared" si="8"/>
        <v>-0.25800000000000001</v>
      </c>
      <c r="F41" s="125">
        <f t="shared" si="8"/>
        <v>-0.25800000000000001</v>
      </c>
      <c r="G41" s="125">
        <f t="shared" si="8"/>
        <v>-0.25800000000000001</v>
      </c>
      <c r="H41" s="125">
        <f t="shared" si="8"/>
        <v>-0.25800000000000001</v>
      </c>
      <c r="I41" s="125">
        <f t="shared" si="8"/>
        <v>-0.25800000000000001</v>
      </c>
      <c r="J41" s="125">
        <f t="shared" si="8"/>
        <v>-0.25800000000000001</v>
      </c>
      <c r="K41" s="125">
        <f>J41*0</f>
        <v>0</v>
      </c>
      <c r="L41" s="125">
        <f t="shared" si="8"/>
        <v>0</v>
      </c>
      <c r="M41" s="125">
        <f t="shared" si="8"/>
        <v>0</v>
      </c>
      <c r="N41" s="125">
        <f t="shared" si="8"/>
        <v>0</v>
      </c>
      <c r="O41" s="108"/>
      <c r="Q41"/>
      <c r="R41"/>
    </row>
    <row r="42" spans="1:33" s="7" customFormat="1" hidden="1">
      <c r="A42" s="28" t="s">
        <v>23</v>
      </c>
      <c r="B42" s="82"/>
      <c r="C42" s="26" t="str">
        <f t="shared" si="4"/>
        <v>$/KW</v>
      </c>
      <c r="D42" s="208">
        <f>IF(V$9="TXU",IF(A42="Secondary",'Rate Inputs'!E$39,IF(A42="Primary",'Rate Inputs'!E$38,'Rate Inputs'!E$40)),VLOOKUP('Rate Estimator'!AK$9,'Rate Inputs'!D$28:E$37,2,FALSE))</f>
        <v>-0.25800000000000001</v>
      </c>
      <c r="E42" s="125">
        <f>D42</f>
        <v>-0.25800000000000001</v>
      </c>
      <c r="F42" s="125">
        <f t="shared" si="8"/>
        <v>-0.25800000000000001</v>
      </c>
      <c r="G42" s="125">
        <f t="shared" si="8"/>
        <v>-0.25800000000000001</v>
      </c>
      <c r="H42" s="125">
        <f t="shared" si="8"/>
        <v>-0.25800000000000001</v>
      </c>
      <c r="I42" s="125">
        <f t="shared" si="8"/>
        <v>-0.25800000000000001</v>
      </c>
      <c r="J42" s="125">
        <f t="shared" si="8"/>
        <v>-0.25800000000000001</v>
      </c>
      <c r="K42" s="125">
        <f>J42*0</f>
        <v>0</v>
      </c>
      <c r="L42" s="125">
        <f t="shared" si="8"/>
        <v>0</v>
      </c>
      <c r="M42" s="125">
        <f t="shared" si="8"/>
        <v>0</v>
      </c>
      <c r="N42" s="125">
        <f t="shared" si="8"/>
        <v>0</v>
      </c>
      <c r="O42" s="108"/>
      <c r="Q42"/>
      <c r="R42"/>
    </row>
    <row r="43" spans="1:33" hidden="1">
      <c r="A43" s="113" t="s">
        <v>39</v>
      </c>
      <c r="B43" s="117" t="s">
        <v>25</v>
      </c>
      <c r="C43" s="29"/>
      <c r="D43" s="16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83"/>
      <c r="P43" s="32"/>
      <c r="Q43"/>
      <c r="R43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idden="1">
      <c r="A44" s="116"/>
      <c r="B44" s="114"/>
      <c r="C44" s="29" t="str">
        <f t="shared" si="4"/>
        <v>$/KW</v>
      </c>
      <c r="D44" s="169">
        <v>0</v>
      </c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3"/>
      <c r="P44" s="32"/>
      <c r="Q44"/>
      <c r="R44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idden="1">
      <c r="A45" s="116"/>
      <c r="B45" s="114"/>
      <c r="C45" s="29" t="str">
        <f t="shared" si="4"/>
        <v>$/KW</v>
      </c>
      <c r="D45" s="169">
        <v>0</v>
      </c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3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idden="1">
      <c r="A46" s="154"/>
      <c r="B46" s="117"/>
      <c r="C46" s="29" t="str">
        <f t="shared" si="4"/>
        <v>$/KW</v>
      </c>
      <c r="D46" s="169">
        <v>0</v>
      </c>
      <c r="E46" s="126">
        <f>D46</f>
        <v>0</v>
      </c>
      <c r="F46" s="126">
        <f t="shared" ref="F46:N46" si="9">E46</f>
        <v>0</v>
      </c>
      <c r="G46" s="126">
        <f t="shared" si="9"/>
        <v>0</v>
      </c>
      <c r="H46" s="126">
        <f t="shared" si="9"/>
        <v>0</v>
      </c>
      <c r="I46" s="126">
        <f t="shared" si="9"/>
        <v>0</v>
      </c>
      <c r="J46" s="126">
        <f t="shared" si="9"/>
        <v>0</v>
      </c>
      <c r="K46" s="126">
        <f t="shared" si="9"/>
        <v>0</v>
      </c>
      <c r="L46" s="126">
        <f t="shared" si="9"/>
        <v>0</v>
      </c>
      <c r="M46" s="126">
        <f t="shared" si="9"/>
        <v>0</v>
      </c>
      <c r="N46" s="126">
        <f t="shared" si="9"/>
        <v>0</v>
      </c>
      <c r="O46" s="83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7" customFormat="1" hidden="1">
      <c r="A47" s="128" t="s">
        <v>13</v>
      </c>
      <c r="B47" s="124" t="s">
        <v>40</v>
      </c>
      <c r="C47" s="26"/>
      <c r="D47" s="168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108"/>
    </row>
    <row r="48" spans="1:33" s="7" customFormat="1" hidden="1">
      <c r="A48" s="28" t="s">
        <v>19</v>
      </c>
      <c r="B48" s="31"/>
      <c r="C48" s="157" t="s">
        <v>26</v>
      </c>
      <c r="D48" s="181">
        <f>HLOOKUP('Rate Estimator'!V$9,'Rate Inputs'!$E$2:$K$27,IF(A48="Secondary",21,IF(A48="Primary",22,23)))</f>
        <v>5.0900000000000001E-4</v>
      </c>
      <c r="E48" s="34">
        <f t="shared" ref="E48:N50" si="10">D48</f>
        <v>5.0900000000000001E-4</v>
      </c>
      <c r="F48" s="34">
        <f t="shared" si="10"/>
        <v>5.0900000000000001E-4</v>
      </c>
      <c r="G48" s="34">
        <f t="shared" si="10"/>
        <v>5.0900000000000001E-4</v>
      </c>
      <c r="H48" s="34">
        <f t="shared" si="10"/>
        <v>5.0900000000000001E-4</v>
      </c>
      <c r="I48" s="34">
        <f t="shared" si="10"/>
        <v>5.0900000000000001E-4</v>
      </c>
      <c r="J48" s="34">
        <f t="shared" si="10"/>
        <v>5.0900000000000001E-4</v>
      </c>
      <c r="K48" s="34">
        <f t="shared" si="10"/>
        <v>5.0900000000000001E-4</v>
      </c>
      <c r="L48" s="34">
        <f t="shared" si="10"/>
        <v>5.0900000000000001E-4</v>
      </c>
      <c r="M48" s="34">
        <f t="shared" si="10"/>
        <v>5.0900000000000001E-4</v>
      </c>
      <c r="N48" s="34">
        <f t="shared" si="10"/>
        <v>5.0900000000000001E-4</v>
      </c>
      <c r="O48" s="108"/>
    </row>
    <row r="49" spans="1:15" s="7" customFormat="1" hidden="1">
      <c r="A49" s="28" t="s">
        <v>24</v>
      </c>
      <c r="B49" s="129"/>
      <c r="C49" s="157" t="s">
        <v>26</v>
      </c>
      <c r="D49" s="181">
        <f>HLOOKUP('Rate Estimator'!V$9,'Rate Inputs'!$E$2:$K$27,IF(A49="Secondary",21,IF(A49="Primary",22,23)))</f>
        <v>4.8899999999999996E-4</v>
      </c>
      <c r="E49" s="34">
        <f t="shared" si="10"/>
        <v>4.8899999999999996E-4</v>
      </c>
      <c r="F49" s="34">
        <f t="shared" si="10"/>
        <v>4.8899999999999996E-4</v>
      </c>
      <c r="G49" s="34">
        <f t="shared" si="10"/>
        <v>4.8899999999999996E-4</v>
      </c>
      <c r="H49" s="34">
        <f t="shared" si="10"/>
        <v>4.8899999999999996E-4</v>
      </c>
      <c r="I49" s="34">
        <f t="shared" si="10"/>
        <v>4.8899999999999996E-4</v>
      </c>
      <c r="J49" s="34">
        <f t="shared" si="10"/>
        <v>4.8899999999999996E-4</v>
      </c>
      <c r="K49" s="34">
        <f t="shared" si="10"/>
        <v>4.8899999999999996E-4</v>
      </c>
      <c r="L49" s="34">
        <f t="shared" si="10"/>
        <v>4.8899999999999996E-4</v>
      </c>
      <c r="M49" s="34">
        <f t="shared" si="10"/>
        <v>4.8899999999999996E-4</v>
      </c>
      <c r="N49" s="34">
        <f t="shared" si="10"/>
        <v>4.8899999999999996E-4</v>
      </c>
      <c r="O49" s="108"/>
    </row>
    <row r="50" spans="1:15" s="7" customFormat="1" hidden="1">
      <c r="A50" s="28" t="s">
        <v>23</v>
      </c>
      <c r="B50" s="87"/>
      <c r="C50" s="157" t="s">
        <v>26</v>
      </c>
      <c r="D50" s="181">
        <f>HLOOKUP('Rate Estimator'!V$9,'Rate Inputs'!$E$2:$K$27,IF(A50="Secondary",21,IF(A50="Primary",22,23)))</f>
        <v>4.8000000000000001E-4</v>
      </c>
      <c r="E50" s="34">
        <f>D50</f>
        <v>4.8000000000000001E-4</v>
      </c>
      <c r="F50" s="34">
        <f t="shared" si="10"/>
        <v>4.8000000000000001E-4</v>
      </c>
      <c r="G50" s="34">
        <f t="shared" si="10"/>
        <v>4.8000000000000001E-4</v>
      </c>
      <c r="H50" s="34">
        <f t="shared" si="10"/>
        <v>4.8000000000000001E-4</v>
      </c>
      <c r="I50" s="34">
        <f t="shared" si="10"/>
        <v>4.8000000000000001E-4</v>
      </c>
      <c r="J50" s="34">
        <f t="shared" si="10"/>
        <v>4.8000000000000001E-4</v>
      </c>
      <c r="K50" s="34">
        <f t="shared" si="10"/>
        <v>4.8000000000000001E-4</v>
      </c>
      <c r="L50" s="34">
        <f t="shared" si="10"/>
        <v>4.8000000000000001E-4</v>
      </c>
      <c r="M50" s="34">
        <f t="shared" si="10"/>
        <v>4.8000000000000001E-4</v>
      </c>
      <c r="N50" s="34">
        <f t="shared" si="10"/>
        <v>4.8000000000000001E-4</v>
      </c>
      <c r="O50" s="108"/>
    </row>
    <row r="51" spans="1:15" hidden="1">
      <c r="A51" s="130" t="s">
        <v>14</v>
      </c>
      <c r="B51" s="156" t="s">
        <v>55</v>
      </c>
      <c r="C51" s="35"/>
      <c r="D51" s="169"/>
      <c r="E51" s="132"/>
      <c r="F51" s="132"/>
      <c r="G51" s="132"/>
      <c r="H51" s="132"/>
      <c r="I51" s="132"/>
      <c r="J51" s="132"/>
      <c r="K51" s="132"/>
      <c r="L51" s="132" t="s">
        <v>9</v>
      </c>
      <c r="M51" s="132"/>
      <c r="N51" s="132"/>
      <c r="O51" s="83"/>
    </row>
    <row r="52" spans="1:15" hidden="1">
      <c r="A52" s="116" t="s">
        <v>19</v>
      </c>
      <c r="B52" s="131"/>
      <c r="C52" s="29" t="s">
        <v>26</v>
      </c>
      <c r="D52" s="182">
        <f>HLOOKUP('Rate Estimator'!V$9,'Rate Inputs'!$E$2:$K$27,IF(A52="Secondary",24,IF(A52="Primary",25,26)))</f>
        <v>0</v>
      </c>
      <c r="E52" s="132">
        <f>D52</f>
        <v>0</v>
      </c>
      <c r="F52" s="132">
        <f t="shared" ref="F52:N52" si="11">E52</f>
        <v>0</v>
      </c>
      <c r="G52" s="132">
        <f t="shared" si="11"/>
        <v>0</v>
      </c>
      <c r="H52" s="132">
        <f t="shared" si="11"/>
        <v>0</v>
      </c>
      <c r="I52" s="132">
        <f t="shared" si="11"/>
        <v>0</v>
      </c>
      <c r="J52" s="132">
        <f t="shared" si="11"/>
        <v>0</v>
      </c>
      <c r="K52" s="132">
        <f t="shared" si="11"/>
        <v>0</v>
      </c>
      <c r="L52" s="132">
        <f t="shared" si="11"/>
        <v>0</v>
      </c>
      <c r="M52" s="132">
        <f t="shared" si="11"/>
        <v>0</v>
      </c>
      <c r="N52" s="132">
        <f t="shared" si="11"/>
        <v>0</v>
      </c>
      <c r="O52" s="83"/>
    </row>
    <row r="53" spans="1:15" hidden="1">
      <c r="A53" s="116" t="s">
        <v>24</v>
      </c>
      <c r="B53" s="131"/>
      <c r="C53" s="29" t="s">
        <v>26</v>
      </c>
      <c r="D53" s="182">
        <f>HLOOKUP('Rate Estimator'!V$9,'Rate Inputs'!$E$2:$K$27,IF(A53="Secondary",24,IF(A53="Primary",25,26)))</f>
        <v>0</v>
      </c>
      <c r="E53" s="132">
        <f t="shared" ref="E53:N53" si="12">D53</f>
        <v>0</v>
      </c>
      <c r="F53" s="132">
        <f t="shared" si="12"/>
        <v>0</v>
      </c>
      <c r="G53" s="132">
        <f t="shared" si="12"/>
        <v>0</v>
      </c>
      <c r="H53" s="132">
        <f t="shared" si="12"/>
        <v>0</v>
      </c>
      <c r="I53" s="132">
        <f t="shared" si="12"/>
        <v>0</v>
      </c>
      <c r="J53" s="132">
        <f t="shared" si="12"/>
        <v>0</v>
      </c>
      <c r="K53" s="132">
        <f t="shared" si="12"/>
        <v>0</v>
      </c>
      <c r="L53" s="132">
        <f t="shared" si="12"/>
        <v>0</v>
      </c>
      <c r="M53" s="132">
        <f t="shared" si="12"/>
        <v>0</v>
      </c>
      <c r="N53" s="132">
        <f t="shared" si="12"/>
        <v>0</v>
      </c>
      <c r="O53" s="83"/>
    </row>
    <row r="54" spans="1:15" hidden="1">
      <c r="A54" s="116" t="s">
        <v>23</v>
      </c>
      <c r="B54" s="131"/>
      <c r="C54" s="29" t="s">
        <v>26</v>
      </c>
      <c r="D54" s="182">
        <f>HLOOKUP('Rate Estimator'!V$9,'Rate Inputs'!$E$2:$K$27,IF(A54="Secondary",24,IF(A54="Primary",25,26)))</f>
        <v>2.2759999999999998E-3</v>
      </c>
      <c r="E54" s="132">
        <f t="shared" ref="E54:N54" si="13">D54</f>
        <v>2.2759999999999998E-3</v>
      </c>
      <c r="F54" s="132">
        <f t="shared" si="13"/>
        <v>2.2759999999999998E-3</v>
      </c>
      <c r="G54" s="132">
        <f t="shared" si="13"/>
        <v>2.2759999999999998E-3</v>
      </c>
      <c r="H54" s="132">
        <f t="shared" si="13"/>
        <v>2.2759999999999998E-3</v>
      </c>
      <c r="I54" s="132">
        <f t="shared" si="13"/>
        <v>2.2759999999999998E-3</v>
      </c>
      <c r="J54" s="132">
        <f t="shared" si="13"/>
        <v>2.2759999999999998E-3</v>
      </c>
      <c r="K54" s="132">
        <f t="shared" si="13"/>
        <v>2.2759999999999998E-3</v>
      </c>
      <c r="L54" s="132">
        <f t="shared" si="13"/>
        <v>2.2759999999999998E-3</v>
      </c>
      <c r="M54" s="132">
        <f t="shared" si="13"/>
        <v>2.2759999999999998E-3</v>
      </c>
      <c r="N54" s="132">
        <f t="shared" si="13"/>
        <v>2.2759999999999998E-3</v>
      </c>
      <c r="O54" s="83"/>
    </row>
    <row r="55" spans="1:15" s="7" customFormat="1" hidden="1">
      <c r="A55" s="128" t="s">
        <v>41</v>
      </c>
      <c r="B55" s="31"/>
      <c r="C55" s="33"/>
      <c r="D55" s="165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108"/>
    </row>
    <row r="56" spans="1:15" s="7" customFormat="1" hidden="1">
      <c r="A56" s="30"/>
      <c r="B56" s="31"/>
      <c r="C56" s="33"/>
      <c r="D56" s="165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108"/>
    </row>
    <row r="57" spans="1:15" s="7" customFormat="1" hidden="1">
      <c r="A57" s="86"/>
      <c r="B57" s="31"/>
      <c r="C57" s="33"/>
      <c r="D57" s="165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108"/>
    </row>
    <row r="58" spans="1:15" s="7" customFormat="1" hidden="1">
      <c r="A58" s="86"/>
      <c r="B58" s="31"/>
      <c r="C58" s="33"/>
      <c r="D58" s="183">
        <v>0</v>
      </c>
      <c r="E58" s="122">
        <f t="shared" ref="E58:N58" si="14">D58*E$120</f>
        <v>0</v>
      </c>
      <c r="F58" s="122">
        <f t="shared" si="14"/>
        <v>0</v>
      </c>
      <c r="G58" s="122">
        <f t="shared" si="14"/>
        <v>0</v>
      </c>
      <c r="H58" s="122">
        <f t="shared" si="14"/>
        <v>0</v>
      </c>
      <c r="I58" s="122">
        <f t="shared" si="14"/>
        <v>0</v>
      </c>
      <c r="J58" s="122">
        <f t="shared" si="14"/>
        <v>0</v>
      </c>
      <c r="K58" s="122">
        <f t="shared" si="14"/>
        <v>0</v>
      </c>
      <c r="L58" s="122">
        <f t="shared" si="14"/>
        <v>0</v>
      </c>
      <c r="M58" s="122">
        <f t="shared" si="14"/>
        <v>0</v>
      </c>
      <c r="N58" s="122">
        <f t="shared" si="14"/>
        <v>0</v>
      </c>
      <c r="O58" s="108"/>
    </row>
    <row r="59" spans="1:15" hidden="1">
      <c r="A59" s="133" t="s">
        <v>42</v>
      </c>
      <c r="B59" s="131"/>
      <c r="C59" s="135"/>
      <c r="D59" s="136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83"/>
    </row>
    <row r="60" spans="1:15" hidden="1">
      <c r="A60" s="134"/>
      <c r="B60" s="131"/>
      <c r="C60" s="137"/>
      <c r="D60" s="138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83"/>
    </row>
    <row r="61" spans="1:15" hidden="1">
      <c r="A61" s="133"/>
      <c r="B61" s="131"/>
      <c r="C61" s="137"/>
      <c r="D61" s="138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83"/>
    </row>
    <row r="62" spans="1:15" hidden="1">
      <c r="A62" s="133"/>
      <c r="B62" s="131"/>
      <c r="C62" s="137"/>
      <c r="D62" s="138">
        <v>0</v>
      </c>
      <c r="E62" s="132">
        <f t="shared" ref="E62:N62" si="15">D62*E$120</f>
        <v>0</v>
      </c>
      <c r="F62" s="132">
        <f t="shared" si="15"/>
        <v>0</v>
      </c>
      <c r="G62" s="132">
        <f t="shared" si="15"/>
        <v>0</v>
      </c>
      <c r="H62" s="132">
        <f t="shared" si="15"/>
        <v>0</v>
      </c>
      <c r="I62" s="132">
        <f t="shared" si="15"/>
        <v>0</v>
      </c>
      <c r="J62" s="132">
        <f t="shared" si="15"/>
        <v>0</v>
      </c>
      <c r="K62" s="132">
        <f t="shared" si="15"/>
        <v>0</v>
      </c>
      <c r="L62" s="132">
        <f t="shared" si="15"/>
        <v>0</v>
      </c>
      <c r="M62" s="132">
        <f t="shared" si="15"/>
        <v>0</v>
      </c>
      <c r="N62" s="132">
        <f t="shared" si="15"/>
        <v>0</v>
      </c>
      <c r="O62" s="83"/>
    </row>
    <row r="63" spans="1:15" ht="6" hidden="1" customHeight="1">
      <c r="A63" s="39"/>
      <c r="B63" s="40"/>
      <c r="C63" s="41"/>
      <c r="D63" s="42"/>
      <c r="E63" s="43"/>
      <c r="F63" s="43"/>
      <c r="G63" s="43"/>
      <c r="H63" s="43"/>
      <c r="I63" s="43"/>
      <c r="J63" s="43"/>
      <c r="K63" s="43"/>
      <c r="L63" s="43"/>
      <c r="M63" s="43"/>
      <c r="N63" s="96"/>
      <c r="O63" s="96"/>
    </row>
    <row r="64" spans="1:15" hidden="1">
      <c r="A64" s="44" t="s">
        <v>15</v>
      </c>
      <c r="B64" s="139" t="s">
        <v>43</v>
      </c>
      <c r="C64" s="45"/>
      <c r="D64" s="46"/>
      <c r="E64" s="38"/>
      <c r="F64" s="38"/>
      <c r="G64" s="38"/>
      <c r="H64" s="38"/>
      <c r="I64" s="38"/>
      <c r="J64" s="38"/>
      <c r="K64" s="38"/>
      <c r="L64" s="38"/>
      <c r="M64" s="38"/>
      <c r="N64" s="95"/>
      <c r="O64" s="95"/>
    </row>
    <row r="65" spans="1:15" hidden="1">
      <c r="A65" s="47"/>
      <c r="B65" s="139" t="s">
        <v>56</v>
      </c>
      <c r="C65" s="45"/>
      <c r="D65" s="46"/>
      <c r="E65" s="38"/>
      <c r="F65" s="38"/>
      <c r="G65" s="38"/>
      <c r="H65" s="38"/>
      <c r="I65" s="38"/>
      <c r="J65" s="38"/>
      <c r="K65" s="38"/>
      <c r="L65" s="38"/>
      <c r="M65" s="38"/>
      <c r="N65" s="95"/>
      <c r="O65" s="95"/>
    </row>
    <row r="66" spans="1:15" hidden="1">
      <c r="A66" s="48"/>
      <c r="B66" s="15"/>
      <c r="C66" s="49"/>
      <c r="D66" s="50"/>
      <c r="E66" s="51"/>
      <c r="F66" s="51"/>
      <c r="G66" s="51"/>
      <c r="H66" s="51"/>
      <c r="I66" s="51"/>
      <c r="J66" s="51"/>
      <c r="K66" s="51"/>
      <c r="L66" s="51"/>
      <c r="M66" s="51"/>
      <c r="N66" s="97"/>
      <c r="O66" s="97"/>
    </row>
    <row r="67" spans="1:15" hidden="1">
      <c r="A67" s="47"/>
      <c r="B67" s="2"/>
      <c r="C67" s="45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88"/>
    </row>
    <row r="68" spans="1:15" ht="3.95" hidden="1" customHeight="1">
      <c r="A68" s="47"/>
      <c r="B68" s="2"/>
      <c r="C68" s="45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88"/>
    </row>
    <row r="69" spans="1:15" hidden="1">
      <c r="A69" s="229"/>
      <c r="O69" s="19"/>
    </row>
    <row r="70" spans="1:15" hidden="1">
      <c r="A70" s="55" t="str">
        <f>A3</f>
        <v>ELECTRIC RATE FORECAST-- Proposed T&amp;D Charges</v>
      </c>
      <c r="B70" s="40"/>
      <c r="C70" s="41"/>
      <c r="D70" s="42"/>
      <c r="E70" s="42"/>
      <c r="F70" s="42"/>
      <c r="G70" s="42"/>
      <c r="H70" s="42"/>
      <c r="I70" s="42"/>
      <c r="J70" s="42"/>
      <c r="K70" s="42"/>
      <c r="L70" s="100" t="str">
        <f>L3</f>
        <v xml:space="preserve">                 Workpaper 2.0</v>
      </c>
      <c r="M70" s="78"/>
      <c r="N70" s="78"/>
      <c r="O70" s="88"/>
    </row>
    <row r="71" spans="1:15" hidden="1">
      <c r="A71" s="47"/>
      <c r="B71" s="2"/>
      <c r="C71" s="45"/>
      <c r="D71" s="46"/>
      <c r="E71" s="46"/>
      <c r="F71" s="46"/>
      <c r="G71" s="46"/>
      <c r="H71" s="46"/>
      <c r="I71" s="46"/>
      <c r="J71" s="46"/>
      <c r="K71" s="46"/>
      <c r="L71" s="52" t="s">
        <v>44</v>
      </c>
      <c r="O71" s="88"/>
    </row>
    <row r="72" spans="1:15" ht="12" hidden="1" customHeight="1">
      <c r="A72" s="48"/>
      <c r="B72" s="15"/>
      <c r="C72" s="49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92"/>
    </row>
    <row r="73" spans="1:15" ht="12" customHeight="1">
      <c r="A73" s="47"/>
      <c r="B73" s="2"/>
      <c r="C73" s="45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91"/>
    </row>
    <row r="74" spans="1:15" ht="12" customHeight="1">
      <c r="A74" s="47"/>
      <c r="B74" s="2"/>
      <c r="C74" s="45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91"/>
    </row>
    <row r="75" spans="1:15" ht="12" customHeight="1">
      <c r="A75" s="56" t="s">
        <v>27</v>
      </c>
      <c r="B75" s="57"/>
      <c r="C75" s="45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91"/>
    </row>
    <row r="76" spans="1:15" ht="12" customHeight="1">
      <c r="A76" s="89" t="s">
        <v>16</v>
      </c>
      <c r="B76" s="177">
        <v>1</v>
      </c>
      <c r="C76" s="140"/>
      <c r="D76" s="58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91"/>
    </row>
    <row r="77" spans="1:15" ht="12" customHeight="1">
      <c r="A77" s="37" t="str">
        <f>"Demand "&amp;IF(V$9="Reliant","(Kva) =","(KW) =")</f>
        <v>Demand (KW) =</v>
      </c>
      <c r="B77" s="180">
        <f>B13</f>
        <v>700</v>
      </c>
      <c r="C77" s="173"/>
      <c r="D77" s="58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91"/>
    </row>
    <row r="78" spans="1:15" ht="15">
      <c r="A78" s="70" t="s">
        <v>113</v>
      </c>
      <c r="B78" s="237">
        <f>+B77*730*B79</f>
        <v>317903.11121890001</v>
      </c>
      <c r="C78" s="174"/>
      <c r="D78" s="142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91"/>
    </row>
    <row r="79" spans="1:15" ht="15">
      <c r="A79" s="70" t="s">
        <v>17</v>
      </c>
      <c r="B79" s="236">
        <f>B14</f>
        <v>0.62211959142641882</v>
      </c>
      <c r="C79" s="175"/>
      <c r="D79" s="58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91"/>
    </row>
    <row r="80" spans="1:15">
      <c r="A80" s="70" t="s">
        <v>18</v>
      </c>
      <c r="B80" s="179" t="str">
        <f>AA9</f>
        <v>Secondary</v>
      </c>
      <c r="C80" s="175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91"/>
    </row>
    <row r="81" spans="1:40" ht="15">
      <c r="A81" s="167" t="s">
        <v>45</v>
      </c>
      <c r="B81" s="179" t="s">
        <v>28</v>
      </c>
      <c r="C81" s="176"/>
      <c r="O81" s="91"/>
    </row>
    <row r="82" spans="1:40">
      <c r="A82" s="70" t="s">
        <v>53</v>
      </c>
      <c r="B82" s="178" t="str">
        <f>AF9</f>
        <v>No</v>
      </c>
      <c r="C82" s="175"/>
      <c r="D82" s="240" t="s">
        <v>104</v>
      </c>
      <c r="E82" s="241"/>
      <c r="F82" s="241"/>
      <c r="G82" s="241"/>
      <c r="H82" s="242"/>
      <c r="O82" s="91"/>
    </row>
    <row r="83" spans="1:40">
      <c r="A83" s="143"/>
      <c r="B83" s="141"/>
      <c r="C83" s="45"/>
      <c r="D83" s="61">
        <f t="shared" ref="D83:N83" si="16">D16</f>
        <v>2002</v>
      </c>
      <c r="E83" s="61">
        <f t="shared" si="16"/>
        <v>2003</v>
      </c>
      <c r="F83" s="61">
        <f t="shared" si="16"/>
        <v>2004</v>
      </c>
      <c r="G83" s="61">
        <f t="shared" si="16"/>
        <v>2005</v>
      </c>
      <c r="H83" s="61">
        <f t="shared" si="16"/>
        <v>2006</v>
      </c>
      <c r="I83" s="61">
        <f t="shared" si="16"/>
        <v>2007</v>
      </c>
      <c r="J83" s="61">
        <f t="shared" si="16"/>
        <v>2008</v>
      </c>
      <c r="K83" s="61">
        <f t="shared" si="16"/>
        <v>2009</v>
      </c>
      <c r="L83" s="61">
        <f t="shared" si="16"/>
        <v>2010</v>
      </c>
      <c r="M83" s="61">
        <f t="shared" si="16"/>
        <v>2011</v>
      </c>
      <c r="N83" s="61">
        <f t="shared" si="16"/>
        <v>2012</v>
      </c>
      <c r="O83" s="93"/>
    </row>
    <row r="84" spans="1:40" ht="3" customHeight="1">
      <c r="A84" s="152"/>
      <c r="B84" s="79"/>
      <c r="C84" s="78"/>
      <c r="D84" s="220"/>
      <c r="E84" s="220"/>
      <c r="F84" s="220"/>
      <c r="G84" s="220"/>
      <c r="H84" s="220"/>
      <c r="I84" s="16"/>
      <c r="J84" s="16"/>
      <c r="K84" s="16"/>
      <c r="L84" s="16"/>
      <c r="M84" s="16"/>
      <c r="N84" s="16"/>
      <c r="O84" s="19"/>
    </row>
    <row r="85" spans="1:40">
      <c r="A85" s="63" t="s">
        <v>20</v>
      </c>
      <c r="B85" s="98"/>
      <c r="C85" s="153" t="s">
        <v>21</v>
      </c>
      <c r="D85" s="221" t="s">
        <v>8</v>
      </c>
      <c r="E85" s="221" t="s">
        <v>8</v>
      </c>
      <c r="F85" s="221" t="s">
        <v>8</v>
      </c>
      <c r="G85" s="221" t="s">
        <v>8</v>
      </c>
      <c r="H85" s="221" t="s">
        <v>8</v>
      </c>
      <c r="I85" s="64" t="s">
        <v>8</v>
      </c>
      <c r="J85" s="64" t="s">
        <v>8</v>
      </c>
      <c r="K85" s="64" t="s">
        <v>8</v>
      </c>
      <c r="L85" s="64" t="s">
        <v>8</v>
      </c>
      <c r="M85" s="64" t="s">
        <v>8</v>
      </c>
      <c r="N85" s="64" t="s">
        <v>8</v>
      </c>
      <c r="O85" s="85"/>
    </row>
    <row r="86" spans="1:40">
      <c r="A86" s="65" t="s">
        <v>46</v>
      </c>
      <c r="B86" s="59" t="s">
        <v>22</v>
      </c>
      <c r="C86" s="66">
        <f>B76</f>
        <v>1</v>
      </c>
      <c r="D86" s="67">
        <f t="shared" ref="D86:N86" si="17">IF($B$80="Transmission",$C86*D22,IF($B$80="Primary",$C86*D21,IF($B$80="Secondary",$C86*D20,0)))</f>
        <v>11.55</v>
      </c>
      <c r="E86" s="67">
        <f t="shared" si="17"/>
        <v>11.55</v>
      </c>
      <c r="F86" s="67">
        <f t="shared" si="17"/>
        <v>11.55</v>
      </c>
      <c r="G86" s="67">
        <f t="shared" si="17"/>
        <v>11.55</v>
      </c>
      <c r="H86" s="67">
        <f t="shared" si="17"/>
        <v>11.55</v>
      </c>
      <c r="I86" s="67">
        <f t="shared" si="17"/>
        <v>11.55</v>
      </c>
      <c r="J86" s="67">
        <f t="shared" si="17"/>
        <v>11.55</v>
      </c>
      <c r="K86" s="67">
        <f t="shared" si="17"/>
        <v>11.55</v>
      </c>
      <c r="L86" s="67">
        <f t="shared" si="17"/>
        <v>11.55</v>
      </c>
      <c r="M86" s="67">
        <f t="shared" si="17"/>
        <v>11.55</v>
      </c>
      <c r="N86" s="67">
        <f t="shared" si="17"/>
        <v>11.55</v>
      </c>
      <c r="O86" s="85"/>
    </row>
    <row r="87" spans="1:40">
      <c r="A87" s="37" t="str">
        <f>"T&amp;D Service "&amp;IF(V$9="Reliant","($/Kva)","($/KW)")</f>
        <v>T&amp;D Service ($/KW)</v>
      </c>
      <c r="B87" s="60" t="str">
        <f>B86</f>
        <v>Annual</v>
      </c>
      <c r="C87" s="66">
        <f>B77</f>
        <v>700</v>
      </c>
      <c r="D87" s="69">
        <f t="shared" ref="D87:N87" si="18">IF($B$80="Transmission",$C87*(D30+D26),IF($B$80="Primary",$C87*(D29+D25),IF($B$80="Secondary",$C87*(D28+D24),0)))</f>
        <v>2968</v>
      </c>
      <c r="E87" s="69">
        <f t="shared" si="18"/>
        <v>2968</v>
      </c>
      <c r="F87" s="69">
        <f t="shared" si="18"/>
        <v>2968</v>
      </c>
      <c r="G87" s="69">
        <f t="shared" si="18"/>
        <v>2968</v>
      </c>
      <c r="H87" s="69">
        <f t="shared" si="18"/>
        <v>2968</v>
      </c>
      <c r="I87" s="69">
        <f t="shared" si="18"/>
        <v>2968</v>
      </c>
      <c r="J87" s="69">
        <f t="shared" si="18"/>
        <v>2968</v>
      </c>
      <c r="K87" s="69">
        <f t="shared" si="18"/>
        <v>2968</v>
      </c>
      <c r="L87" s="69">
        <f t="shared" si="18"/>
        <v>2968</v>
      </c>
      <c r="M87" s="69">
        <f t="shared" si="18"/>
        <v>2968</v>
      </c>
      <c r="N87" s="69">
        <f t="shared" si="18"/>
        <v>2968</v>
      </c>
      <c r="O87" s="19"/>
      <c r="AN87" s="219"/>
    </row>
    <row r="88" spans="1:40">
      <c r="A88" s="37" t="str">
        <f>"Nuclear Decommissioning "&amp;IF(V$9="Reliant","($/Kva)","($/KW)")</f>
        <v>Nuclear Decommissioning ($/KW)</v>
      </c>
      <c r="B88" s="60" t="str">
        <f>B86</f>
        <v>Annual</v>
      </c>
      <c r="C88" s="66">
        <f>B77</f>
        <v>700</v>
      </c>
      <c r="D88" s="144">
        <f t="shared" ref="D88:N88" si="19">IF($B$80="Transmission",$C88*D34,IF($B$80="Primary",$C88*D33,IF($B$80="Secondary",$C88*D32,0)))</f>
        <v>0</v>
      </c>
      <c r="E88" s="144">
        <f t="shared" si="19"/>
        <v>0</v>
      </c>
      <c r="F88" s="144">
        <f t="shared" si="19"/>
        <v>0</v>
      </c>
      <c r="G88" s="144">
        <f t="shared" si="19"/>
        <v>0</v>
      </c>
      <c r="H88" s="144">
        <f t="shared" si="19"/>
        <v>0</v>
      </c>
      <c r="I88" s="144">
        <f t="shared" si="19"/>
        <v>0</v>
      </c>
      <c r="J88" s="144">
        <f t="shared" si="19"/>
        <v>0</v>
      </c>
      <c r="K88" s="144">
        <f t="shared" si="19"/>
        <v>0</v>
      </c>
      <c r="L88" s="144">
        <f t="shared" si="19"/>
        <v>0</v>
      </c>
      <c r="M88" s="144">
        <f t="shared" si="19"/>
        <v>0</v>
      </c>
      <c r="N88" s="144">
        <f t="shared" si="19"/>
        <v>0</v>
      </c>
      <c r="O88" s="19"/>
    </row>
    <row r="89" spans="1:40">
      <c r="A89" s="37" t="str">
        <f>"Transition Charges "&amp;IF(V$9="Reliant","($/Kva)","($/KW)")</f>
        <v>Transition Charges ($/KW)</v>
      </c>
      <c r="B89" s="60" t="str">
        <f>B88</f>
        <v>Annual</v>
      </c>
      <c r="C89" s="66">
        <f>B77</f>
        <v>700</v>
      </c>
      <c r="D89" s="144">
        <f>IF($B$80="Transmission",$C89*D38,IF($B$80="Primary",$C89*D37,IF($B$80="Secondary",$C89*D36,0)))</f>
        <v>1367.8</v>
      </c>
      <c r="E89" s="144">
        <f t="shared" ref="E89:N89" si="20">IF($B$80="Transmission",$C89*E38,IF($B$80="Primary",$C89*E37,IF($B$80="Secondary",$C89*E36,0)))</f>
        <v>1367.8</v>
      </c>
      <c r="F89" s="144">
        <f t="shared" si="20"/>
        <v>1367.8</v>
      </c>
      <c r="G89" s="144">
        <f t="shared" si="20"/>
        <v>1367.8</v>
      </c>
      <c r="H89" s="144">
        <f t="shared" si="20"/>
        <v>1367.8</v>
      </c>
      <c r="I89" s="144">
        <f t="shared" si="20"/>
        <v>1367.8</v>
      </c>
      <c r="J89" s="144">
        <f t="shared" si="20"/>
        <v>1367.8</v>
      </c>
      <c r="K89" s="144">
        <f t="shared" si="20"/>
        <v>1367.8</v>
      </c>
      <c r="L89" s="144">
        <f t="shared" si="20"/>
        <v>1367.8</v>
      </c>
      <c r="M89" s="144">
        <f t="shared" si="20"/>
        <v>1367.8</v>
      </c>
      <c r="N89" s="144">
        <f t="shared" si="20"/>
        <v>1367.8</v>
      </c>
      <c r="O89" s="19"/>
    </row>
    <row r="90" spans="1:40">
      <c r="A90" s="37" t="str">
        <f>"Excess Mitigation Credit "&amp;IF(V$9="Reliant","($/Kva)","($/KW)")</f>
        <v>Excess Mitigation Credit ($/KW)</v>
      </c>
      <c r="B90" s="60" t="str">
        <f>B89</f>
        <v>Annual</v>
      </c>
      <c r="C90" s="66">
        <f>B77</f>
        <v>700</v>
      </c>
      <c r="D90" s="144">
        <f>IF($B$80="Transmission",$C90*D42,IF($B$80="Primary",$C90*D41,IF($B$80="Secondary",$C90*D40,0)))</f>
        <v>-180.6</v>
      </c>
      <c r="E90" s="144">
        <f t="shared" ref="E90:N90" si="21">IF($B$80="Transmission",$C90*E42,IF($B$80="Primary",$C90*E41,IF($B$80="Secondary",$C90*E40,0)))</f>
        <v>-180.6</v>
      </c>
      <c r="F90" s="144">
        <f t="shared" si="21"/>
        <v>-180.6</v>
      </c>
      <c r="G90" s="144">
        <f t="shared" si="21"/>
        <v>-180.6</v>
      </c>
      <c r="H90" s="144">
        <f t="shared" si="21"/>
        <v>-180.6</v>
      </c>
      <c r="I90" s="144">
        <f t="shared" si="21"/>
        <v>-180.6</v>
      </c>
      <c r="J90" s="144">
        <f t="shared" si="21"/>
        <v>-180.6</v>
      </c>
      <c r="K90" s="144">
        <f t="shared" si="21"/>
        <v>0</v>
      </c>
      <c r="L90" s="144">
        <f t="shared" si="21"/>
        <v>0</v>
      </c>
      <c r="M90" s="144">
        <f t="shared" si="21"/>
        <v>0</v>
      </c>
      <c r="N90" s="144">
        <f t="shared" si="21"/>
        <v>0</v>
      </c>
      <c r="O90" s="19"/>
    </row>
    <row r="91" spans="1:40">
      <c r="A91" s="37" t="str">
        <f>"CTC "&amp;IF(V$9="Reliant","($/Kva)","($/KW)")</f>
        <v>CTC ($/KW)</v>
      </c>
      <c r="B91" s="60" t="str">
        <f>B90</f>
        <v>Annual</v>
      </c>
      <c r="C91" s="66">
        <f>B77</f>
        <v>700</v>
      </c>
      <c r="D91" s="144">
        <f t="shared" ref="D91:N91" si="22">$C91*D46</f>
        <v>0</v>
      </c>
      <c r="E91" s="144">
        <f t="shared" si="22"/>
        <v>0</v>
      </c>
      <c r="F91" s="144">
        <f t="shared" si="22"/>
        <v>0</v>
      </c>
      <c r="G91" s="144">
        <f t="shared" si="22"/>
        <v>0</v>
      </c>
      <c r="H91" s="144">
        <f t="shared" si="22"/>
        <v>0</v>
      </c>
      <c r="I91" s="144">
        <f t="shared" si="22"/>
        <v>0</v>
      </c>
      <c r="J91" s="144">
        <f t="shared" si="22"/>
        <v>0</v>
      </c>
      <c r="K91" s="144">
        <f t="shared" si="22"/>
        <v>0</v>
      </c>
      <c r="L91" s="144">
        <f t="shared" si="22"/>
        <v>0</v>
      </c>
      <c r="M91" s="144">
        <f t="shared" si="22"/>
        <v>0</v>
      </c>
      <c r="N91" s="144">
        <f t="shared" si="22"/>
        <v>0</v>
      </c>
      <c r="O91" s="19"/>
    </row>
    <row r="92" spans="1:40">
      <c r="A92" s="37" t="s">
        <v>109</v>
      </c>
      <c r="B92" s="60" t="str">
        <f>B90</f>
        <v>Annual</v>
      </c>
      <c r="C92" s="66">
        <f>B78</f>
        <v>317903.11121890001</v>
      </c>
      <c r="D92" s="144">
        <f t="shared" ref="D92:N92" si="23">IF($B$80="Transmission",$C93*(D50),IF($B$80="Primary",$C93*(D49),IF($B$80="Secondary",$C93*(D48),0)))</f>
        <v>161.81268361042012</v>
      </c>
      <c r="E92" s="144">
        <f t="shared" si="23"/>
        <v>161.81268361042012</v>
      </c>
      <c r="F92" s="144">
        <f t="shared" si="23"/>
        <v>161.81268361042012</v>
      </c>
      <c r="G92" s="144">
        <f t="shared" si="23"/>
        <v>161.81268361042012</v>
      </c>
      <c r="H92" s="144">
        <f t="shared" si="23"/>
        <v>161.81268361042012</v>
      </c>
      <c r="I92" s="144">
        <f t="shared" si="23"/>
        <v>161.81268361042012</v>
      </c>
      <c r="J92" s="144">
        <f t="shared" si="23"/>
        <v>161.81268361042012</v>
      </c>
      <c r="K92" s="144">
        <f t="shared" si="23"/>
        <v>161.81268361042012</v>
      </c>
      <c r="L92" s="144">
        <f t="shared" si="23"/>
        <v>161.81268361042012</v>
      </c>
      <c r="M92" s="144">
        <f t="shared" si="23"/>
        <v>161.81268361042012</v>
      </c>
      <c r="N92" s="144">
        <f t="shared" si="23"/>
        <v>161.81268361042012</v>
      </c>
      <c r="O92" s="19"/>
      <c r="R92" s="71" t="s">
        <v>47</v>
      </c>
      <c r="S92" s="72">
        <f>S90</f>
        <v>0</v>
      </c>
      <c r="T92" s="73">
        <f>S78</f>
        <v>0</v>
      </c>
      <c r="U92" s="75">
        <f t="shared" ref="U92:AE92" si="24">IF($B$80="Transmission",$C93*(U50),IF($B$80="Primary",$C93*(U49),IF($B$80="Secondary",$C93*(U48),0)))</f>
        <v>0</v>
      </c>
      <c r="V92" s="75">
        <f t="shared" si="24"/>
        <v>0</v>
      </c>
      <c r="W92" s="75">
        <f t="shared" si="24"/>
        <v>0</v>
      </c>
      <c r="X92" s="75">
        <f t="shared" si="24"/>
        <v>0</v>
      </c>
      <c r="Y92" s="75">
        <f t="shared" si="24"/>
        <v>0</v>
      </c>
      <c r="Z92" s="75">
        <f t="shared" si="24"/>
        <v>0</v>
      </c>
      <c r="AA92" s="75">
        <f t="shared" si="24"/>
        <v>0</v>
      </c>
      <c r="AB92" s="75">
        <f t="shared" si="24"/>
        <v>0</v>
      </c>
      <c r="AC92" s="75">
        <f t="shared" si="24"/>
        <v>0</v>
      </c>
      <c r="AD92" s="75">
        <f t="shared" si="24"/>
        <v>0</v>
      </c>
      <c r="AE92" s="75">
        <f t="shared" si="24"/>
        <v>0</v>
      </c>
    </row>
    <row r="93" spans="1:40">
      <c r="A93" s="71" t="s">
        <v>110</v>
      </c>
      <c r="B93" s="72" t="str">
        <f>B90</f>
        <v>Annual</v>
      </c>
      <c r="C93" s="73">
        <f>B78</f>
        <v>317903.11121890001</v>
      </c>
      <c r="D93" s="75">
        <f>IF($B$80="Transmission",$C93*(D54),IF($B$80="Primary",$C93*(D53),IF($B$80="Secondary",$C93*(D52),0)))</f>
        <v>0</v>
      </c>
      <c r="E93" s="75">
        <f t="shared" ref="E93:N93" si="25">IF($B$80="Transmission",$C93*(E54),IF($B$80="Primary",$C93*(E53),IF($B$80="Secondary",$C93*(E52),0)))</f>
        <v>0</v>
      </c>
      <c r="F93" s="75">
        <f t="shared" si="25"/>
        <v>0</v>
      </c>
      <c r="G93" s="75">
        <f t="shared" si="25"/>
        <v>0</v>
      </c>
      <c r="H93" s="75">
        <f t="shared" si="25"/>
        <v>0</v>
      </c>
      <c r="I93" s="75">
        <f t="shared" si="25"/>
        <v>0</v>
      </c>
      <c r="J93" s="75">
        <f t="shared" si="25"/>
        <v>0</v>
      </c>
      <c r="K93" s="75">
        <f t="shared" si="25"/>
        <v>0</v>
      </c>
      <c r="L93" s="75">
        <f t="shared" si="25"/>
        <v>0</v>
      </c>
      <c r="M93" s="75">
        <f t="shared" si="25"/>
        <v>0</v>
      </c>
      <c r="N93" s="75">
        <f t="shared" si="25"/>
        <v>0</v>
      </c>
      <c r="O93" s="19"/>
    </row>
    <row r="94" spans="1:40">
      <c r="A94" s="37" t="s">
        <v>107</v>
      </c>
      <c r="B94" s="60" t="str">
        <f>B93</f>
        <v>Annual</v>
      </c>
      <c r="C94" s="66"/>
      <c r="D94" s="69">
        <f>SUM(D86:D91)</f>
        <v>4166.75</v>
      </c>
      <c r="E94" s="69">
        <f t="shared" ref="E94:N94" si="26">SUM(E86:E90)</f>
        <v>4166.75</v>
      </c>
      <c r="F94" s="69">
        <f t="shared" si="26"/>
        <v>4166.75</v>
      </c>
      <c r="G94" s="69">
        <f t="shared" si="26"/>
        <v>4166.75</v>
      </c>
      <c r="H94" s="69">
        <f t="shared" si="26"/>
        <v>4166.75</v>
      </c>
      <c r="I94" s="69">
        <f t="shared" si="26"/>
        <v>4166.75</v>
      </c>
      <c r="J94" s="69">
        <f t="shared" si="26"/>
        <v>4166.75</v>
      </c>
      <c r="K94" s="69">
        <f t="shared" si="26"/>
        <v>4347.3500000000004</v>
      </c>
      <c r="L94" s="69">
        <f t="shared" si="26"/>
        <v>4347.3500000000004</v>
      </c>
      <c r="M94" s="69">
        <f t="shared" si="26"/>
        <v>4347.3500000000004</v>
      </c>
      <c r="N94" s="69">
        <f t="shared" si="26"/>
        <v>4347.3500000000004</v>
      </c>
      <c r="O94" s="19"/>
    </row>
    <row r="95" spans="1:40" ht="15">
      <c r="A95" s="37" t="s">
        <v>108</v>
      </c>
      <c r="B95" s="60" t="str">
        <f>B94</f>
        <v>Annual</v>
      </c>
      <c r="C95" s="66"/>
      <c r="D95" s="222">
        <f>D92+D93</f>
        <v>161.81268361042012</v>
      </c>
      <c r="E95" s="222">
        <f t="shared" ref="E95:N95" si="27">E92+E93</f>
        <v>161.81268361042012</v>
      </c>
      <c r="F95" s="222">
        <f t="shared" si="27"/>
        <v>161.81268361042012</v>
      </c>
      <c r="G95" s="222">
        <f t="shared" si="27"/>
        <v>161.81268361042012</v>
      </c>
      <c r="H95" s="222">
        <f t="shared" si="27"/>
        <v>161.81268361042012</v>
      </c>
      <c r="I95" s="69">
        <f t="shared" si="27"/>
        <v>161.81268361042012</v>
      </c>
      <c r="J95" s="69">
        <f t="shared" si="27"/>
        <v>161.81268361042012</v>
      </c>
      <c r="K95" s="69">
        <f t="shared" si="27"/>
        <v>161.81268361042012</v>
      </c>
      <c r="L95" s="69">
        <f t="shared" si="27"/>
        <v>161.81268361042012</v>
      </c>
      <c r="M95" s="69">
        <f t="shared" si="27"/>
        <v>161.81268361042012</v>
      </c>
      <c r="N95" s="69">
        <f t="shared" si="27"/>
        <v>161.81268361042012</v>
      </c>
      <c r="O95" s="19"/>
    </row>
    <row r="96" spans="1:40">
      <c r="A96" s="71" t="s">
        <v>48</v>
      </c>
      <c r="B96" s="60" t="str">
        <f>B95</f>
        <v>Annual</v>
      </c>
      <c r="C96" s="73"/>
      <c r="D96" s="145">
        <f>D94+D95</f>
        <v>4328.5626836104202</v>
      </c>
      <c r="E96" s="145">
        <f t="shared" ref="E96:N96" si="28">E94+E95</f>
        <v>4328.5626836104202</v>
      </c>
      <c r="F96" s="145">
        <f t="shared" si="28"/>
        <v>4328.5626836104202</v>
      </c>
      <c r="G96" s="145">
        <f t="shared" si="28"/>
        <v>4328.5626836104202</v>
      </c>
      <c r="H96" s="145">
        <f t="shared" si="28"/>
        <v>4328.5626836104202</v>
      </c>
      <c r="I96" s="145">
        <f t="shared" si="28"/>
        <v>4328.5626836104202</v>
      </c>
      <c r="J96" s="145">
        <f t="shared" si="28"/>
        <v>4328.5626836104202</v>
      </c>
      <c r="K96" s="145">
        <f t="shared" si="28"/>
        <v>4509.1626836104206</v>
      </c>
      <c r="L96" s="145">
        <f t="shared" si="28"/>
        <v>4509.1626836104206</v>
      </c>
      <c r="M96" s="145">
        <f t="shared" si="28"/>
        <v>4509.1626836104206</v>
      </c>
      <c r="N96" s="145">
        <f t="shared" si="28"/>
        <v>4509.1626836104206</v>
      </c>
      <c r="O96" s="94"/>
    </row>
    <row r="97" spans="1:15" ht="3" customHeight="1">
      <c r="A97" s="47"/>
      <c r="B97" s="90"/>
      <c r="C97" s="74"/>
      <c r="D97" s="75"/>
      <c r="E97" s="75"/>
      <c r="F97" s="75"/>
      <c r="G97" s="75"/>
      <c r="H97" s="75"/>
      <c r="I97" s="75"/>
      <c r="J97" s="75"/>
      <c r="K97" s="75"/>
      <c r="L97" s="75"/>
      <c r="M97" s="76"/>
      <c r="N97" s="75"/>
      <c r="O97" s="19"/>
    </row>
    <row r="98" spans="1:15">
      <c r="A98" s="39" t="s">
        <v>49</v>
      </c>
      <c r="B98" s="146" t="s">
        <v>22</v>
      </c>
      <c r="C98" s="147">
        <f>B77</f>
        <v>700</v>
      </c>
      <c r="D98" s="99">
        <f t="shared" ref="D98:N98" si="29">D94/$C$98</f>
        <v>5.9524999999999997</v>
      </c>
      <c r="E98" s="99">
        <f t="shared" si="29"/>
        <v>5.9524999999999997</v>
      </c>
      <c r="F98" s="99">
        <f t="shared" si="29"/>
        <v>5.9524999999999997</v>
      </c>
      <c r="G98" s="99">
        <f t="shared" si="29"/>
        <v>5.9524999999999997</v>
      </c>
      <c r="H98" s="99">
        <f t="shared" si="29"/>
        <v>5.9524999999999997</v>
      </c>
      <c r="I98" s="99">
        <f t="shared" si="29"/>
        <v>5.9524999999999997</v>
      </c>
      <c r="J98" s="99">
        <f t="shared" si="29"/>
        <v>5.9524999999999997</v>
      </c>
      <c r="K98" s="99">
        <f t="shared" si="29"/>
        <v>6.2105000000000006</v>
      </c>
      <c r="L98" s="99">
        <f t="shared" si="29"/>
        <v>6.2105000000000006</v>
      </c>
      <c r="M98" s="99">
        <f t="shared" si="29"/>
        <v>6.2105000000000006</v>
      </c>
      <c r="N98" s="99">
        <f t="shared" si="29"/>
        <v>6.2105000000000006</v>
      </c>
      <c r="O98" s="19"/>
    </row>
    <row r="99" spans="1:15">
      <c r="A99" s="76" t="s">
        <v>50</v>
      </c>
      <c r="B99" s="77" t="str">
        <f>B98</f>
        <v>Annual</v>
      </c>
      <c r="C99" s="73">
        <f>B78</f>
        <v>317903.11121890001</v>
      </c>
      <c r="D99" s="148">
        <f>D95/$C$99</f>
        <v>5.0900000000000001E-4</v>
      </c>
      <c r="E99" s="148">
        <f t="shared" ref="E99:N99" si="30">E95/$C$99</f>
        <v>5.0900000000000001E-4</v>
      </c>
      <c r="F99" s="148">
        <f t="shared" si="30"/>
        <v>5.0900000000000001E-4</v>
      </c>
      <c r="G99" s="148">
        <f t="shared" si="30"/>
        <v>5.0900000000000001E-4</v>
      </c>
      <c r="H99" s="148">
        <f t="shared" si="30"/>
        <v>5.0900000000000001E-4</v>
      </c>
      <c r="I99" s="148">
        <f t="shared" si="30"/>
        <v>5.0900000000000001E-4</v>
      </c>
      <c r="J99" s="148">
        <f t="shared" si="30"/>
        <v>5.0900000000000001E-4</v>
      </c>
      <c r="K99" s="148">
        <f t="shared" si="30"/>
        <v>5.0900000000000001E-4</v>
      </c>
      <c r="L99" s="148">
        <f t="shared" si="30"/>
        <v>5.0900000000000001E-4</v>
      </c>
      <c r="M99" s="148">
        <f t="shared" si="30"/>
        <v>5.0900000000000001E-4</v>
      </c>
      <c r="N99" s="148">
        <f t="shared" si="30"/>
        <v>5.0900000000000001E-4</v>
      </c>
      <c r="O99" s="19"/>
    </row>
    <row r="100" spans="1:15">
      <c r="A100" s="232" t="s">
        <v>51</v>
      </c>
      <c r="B100" s="233" t="str">
        <f>B86</f>
        <v>Annual</v>
      </c>
      <c r="C100" s="234">
        <f>B78</f>
        <v>317903.11121890001</v>
      </c>
      <c r="D100" s="235">
        <f t="shared" ref="D100:N100" si="31">D96/$C$100</f>
        <v>1.3615980878620221E-2</v>
      </c>
      <c r="E100" s="235">
        <f t="shared" si="31"/>
        <v>1.3615980878620221E-2</v>
      </c>
      <c r="F100" s="235">
        <f t="shared" si="31"/>
        <v>1.3615980878620221E-2</v>
      </c>
      <c r="G100" s="235">
        <f t="shared" si="31"/>
        <v>1.3615980878620221E-2</v>
      </c>
      <c r="H100" s="235">
        <f t="shared" si="31"/>
        <v>1.3615980878620221E-2</v>
      </c>
      <c r="I100" s="149">
        <f t="shared" si="31"/>
        <v>1.3615980878620221E-2</v>
      </c>
      <c r="J100" s="149">
        <f t="shared" si="31"/>
        <v>1.3615980878620221E-2</v>
      </c>
      <c r="K100" s="149">
        <f t="shared" si="31"/>
        <v>1.4184078495870793E-2</v>
      </c>
      <c r="L100" s="149">
        <f t="shared" si="31"/>
        <v>1.4184078495870793E-2</v>
      </c>
      <c r="M100" s="149">
        <f t="shared" si="31"/>
        <v>1.4184078495870793E-2</v>
      </c>
      <c r="N100" s="149">
        <f t="shared" si="31"/>
        <v>1.4184078495870793E-2</v>
      </c>
      <c r="O100" s="19"/>
    </row>
    <row r="101" spans="1:15">
      <c r="A101" s="68"/>
      <c r="B101" s="62"/>
      <c r="C101" s="150"/>
      <c r="D101" s="150"/>
      <c r="E101" s="150"/>
      <c r="F101" s="150"/>
      <c r="G101" s="150"/>
      <c r="H101" s="150"/>
      <c r="I101" s="150"/>
      <c r="J101" s="150"/>
      <c r="K101" s="150"/>
      <c r="L101" s="150"/>
      <c r="M101" s="150"/>
      <c r="N101" s="150"/>
      <c r="O101" s="19"/>
    </row>
    <row r="102" spans="1:15">
      <c r="A102" s="80" t="s">
        <v>52</v>
      </c>
      <c r="B102" s="139" t="s">
        <v>100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9"/>
    </row>
    <row r="103" spans="1:15">
      <c r="A103" s="80"/>
      <c r="B103" s="139" t="s">
        <v>111</v>
      </c>
      <c r="C103" s="11"/>
      <c r="D103" s="11"/>
      <c r="E103" s="151"/>
      <c r="F103" s="11"/>
      <c r="G103" s="11"/>
      <c r="H103" s="11"/>
      <c r="I103" s="11"/>
      <c r="J103" s="11"/>
      <c r="K103" s="11"/>
      <c r="L103" s="11"/>
      <c r="M103" s="11"/>
      <c r="N103" s="11"/>
      <c r="O103" s="19"/>
    </row>
    <row r="104" spans="1:15">
      <c r="A104" s="48"/>
      <c r="B104" s="207" t="s">
        <v>99</v>
      </c>
      <c r="C104" s="18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7"/>
    </row>
    <row r="109" spans="1:15">
      <c r="I109" s="1"/>
      <c r="K109" s="1"/>
    </row>
    <row r="110" spans="1:15">
      <c r="I110" s="1"/>
      <c r="K110" s="1"/>
    </row>
    <row r="111" spans="1:15">
      <c r="I111" s="1"/>
      <c r="K111" s="1"/>
    </row>
    <row r="112" spans="1:15">
      <c r="I112" s="1"/>
      <c r="K112" s="1"/>
    </row>
    <row r="113" spans="9:11">
      <c r="I113" s="1"/>
      <c r="K113" s="1"/>
    </row>
    <row r="114" spans="9:11">
      <c r="I114" s="1"/>
      <c r="K114" s="1"/>
    </row>
    <row r="115" spans="9:11">
      <c r="I115" s="1"/>
      <c r="K115" s="1"/>
    </row>
    <row r="116" spans="9:11">
      <c r="I116" s="1"/>
      <c r="K116" s="1"/>
    </row>
    <row r="117" spans="9:11">
      <c r="I117" s="1"/>
      <c r="K117" s="1"/>
    </row>
    <row r="118" spans="9:11">
      <c r="I118" s="1"/>
      <c r="K118" s="1"/>
    </row>
    <row r="119" spans="9:11">
      <c r="I119" s="1"/>
      <c r="K119" s="1"/>
    </row>
    <row r="120" spans="9:11">
      <c r="I120" s="1"/>
      <c r="K120" s="1"/>
    </row>
    <row r="121" spans="9:11">
      <c r="I121" s="1"/>
      <c r="K121" s="1"/>
    </row>
    <row r="122" spans="9:11">
      <c r="I122" s="1"/>
      <c r="K122" s="1"/>
    </row>
    <row r="124" spans="9:11">
      <c r="I124" s="1"/>
      <c r="K124" s="1"/>
    </row>
    <row r="125" spans="9:11">
      <c r="I125" s="1"/>
      <c r="K125" s="1"/>
    </row>
    <row r="127" spans="9:11">
      <c r="I127" s="1"/>
      <c r="K127" s="1"/>
    </row>
    <row r="128" spans="9:11">
      <c r="I128" s="1"/>
      <c r="K128" s="1"/>
    </row>
    <row r="129" spans="1:12">
      <c r="I129" s="1"/>
      <c r="K129" s="1"/>
    </row>
    <row r="130" spans="1:12">
      <c r="I130" s="1"/>
      <c r="K130" s="1"/>
    </row>
    <row r="137" spans="1:12">
      <c r="I137" s="1"/>
      <c r="K137" s="1"/>
    </row>
    <row r="138" spans="1:12" ht="3.95" customHeight="1">
      <c r="F138" s="4"/>
      <c r="G138" s="4"/>
      <c r="H138" s="4"/>
      <c r="I138" s="4"/>
      <c r="J138" s="4"/>
      <c r="K138" s="4"/>
      <c r="L138" s="4"/>
    </row>
    <row r="139" spans="1:12">
      <c r="F139" s="4"/>
      <c r="G139" s="4"/>
      <c r="H139" s="4"/>
      <c r="I139" s="4"/>
      <c r="J139" s="4"/>
      <c r="K139" s="4"/>
      <c r="L139" s="4"/>
    </row>
    <row r="140" spans="1:12">
      <c r="F140" s="4"/>
      <c r="G140" s="4"/>
      <c r="H140" s="4"/>
      <c r="I140" s="4"/>
      <c r="J140" s="4"/>
      <c r="K140" s="4"/>
      <c r="L140" s="4"/>
    </row>
    <row r="141" spans="1:12" ht="3.9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ht="24" customHeight="1"/>
    <row r="143" spans="1:12" ht="6" customHeight="1">
      <c r="I143" s="1"/>
      <c r="K143" s="1"/>
    </row>
    <row r="144" spans="1:12">
      <c r="I144" s="1"/>
      <c r="K144" s="1"/>
    </row>
    <row r="145" spans="2:11">
      <c r="I145" s="1"/>
      <c r="K145" s="1"/>
    </row>
    <row r="146" spans="2:11">
      <c r="I146" s="1"/>
      <c r="K146" s="1"/>
    </row>
    <row r="147" spans="2:11">
      <c r="I147" s="1"/>
      <c r="K147" s="1"/>
    </row>
    <row r="148" spans="2:11">
      <c r="I148" s="1"/>
      <c r="K148" s="1"/>
    </row>
    <row r="149" spans="2:11">
      <c r="B149" s="3" t="s">
        <v>9</v>
      </c>
      <c r="I149" s="1"/>
      <c r="K149" s="1"/>
    </row>
    <row r="150" spans="2:11">
      <c r="I150" s="1"/>
      <c r="K150" s="1"/>
    </row>
    <row r="151" spans="2:11">
      <c r="I151" s="1"/>
      <c r="K151" s="1"/>
    </row>
    <row r="152" spans="2:11">
      <c r="I152" s="1"/>
      <c r="K152" s="1"/>
    </row>
    <row r="153" spans="2:11">
      <c r="I153" s="1"/>
      <c r="K153" s="1"/>
    </row>
    <row r="155" spans="2:11">
      <c r="I155" s="1"/>
      <c r="K155" s="1"/>
    </row>
    <row r="156" spans="2:11">
      <c r="I156" s="1"/>
      <c r="K156" s="1"/>
    </row>
    <row r="157" spans="2:11">
      <c r="I157" s="1"/>
      <c r="K157" s="1"/>
    </row>
    <row r="158" spans="2:11">
      <c r="I158" s="1"/>
      <c r="K158" s="1"/>
    </row>
    <row r="159" spans="2:11">
      <c r="I159" s="1"/>
      <c r="K159" s="1"/>
    </row>
    <row r="171" ht="12" customHeight="1"/>
    <row r="176" ht="6" customHeight="1"/>
    <row r="179" ht="6" customHeight="1"/>
    <row r="180" ht="12" customHeight="1"/>
    <row r="181" ht="12" customHeight="1"/>
    <row r="182" ht="12" customHeight="1"/>
    <row r="183" ht="12" customHeight="1"/>
    <row r="205" s="14" customFormat="1"/>
    <row r="270" ht="6" customHeight="1"/>
  </sheetData>
  <mergeCells count="2">
    <mergeCell ref="A6:H6"/>
    <mergeCell ref="D82:H82"/>
  </mergeCells>
  <phoneticPr fontId="4" type="noConversion"/>
  <pageMargins left="0.9" right="0.9" top="0.9" bottom="0.9" header="0.5" footer="0.5"/>
  <pageSetup scale="86" orientation="landscape" verticalDpi="0" r:id="rId1"/>
  <headerFooter alignWithMargins="0"/>
  <rowBreaks count="1" manualBreakCount="1">
    <brk id="174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locked="0" defaultSize="0" autoFill="0" autoLine="0" autoPict="0">
                <anchor moveWithCells="1">
                  <from>
                    <xdr:col>1</xdr:col>
                    <xdr:colOff>9525</xdr:colOff>
                    <xdr:row>7</xdr:row>
                    <xdr:rowOff>180975</xdr:rowOff>
                  </from>
                  <to>
                    <xdr:col>3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Drop Down 6">
              <controlPr locked="0" defaultSize="0" autoFill="0" autoLine="0" autoPict="0">
                <anchor moveWithCells="1">
                  <from>
                    <xdr:col>1</xdr:col>
                    <xdr:colOff>9525</xdr:colOff>
                    <xdr:row>9</xdr:row>
                    <xdr:rowOff>9525</xdr:rowOff>
                  </from>
                  <to>
                    <xdr:col>3</xdr:col>
                    <xdr:colOff>0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Drop Down 7">
              <controlPr locked="0" defaultSize="0" autoFill="0" autoLine="0" autoPict="0">
                <anchor moveWithCells="1">
                  <from>
                    <xdr:col>1</xdr:col>
                    <xdr:colOff>9525</xdr:colOff>
                    <xdr:row>10</xdr:row>
                    <xdr:rowOff>0</xdr:rowOff>
                  </from>
                  <to>
                    <xdr:col>3</xdr:col>
                    <xdr:colOff>0</xdr:colOff>
                    <xdr:row>10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Drop Down 8">
              <controlPr locked="0"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0</xdr:rowOff>
                  </from>
                  <to>
                    <xdr:col>3</xdr:col>
                    <xdr:colOff>0</xdr:colOff>
                    <xdr:row>11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79"/>
  <sheetViews>
    <sheetView topLeftCell="A22" workbookViewId="0">
      <selection activeCell="E49" sqref="E49"/>
    </sheetView>
  </sheetViews>
  <sheetFormatPr defaultRowHeight="12.75"/>
  <cols>
    <col min="4" max="4" width="34.5703125" customWidth="1"/>
    <col min="5" max="5" width="13.28515625" customWidth="1"/>
  </cols>
  <sheetData>
    <row r="2" spans="2:11">
      <c r="B2">
        <v>1</v>
      </c>
      <c r="E2" s="3" t="s">
        <v>60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</row>
    <row r="3" spans="2:11">
      <c r="B3">
        <v>2</v>
      </c>
      <c r="C3" t="s">
        <v>82</v>
      </c>
      <c r="D3" t="s">
        <v>86</v>
      </c>
      <c r="E3">
        <v>2.57</v>
      </c>
      <c r="F3">
        <v>8.31</v>
      </c>
      <c r="G3">
        <v>5.43</v>
      </c>
      <c r="H3">
        <v>4</v>
      </c>
      <c r="I3">
        <v>1.08</v>
      </c>
      <c r="J3">
        <v>24.9</v>
      </c>
      <c r="K3">
        <v>4.76</v>
      </c>
    </row>
    <row r="4" spans="2:11">
      <c r="B4">
        <v>3</v>
      </c>
      <c r="D4" t="s">
        <v>87</v>
      </c>
      <c r="E4">
        <v>2.54</v>
      </c>
      <c r="F4">
        <v>46</v>
      </c>
      <c r="G4">
        <v>117.58</v>
      </c>
      <c r="H4">
        <v>4.1399999999999997</v>
      </c>
      <c r="I4">
        <v>2.82</v>
      </c>
      <c r="J4">
        <v>0</v>
      </c>
      <c r="K4">
        <v>6.15</v>
      </c>
    </row>
    <row r="5" spans="2:11">
      <c r="B5">
        <v>4</v>
      </c>
      <c r="D5" t="s">
        <v>88</v>
      </c>
      <c r="E5">
        <v>2.39</v>
      </c>
      <c r="F5">
        <v>995.79</v>
      </c>
      <c r="G5">
        <v>1181.9100000000001</v>
      </c>
      <c r="H5">
        <v>3.52</v>
      </c>
      <c r="I5">
        <v>175.93</v>
      </c>
      <c r="J5">
        <v>1715.21</v>
      </c>
      <c r="K5">
        <v>7.15</v>
      </c>
    </row>
    <row r="6" spans="2:11">
      <c r="B6">
        <v>5</v>
      </c>
      <c r="C6" t="s">
        <v>83</v>
      </c>
      <c r="D6" t="s">
        <v>94</v>
      </c>
      <c r="E6">
        <v>8.98</v>
      </c>
      <c r="F6">
        <v>13.24</v>
      </c>
      <c r="G6">
        <v>120.35</v>
      </c>
      <c r="H6">
        <v>7.94</v>
      </c>
      <c r="I6">
        <v>18.62</v>
      </c>
      <c r="J6">
        <v>16.649999999999999</v>
      </c>
      <c r="K6">
        <v>12.29</v>
      </c>
    </row>
    <row r="7" spans="2:11">
      <c r="B7">
        <v>6</v>
      </c>
      <c r="D7" t="s">
        <v>95</v>
      </c>
      <c r="E7">
        <v>8.98</v>
      </c>
      <c r="F7">
        <v>13.24</v>
      </c>
      <c r="G7">
        <v>32.799999999999997</v>
      </c>
      <c r="H7">
        <v>7.94</v>
      </c>
      <c r="I7">
        <v>18.62</v>
      </c>
      <c r="J7">
        <v>16.649999999999999</v>
      </c>
      <c r="K7">
        <v>12.29</v>
      </c>
    </row>
    <row r="8" spans="2:11">
      <c r="B8">
        <v>7</v>
      </c>
      <c r="D8" t="s">
        <v>96</v>
      </c>
      <c r="E8">
        <v>88.02</v>
      </c>
      <c r="F8">
        <v>391.96</v>
      </c>
      <c r="G8">
        <v>32.799999999999997</v>
      </c>
      <c r="H8">
        <v>44.15</v>
      </c>
      <c r="I8">
        <v>30.41</v>
      </c>
      <c r="J8">
        <v>41.55</v>
      </c>
      <c r="K8">
        <v>59.86</v>
      </c>
    </row>
    <row r="9" spans="2:11">
      <c r="B9">
        <v>8</v>
      </c>
      <c r="D9" t="s">
        <v>97</v>
      </c>
      <c r="E9">
        <v>88.02</v>
      </c>
      <c r="F9">
        <f t="shared" ref="F9:K9" si="0">+F8</f>
        <v>391.96</v>
      </c>
      <c r="G9">
        <v>120.35</v>
      </c>
      <c r="H9">
        <f t="shared" si="0"/>
        <v>44.15</v>
      </c>
      <c r="I9">
        <v>30.41</v>
      </c>
      <c r="J9">
        <v>41.55</v>
      </c>
      <c r="K9">
        <f t="shared" si="0"/>
        <v>59.86</v>
      </c>
    </row>
    <row r="10" spans="2:11">
      <c r="B10">
        <v>9</v>
      </c>
      <c r="D10" t="s">
        <v>88</v>
      </c>
      <c r="E10">
        <v>1164.25</v>
      </c>
      <c r="F10">
        <v>2922.62</v>
      </c>
      <c r="G10">
        <v>120.35</v>
      </c>
      <c r="H10">
        <v>1034.28</v>
      </c>
      <c r="I10">
        <v>5491.23</v>
      </c>
      <c r="J10">
        <v>294.79000000000002</v>
      </c>
      <c r="K10">
        <v>250</v>
      </c>
    </row>
    <row r="11" spans="2:11">
      <c r="B11">
        <v>10</v>
      </c>
      <c r="C11" t="s">
        <v>23</v>
      </c>
      <c r="D11" t="s">
        <v>94</v>
      </c>
      <c r="E11">
        <v>1.38</v>
      </c>
      <c r="F11">
        <v>0.91</v>
      </c>
      <c r="G11">
        <v>1.34</v>
      </c>
      <c r="H11">
        <v>1.6</v>
      </c>
      <c r="I11">
        <v>1.19</v>
      </c>
      <c r="J11">
        <v>1.47</v>
      </c>
      <c r="K11">
        <v>1.38</v>
      </c>
    </row>
    <row r="12" spans="2:11">
      <c r="B12">
        <v>11</v>
      </c>
      <c r="D12" t="s">
        <v>95</v>
      </c>
      <c r="E12">
        <v>0.97</v>
      </c>
      <c r="F12">
        <v>0.91</v>
      </c>
      <c r="G12">
        <v>1.03</v>
      </c>
      <c r="H12">
        <v>0.69</v>
      </c>
      <c r="I12">
        <v>1.03</v>
      </c>
      <c r="J12">
        <v>1.19</v>
      </c>
      <c r="K12">
        <v>0.94</v>
      </c>
    </row>
    <row r="13" spans="2:11">
      <c r="B13">
        <v>12</v>
      </c>
      <c r="D13" t="s">
        <v>96</v>
      </c>
      <c r="E13">
        <v>1.38</v>
      </c>
      <c r="F13">
        <v>0.99</v>
      </c>
      <c r="G13">
        <v>1.29</v>
      </c>
      <c r="H13">
        <v>1.62</v>
      </c>
      <c r="I13">
        <v>1.24</v>
      </c>
      <c r="J13">
        <v>1.43</v>
      </c>
      <c r="K13">
        <v>1.38</v>
      </c>
    </row>
    <row r="14" spans="2:11">
      <c r="B14">
        <v>13</v>
      </c>
      <c r="D14" t="s">
        <v>97</v>
      </c>
      <c r="E14">
        <v>2.0699999999999998</v>
      </c>
      <c r="F14">
        <v>0.99</v>
      </c>
      <c r="G14">
        <v>1.33</v>
      </c>
      <c r="H14">
        <v>1.27</v>
      </c>
      <c r="I14">
        <v>1.28</v>
      </c>
      <c r="J14">
        <v>0.93</v>
      </c>
      <c r="K14">
        <v>2.13</v>
      </c>
    </row>
    <row r="15" spans="2:11">
      <c r="B15">
        <v>14</v>
      </c>
      <c r="D15" t="s">
        <v>88</v>
      </c>
      <c r="E15">
        <v>1.38</v>
      </c>
      <c r="F15">
        <v>1.08</v>
      </c>
      <c r="G15">
        <v>1.31</v>
      </c>
      <c r="H15">
        <v>1.62</v>
      </c>
      <c r="I15">
        <v>1.28</v>
      </c>
      <c r="J15">
        <v>1.06</v>
      </c>
      <c r="K15">
        <v>1.38</v>
      </c>
    </row>
    <row r="16" spans="2:11">
      <c r="B16">
        <v>15</v>
      </c>
      <c r="C16" t="s">
        <v>85</v>
      </c>
      <c r="D16" t="s">
        <v>86</v>
      </c>
      <c r="E16">
        <v>3.27</v>
      </c>
      <c r="F16">
        <v>4.25</v>
      </c>
      <c r="G16">
        <v>3.26</v>
      </c>
      <c r="H16">
        <v>2.78</v>
      </c>
      <c r="I16">
        <v>6.05</v>
      </c>
      <c r="J16">
        <v>3.55</v>
      </c>
      <c r="K16">
        <v>2.93</v>
      </c>
    </row>
    <row r="17" spans="2:11">
      <c r="B17">
        <v>16</v>
      </c>
      <c r="D17" t="s">
        <v>87</v>
      </c>
      <c r="E17">
        <v>2.62</v>
      </c>
      <c r="F17">
        <v>2.59</v>
      </c>
      <c r="G17">
        <v>3.04</v>
      </c>
      <c r="H17">
        <v>2.33</v>
      </c>
      <c r="I17">
        <v>6.35</v>
      </c>
      <c r="J17">
        <v>2.96</v>
      </c>
      <c r="K17">
        <v>1.79</v>
      </c>
    </row>
    <row r="18" spans="2:11">
      <c r="B18">
        <v>17</v>
      </c>
      <c r="D18" t="s">
        <v>88</v>
      </c>
      <c r="E18">
        <v>0.12</v>
      </c>
      <c r="F18">
        <v>0</v>
      </c>
      <c r="G18">
        <v>0.32</v>
      </c>
      <c r="H18">
        <v>0.04</v>
      </c>
      <c r="I18">
        <v>0.13</v>
      </c>
      <c r="J18">
        <v>0.82</v>
      </c>
      <c r="K18">
        <v>0.12</v>
      </c>
    </row>
    <row r="19" spans="2:11">
      <c r="B19">
        <v>18</v>
      </c>
      <c r="C19" t="s">
        <v>91</v>
      </c>
      <c r="D19" t="s">
        <v>86</v>
      </c>
      <c r="F19">
        <v>7.2999999999999995E-2</v>
      </c>
      <c r="J19">
        <v>4.3999999999999997E-2</v>
      </c>
    </row>
    <row r="20" spans="2:11">
      <c r="B20">
        <v>19</v>
      </c>
      <c r="D20" t="s">
        <v>87</v>
      </c>
      <c r="F20">
        <v>6.9000000000000006E-2</v>
      </c>
      <c r="J20">
        <v>4.4999999999999998E-2</v>
      </c>
    </row>
    <row r="21" spans="2:11">
      <c r="B21">
        <v>20</v>
      </c>
      <c r="D21" t="s">
        <v>88</v>
      </c>
      <c r="F21">
        <v>1.2899999999999999E-4</v>
      </c>
      <c r="J21">
        <v>4.5999999999999999E-2</v>
      </c>
    </row>
    <row r="22" spans="2:11">
      <c r="B22">
        <v>21</v>
      </c>
      <c r="C22" t="s">
        <v>92</v>
      </c>
      <c r="D22" t="s">
        <v>86</v>
      </c>
      <c r="E22">
        <v>5.0900000000000001E-4</v>
      </c>
      <c r="F22">
        <v>5.1199999999999998E-4</v>
      </c>
      <c r="G22">
        <v>5.0500000000000002E-4</v>
      </c>
      <c r="H22">
        <v>4.9399999999999997E-4</v>
      </c>
      <c r="I22">
        <v>5.0299999999999997E-4</v>
      </c>
      <c r="J22">
        <v>5.04E-4</v>
      </c>
      <c r="K22">
        <v>5.0500000000000002E-4</v>
      </c>
    </row>
    <row r="23" spans="2:11">
      <c r="B23">
        <v>22</v>
      </c>
      <c r="D23" t="s">
        <v>87</v>
      </c>
      <c r="E23">
        <v>4.8899999999999996E-4</v>
      </c>
      <c r="F23">
        <v>4.9899999999999999E-4</v>
      </c>
      <c r="G23">
        <v>4.9299999999999995E-4</v>
      </c>
      <c r="H23">
        <v>4.7600000000000002E-4</v>
      </c>
      <c r="I23">
        <v>4.9600000000000002E-4</v>
      </c>
      <c r="J23">
        <v>4.8999999999999998E-4</v>
      </c>
      <c r="K23">
        <v>4.7899999999999999E-4</v>
      </c>
    </row>
    <row r="24" spans="2:11">
      <c r="B24">
        <v>23</v>
      </c>
      <c r="D24" t="s">
        <v>88</v>
      </c>
      <c r="E24">
        <v>4.8000000000000001E-4</v>
      </c>
      <c r="F24">
        <v>4.8000000000000001E-4</v>
      </c>
      <c r="G24">
        <v>4.8799999999999999E-4</v>
      </c>
      <c r="H24">
        <v>4.5800000000000002E-4</v>
      </c>
      <c r="I24">
        <v>4.8099999999999998E-4</v>
      </c>
      <c r="J24">
        <v>4.8099999999999998E-4</v>
      </c>
      <c r="K24">
        <v>4.73E-4</v>
      </c>
    </row>
    <row r="25" spans="2:11">
      <c r="B25">
        <v>24</v>
      </c>
      <c r="C25" t="s">
        <v>93</v>
      </c>
      <c r="D25" t="s">
        <v>86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2:11">
      <c r="B26">
        <v>25</v>
      </c>
      <c r="D26" t="s">
        <v>87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2:11">
      <c r="B27">
        <v>26</v>
      </c>
      <c r="D27" t="s">
        <v>88</v>
      </c>
      <c r="E27">
        <v>2.2759999999999998E-3</v>
      </c>
      <c r="F27">
        <v>1.838E-3</v>
      </c>
      <c r="H27">
        <v>1.026E-3</v>
      </c>
      <c r="I27">
        <v>1.175E-3</v>
      </c>
      <c r="K27">
        <v>8.8400000000000002E-4</v>
      </c>
    </row>
    <row r="28" spans="2:11">
      <c r="C28" t="s">
        <v>59</v>
      </c>
      <c r="D28" s="163" t="s">
        <v>70</v>
      </c>
      <c r="E28" s="170">
        <f>-(0.001108*730)*'Rate Estimator'!B14*0-0.258</f>
        <v>-0.25800000000000001</v>
      </c>
    </row>
    <row r="29" spans="2:11">
      <c r="D29" s="163" t="s">
        <v>71</v>
      </c>
      <c r="E29" s="170">
        <v>-0.23200000000000001</v>
      </c>
      <c r="F29" s="172"/>
      <c r="G29" s="172"/>
      <c r="H29" s="172"/>
      <c r="I29" s="172"/>
      <c r="J29" s="172"/>
      <c r="K29" s="172"/>
    </row>
    <row r="30" spans="2:11">
      <c r="D30" s="163" t="s">
        <v>72</v>
      </c>
      <c r="E30" s="170">
        <v>-4.7E-2</v>
      </c>
      <c r="F30" s="172"/>
      <c r="G30" s="172"/>
      <c r="H30" s="172"/>
      <c r="I30" s="172"/>
      <c r="J30" s="172"/>
      <c r="K30" s="172"/>
    </row>
    <row r="31" spans="2:11">
      <c r="D31" t="s">
        <v>101</v>
      </c>
      <c r="E31">
        <v>0</v>
      </c>
      <c r="F31" s="172"/>
      <c r="G31" s="172"/>
      <c r="H31" s="172"/>
      <c r="I31" s="172"/>
      <c r="J31" s="172"/>
      <c r="K31" s="172"/>
    </row>
    <row r="32" spans="2:11">
      <c r="D32" s="163" t="s">
        <v>75</v>
      </c>
      <c r="E32" s="170">
        <v>-1.083</v>
      </c>
      <c r="F32" s="172"/>
      <c r="G32" s="172"/>
      <c r="H32" s="172"/>
      <c r="I32" s="172"/>
      <c r="J32" s="172"/>
      <c r="K32" s="172"/>
    </row>
    <row r="33" spans="3:11">
      <c r="D33" s="163" t="s">
        <v>76</v>
      </c>
      <c r="E33" s="170">
        <v>-1.2070000000000001</v>
      </c>
      <c r="F33" s="172"/>
      <c r="G33" s="172"/>
      <c r="H33" s="172"/>
      <c r="I33" s="172"/>
      <c r="J33" s="172"/>
      <c r="K33" s="172"/>
    </row>
    <row r="34" spans="3:11">
      <c r="D34" s="163" t="s">
        <v>77</v>
      </c>
      <c r="E34" s="170">
        <v>-1.087</v>
      </c>
      <c r="F34" s="172"/>
      <c r="G34" s="172"/>
      <c r="H34" s="172"/>
      <c r="I34" s="172"/>
      <c r="J34" s="172"/>
      <c r="K34" s="172"/>
    </row>
    <row r="35" spans="3:11">
      <c r="D35" s="164" t="s">
        <v>78</v>
      </c>
      <c r="E35" s="170">
        <v>-1.002</v>
      </c>
      <c r="F35" s="172"/>
      <c r="G35" s="172"/>
      <c r="H35" s="172"/>
      <c r="I35" s="172"/>
      <c r="J35" s="172"/>
      <c r="K35" s="172"/>
    </row>
    <row r="36" spans="3:11">
      <c r="D36" s="163" t="s">
        <v>73</v>
      </c>
      <c r="E36" s="170">
        <v>-1.175</v>
      </c>
      <c r="F36" s="172"/>
      <c r="G36" s="172"/>
      <c r="H36" s="172"/>
      <c r="I36" s="172"/>
      <c r="J36" s="172"/>
      <c r="K36" s="172"/>
    </row>
    <row r="37" spans="3:11">
      <c r="D37" s="163" t="s">
        <v>74</v>
      </c>
      <c r="E37" s="170">
        <v>-1.3560000000000001</v>
      </c>
      <c r="F37" s="172"/>
      <c r="G37" s="172"/>
      <c r="H37" s="172"/>
      <c r="I37" s="172"/>
      <c r="J37" s="172"/>
      <c r="K37" s="172"/>
    </row>
    <row r="38" spans="3:11">
      <c r="D38" s="164" t="s">
        <v>79</v>
      </c>
      <c r="E38" s="170">
        <v>-0.13100000000000001</v>
      </c>
      <c r="F38" s="172"/>
      <c r="G38" s="172"/>
      <c r="H38" s="172"/>
      <c r="I38" s="172"/>
      <c r="J38" s="172"/>
      <c r="K38" s="172"/>
    </row>
    <row r="39" spans="3:11">
      <c r="D39" s="164" t="s">
        <v>80</v>
      </c>
      <c r="E39" s="170">
        <v>-0.54400000000000004</v>
      </c>
      <c r="F39" s="172"/>
      <c r="G39" s="172"/>
      <c r="H39" s="172"/>
      <c r="I39" s="172"/>
      <c r="J39" s="172"/>
      <c r="K39" s="172"/>
    </row>
    <row r="40" spans="3:11">
      <c r="D40" s="164" t="s">
        <v>81</v>
      </c>
      <c r="E40" s="170">
        <v>-1.36</v>
      </c>
      <c r="F40" s="172"/>
      <c r="G40" s="172"/>
      <c r="H40" s="172"/>
      <c r="I40" s="172"/>
      <c r="J40" s="172"/>
      <c r="K40" s="172"/>
    </row>
    <row r="41" spans="3:11">
      <c r="C41" t="s">
        <v>89</v>
      </c>
      <c r="D41" s="163" t="s">
        <v>70</v>
      </c>
      <c r="E41">
        <f>0.006686*730*'Rate Estimator'!B14*0+1.954</f>
        <v>1.954</v>
      </c>
      <c r="F41" s="172"/>
      <c r="G41" s="172"/>
      <c r="H41" s="172"/>
      <c r="I41" s="172"/>
      <c r="J41" s="172"/>
      <c r="K41" s="172"/>
    </row>
    <row r="42" spans="3:11">
      <c r="D42" s="163" t="s">
        <v>71</v>
      </c>
      <c r="E42">
        <v>1.0580000000000001</v>
      </c>
      <c r="F42" s="172"/>
      <c r="G42" s="172"/>
      <c r="H42" s="172"/>
      <c r="I42" s="172"/>
      <c r="J42" s="172"/>
      <c r="K42" s="172"/>
    </row>
    <row r="43" spans="3:11">
      <c r="D43" s="163" t="s">
        <v>72</v>
      </c>
      <c r="E43">
        <v>1.1379999999999999</v>
      </c>
      <c r="F43" s="172"/>
      <c r="G43" s="172"/>
      <c r="H43" s="172"/>
      <c r="I43" s="172"/>
      <c r="J43" s="172"/>
      <c r="K43" s="172"/>
    </row>
    <row r="44" spans="3:11">
      <c r="D44" t="s">
        <v>101</v>
      </c>
      <c r="E44" s="170">
        <v>0</v>
      </c>
      <c r="F44" s="172"/>
      <c r="G44" s="172"/>
      <c r="H44" s="172"/>
      <c r="I44" s="172"/>
      <c r="J44" s="172"/>
      <c r="K44" s="172"/>
    </row>
    <row r="45" spans="3:11">
      <c r="D45" s="163" t="s">
        <v>75</v>
      </c>
      <c r="E45">
        <v>0.56899999999999995</v>
      </c>
      <c r="F45" s="172"/>
      <c r="G45" s="172"/>
      <c r="H45" s="172"/>
      <c r="I45" s="172"/>
      <c r="J45" s="172"/>
      <c r="K45" s="172"/>
    </row>
    <row r="46" spans="3:11">
      <c r="D46" s="163" t="s">
        <v>76</v>
      </c>
      <c r="E46">
        <v>0.442</v>
      </c>
      <c r="F46" s="172"/>
      <c r="G46" s="172"/>
      <c r="H46" s="172"/>
      <c r="I46" s="172"/>
      <c r="J46" s="172"/>
      <c r="K46" s="172"/>
    </row>
    <row r="47" spans="3:11">
      <c r="D47" s="163" t="s">
        <v>77</v>
      </c>
      <c r="E47">
        <v>0.58299999999999996</v>
      </c>
      <c r="F47" s="172"/>
      <c r="G47" s="172"/>
      <c r="H47" s="172"/>
      <c r="I47" s="172"/>
      <c r="J47" s="172"/>
      <c r="K47" s="172"/>
    </row>
    <row r="48" spans="3:11">
      <c r="D48" s="164" t="s">
        <v>78</v>
      </c>
      <c r="E48">
        <v>0.92300000000000004</v>
      </c>
      <c r="F48" s="172"/>
      <c r="G48" s="172"/>
      <c r="H48" s="172"/>
      <c r="I48" s="172"/>
      <c r="J48" s="172"/>
      <c r="K48" s="172"/>
    </row>
    <row r="49" spans="2:11">
      <c r="D49" s="163" t="s">
        <v>73</v>
      </c>
      <c r="E49">
        <v>0.53900000000000003</v>
      </c>
      <c r="F49" s="172"/>
      <c r="G49" s="172"/>
      <c r="H49" s="172"/>
      <c r="I49" s="172"/>
      <c r="J49" s="172"/>
      <c r="K49" s="172"/>
    </row>
    <row r="50" spans="2:11">
      <c r="D50" s="163" t="s">
        <v>74</v>
      </c>
      <c r="E50">
        <v>0.214</v>
      </c>
      <c r="F50" s="172"/>
      <c r="G50" s="172"/>
      <c r="H50" s="172"/>
      <c r="I50" s="172"/>
      <c r="J50" s="172"/>
      <c r="K50" s="172"/>
    </row>
    <row r="51" spans="2:11">
      <c r="D51" s="164" t="s">
        <v>79</v>
      </c>
      <c r="E51">
        <v>0.17799999999999999</v>
      </c>
      <c r="F51" s="172"/>
      <c r="G51" s="172"/>
      <c r="H51" s="172"/>
      <c r="I51" s="172"/>
      <c r="J51" s="172"/>
      <c r="K51" s="172"/>
    </row>
    <row r="52" spans="2:11">
      <c r="D52" s="164" t="s">
        <v>80</v>
      </c>
      <c r="E52">
        <v>0.16800000000000001</v>
      </c>
      <c r="F52" s="172"/>
      <c r="G52" s="172"/>
      <c r="H52" s="172"/>
      <c r="I52" s="172"/>
      <c r="J52" s="172"/>
      <c r="K52" s="172"/>
    </row>
    <row r="53" spans="2:11">
      <c r="D53" s="164" t="s">
        <v>81</v>
      </c>
      <c r="E53">
        <v>0.21199999999999999</v>
      </c>
      <c r="F53" s="172"/>
      <c r="G53" s="172"/>
      <c r="H53" s="172"/>
      <c r="I53" s="172"/>
      <c r="J53" s="172"/>
      <c r="K53" s="172"/>
    </row>
    <row r="56" spans="2:11">
      <c r="B56" s="120" t="s">
        <v>6</v>
      </c>
      <c r="C56" s="124" t="s">
        <v>35</v>
      </c>
    </row>
    <row r="57" spans="2:11">
      <c r="B57" s="121" t="s">
        <v>19</v>
      </c>
      <c r="C57" s="25"/>
    </row>
    <row r="58" spans="2:11">
      <c r="B58" s="28" t="s">
        <v>24</v>
      </c>
      <c r="C58" s="25"/>
    </row>
    <row r="59" spans="2:11">
      <c r="B59" s="28" t="s">
        <v>23</v>
      </c>
      <c r="C59" s="82"/>
    </row>
    <row r="60" spans="2:11">
      <c r="B60" s="113" t="s">
        <v>7</v>
      </c>
      <c r="C60" s="117" t="s">
        <v>36</v>
      </c>
    </row>
    <row r="61" spans="2:11">
      <c r="B61" s="116" t="s">
        <v>19</v>
      </c>
      <c r="C61" s="114"/>
    </row>
    <row r="62" spans="2:11">
      <c r="B62" s="116" t="s">
        <v>24</v>
      </c>
      <c r="C62" s="114"/>
    </row>
    <row r="63" spans="2:11">
      <c r="B63" s="116" t="s">
        <v>23</v>
      </c>
      <c r="C63" s="123"/>
    </row>
    <row r="64" spans="2:11">
      <c r="B64" s="120" t="s">
        <v>37</v>
      </c>
      <c r="C64" s="127" t="s">
        <v>38</v>
      </c>
    </row>
    <row r="65" spans="2:3">
      <c r="B65" s="121" t="s">
        <v>19</v>
      </c>
      <c r="C65" s="25"/>
    </row>
    <row r="66" spans="2:3">
      <c r="B66" s="28" t="s">
        <v>24</v>
      </c>
      <c r="C66" s="25"/>
    </row>
    <row r="67" spans="2:3">
      <c r="B67" s="28" t="s">
        <v>23</v>
      </c>
      <c r="C67" s="82"/>
    </row>
    <row r="68" spans="2:3">
      <c r="B68" s="113" t="s">
        <v>39</v>
      </c>
      <c r="C68" s="117" t="s">
        <v>25</v>
      </c>
    </row>
    <row r="69" spans="2:3">
      <c r="B69" s="116"/>
      <c r="C69" s="114"/>
    </row>
    <row r="70" spans="2:3">
      <c r="B70" s="116"/>
      <c r="C70" s="114"/>
    </row>
    <row r="71" spans="2:3">
      <c r="B71" s="154"/>
      <c r="C71" s="117"/>
    </row>
    <row r="72" spans="2:3">
      <c r="B72" s="128" t="s">
        <v>13</v>
      </c>
      <c r="C72" s="124" t="s">
        <v>40</v>
      </c>
    </row>
    <row r="73" spans="2:3">
      <c r="B73" s="28" t="s">
        <v>19</v>
      </c>
      <c r="C73" s="31"/>
    </row>
    <row r="74" spans="2:3">
      <c r="B74" s="28" t="s">
        <v>24</v>
      </c>
      <c r="C74" s="129"/>
    </row>
    <row r="75" spans="2:3">
      <c r="B75" s="28" t="s">
        <v>23</v>
      </c>
      <c r="C75" s="87"/>
    </row>
    <row r="76" spans="2:3">
      <c r="B76" s="130" t="s">
        <v>14</v>
      </c>
      <c r="C76" s="156" t="s">
        <v>55</v>
      </c>
    </row>
    <row r="77" spans="2:3">
      <c r="B77" s="116" t="s">
        <v>19</v>
      </c>
      <c r="C77" s="131"/>
    </row>
    <row r="78" spans="2:3">
      <c r="B78" s="116" t="s">
        <v>24</v>
      </c>
      <c r="C78" s="131"/>
    </row>
    <row r="79" spans="2:3">
      <c r="B79" s="116" t="s">
        <v>23</v>
      </c>
      <c r="C79" s="131"/>
    </row>
  </sheetData>
  <phoneticPr fontId="4" type="noConversion"/>
  <pageMargins left="0.75" right="0.75" top="1" bottom="1" header="0.5" footer="0.5"/>
  <pageSetup scale="7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Rate Estimator</vt:lpstr>
      <vt:lpstr>Rate Inputs</vt:lpstr>
      <vt:lpstr>'Rate Estimator'!Print_Area</vt:lpstr>
      <vt:lpstr>'Rate Inputs'!Print_Area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rbachmei</dc:creator>
  <cp:lastModifiedBy>Jan Havlíček</cp:lastModifiedBy>
  <cp:lastPrinted>2001-08-24T21:03:37Z</cp:lastPrinted>
  <dcterms:created xsi:type="dcterms:W3CDTF">1998-07-20T20:55:15Z</dcterms:created>
  <dcterms:modified xsi:type="dcterms:W3CDTF">2023-09-15T18:10:53Z</dcterms:modified>
</cp:coreProperties>
</file>